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ure Si Two ring filter"/>
    <sheet r:id="rId2" sheetId="2" name="Pure Si Three ring filter"/>
    <sheet r:id="rId3" sheetId="3" name="Pure Si Four ring filter"/>
    <sheet r:id="rId4" sheetId="4" name="SiN+XPS Two ring filter"/>
    <sheet r:id="rId5" sheetId="5" name="SiN+XPS Laser Mux"/>
  </sheets>
  <calcPr fullCalcOnLoad="1"/>
</workbook>
</file>

<file path=xl/sharedStrings.xml><?xml version="1.0" encoding="utf-8"?>
<sst xmlns="http://schemas.openxmlformats.org/spreadsheetml/2006/main" count="84" uniqueCount="31">
  <si>
    <t>Ring Radius (um)</t>
  </si>
  <si>
    <t>FSR (nm)</t>
  </si>
  <si>
    <t>Single ring loss (dB), k²=0.2</t>
  </si>
  <si>
    <t>Q, k²=0.2</t>
  </si>
  <si>
    <t>Vernier FSR estimate, k²=0.20 (nm)</t>
  </si>
  <si>
    <t>Single ring loss (dB), k²=0.3</t>
  </si>
  <si>
    <t>Q, k²=0.3</t>
  </si>
  <si>
    <t>Vernier FSR estimate, k²=0.3 (nm)</t>
  </si>
  <si>
    <t>Single ring loss (dB), k²=0.4</t>
  </si>
  <si>
    <t>Q, k²=0.4</t>
  </si>
  <si>
    <t>Vernier FSR estimate, k²=0.4 (nm)</t>
  </si>
  <si>
    <t>Single ring loss (dB), k²=0.5</t>
  </si>
  <si>
    <t>Q, k²=0.5</t>
  </si>
  <si>
    <t>Vernier FSR estimate, k²=0.5 (nm)</t>
  </si>
  <si>
    <t>Single ring loss (dB), k²=0.6</t>
  </si>
  <si>
    <t>Q, k²=0.6</t>
  </si>
  <si>
    <t>Vernier FSR estimate, k²=0.6 (nm)</t>
  </si>
  <si>
    <t>Exphase</t>
  </si>
  <si>
    <t>^^ These values taken at 70 degrees C</t>
  </si>
  <si>
    <t>All of the above data assumes 25mW input power to ring</t>
  </si>
  <si>
    <t>ng (group index)</t>
  </si>
  <si>
    <t>Wavelength</t>
  </si>
  <si>
    <t>Single ring loss (dB), k²=0.1</t>
  </si>
  <si>
    <t>Q, k²=0.1</t>
  </si>
  <si>
    <t>Vernier FSR estimate, k²=0.10 (nm)</t>
  </si>
  <si>
    <t>Single ring loss (dB), k²=0.15</t>
  </si>
  <si>
    <t>Q, k²=0.15</t>
  </si>
  <si>
    <t>Vernier FSR estimate, k²=0.15 (nm)</t>
  </si>
  <si>
    <t>Vernier FSR estimate, k²=0.2 (nm)</t>
  </si>
  <si>
    <t>^^ These values taken at 80 degrees C</t>
  </si>
  <si>
    <t>Exphase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</si>
</sst>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</patternFill>
    </fill>
    <fill>
      <patternFill patternType="solid">
        <fgColor rgb="FFe06666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2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4" applyNumberFormat="1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164" applyNumberFormat="1" borderId="4" applyBorder="1" fontId="1" applyFont="1" fillId="0" applyAlignment="1">
      <alignment horizontal="right"/>
    </xf>
    <xf xfId="0" numFmtId="4" applyNumberFormat="1" borderId="5" applyBorder="1" fontId="1" applyFont="1" fillId="0" applyAlignment="1">
      <alignment horizontal="right"/>
    </xf>
    <xf xfId="0" numFmtId="4" applyNumberFormat="1" borderId="6" applyBorder="1" fontId="1" applyFont="1" fillId="0" applyAlignment="1">
      <alignment horizontal="right"/>
    </xf>
    <xf xfId="0" numFmtId="4" applyNumberFormat="1" borderId="7" applyBorder="1" fontId="1" applyFont="1" fillId="2" applyFill="1" applyAlignment="1">
      <alignment horizontal="right"/>
    </xf>
    <xf xfId="0" numFmtId="3" applyNumberFormat="1" borderId="8" applyBorder="1" fontId="1" applyFont="1" fillId="3" applyFill="1" applyAlignment="1">
      <alignment horizontal="right"/>
    </xf>
    <xf xfId="0" numFmtId="4" applyNumberFormat="1" borderId="6" applyBorder="1" fontId="2" applyFont="1" fillId="0" applyAlignment="1">
      <alignment horizontal="right"/>
    </xf>
    <xf xfId="0" numFmtId="4" applyNumberFormat="1" borderId="4" applyBorder="1" fontId="1" applyFont="1" fillId="0" applyAlignment="1">
      <alignment horizontal="right"/>
    </xf>
    <xf xfId="0" numFmtId="0" borderId="6" applyBorder="1" fontId="1" applyFont="1" fillId="0" applyAlignment="1">
      <alignment horizontal="left"/>
    </xf>
    <xf xfId="0" numFmtId="3" applyNumberFormat="1" borderId="8" applyBorder="1" fontId="1" applyFont="1" fillId="2" applyFill="1" applyAlignment="1">
      <alignment horizontal="right"/>
    </xf>
    <xf xfId="0" numFmtId="3" applyNumberFormat="1" borderId="4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4" applyNumberFormat="1" borderId="6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9" applyBorder="1" fontId="1" applyFont="1" fillId="0" applyAlignment="1">
      <alignment horizontal="left"/>
    </xf>
    <xf xfId="0" numFmtId="4" applyNumberFormat="1" borderId="9" applyBorder="1" fontId="1" applyFont="1" fillId="0" applyAlignment="1">
      <alignment horizontal="left"/>
    </xf>
    <xf xfId="0" numFmtId="4" applyNumberFormat="1" borderId="10" applyBorder="1" fontId="1" applyFont="1" fillId="3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4"/>
  <sheetViews>
    <sheetView workbookViewId="0" tabSelected="1"/>
  </sheetViews>
  <sheetFormatPr defaultRowHeight="15" x14ac:dyDescent="0.25"/>
  <cols>
    <col min="1" max="1" style="25" width="15.43357142857143" customWidth="1" bestFit="1"/>
    <col min="2" max="2" style="26" width="13.005" customWidth="1" bestFit="1"/>
    <col min="3" max="3" style="27" width="22.576428571428572" customWidth="1" bestFit="1"/>
    <col min="4" max="4" style="25" width="13.005" customWidth="1" bestFit="1"/>
    <col min="5" max="5" style="27" width="22.576428571428572" customWidth="1" bestFit="1"/>
    <col min="6" max="6" style="27" width="22.576428571428572" customWidth="1" bestFit="1"/>
    <col min="7" max="7" style="25" width="13.005" customWidth="1" bestFit="1"/>
    <col min="8" max="8" style="27" width="23.862142857142857" customWidth="1" bestFit="1"/>
    <col min="9" max="9" style="27" width="23.862142857142857" customWidth="1" bestFit="1"/>
    <col min="10" max="10" style="25" width="13.005" customWidth="1" bestFit="1"/>
    <col min="11" max="11" style="27" width="26.005" customWidth="1" bestFit="1"/>
    <col min="12" max="12" style="28" width="13.005" customWidth="1" bestFit="1"/>
    <col min="13" max="13" style="28" width="13.005" customWidth="1" bestFit="1"/>
    <col min="14" max="14" style="28" width="13.005" customWidth="1" bestFit="1"/>
    <col min="15" max="15" style="28" width="13.005" customWidth="1" bestFit="1"/>
    <col min="16" max="16" style="27" width="13.005" customWidth="1" bestFit="1"/>
  </cols>
  <sheetData>
    <row x14ac:dyDescent="0.25" r="1" customHeight="1" ht="18.75">
      <c r="A1" s="1" t="s">
        <v>0</v>
      </c>
      <c r="B1" s="2" t="s">
        <v>1</v>
      </c>
      <c r="C1" s="3" t="s">
        <v>22</v>
      </c>
      <c r="D1" s="1" t="s">
        <v>23</v>
      </c>
      <c r="E1" s="4" t="s">
        <v>24</v>
      </c>
      <c r="F1" s="5" t="s">
        <v>25</v>
      </c>
      <c r="G1" s="1" t="s">
        <v>26</v>
      </c>
      <c r="H1" s="4" t="s">
        <v>27</v>
      </c>
      <c r="I1" s="5" t="s">
        <v>2</v>
      </c>
      <c r="J1" s="1" t="s">
        <v>3</v>
      </c>
      <c r="K1" s="4" t="s">
        <v>28</v>
      </c>
      <c r="L1" s="29"/>
      <c r="M1" s="29"/>
      <c r="N1" s="22"/>
      <c r="O1" s="22"/>
      <c r="P1" s="21"/>
    </row>
    <row x14ac:dyDescent="0.25" r="2" customHeight="1" ht="18">
      <c r="A2" s="8">
        <v>3</v>
      </c>
      <c r="B2" s="9">
        <f>$P$15*$P$15/($P$13 * (2 * PI() * $A2 * 10^(-6) + 10^(-5))) * 10^9</f>
      </c>
      <c r="C2" s="10">
        <v>-3.014</v>
      </c>
      <c r="D2" s="8">
        <f>1896</f>
      </c>
      <c r="E2" s="11">
        <f>$B2 * ($B2 + $P$15 * 10^9/$D2)/($P$15 * 10^9/$D2)</f>
      </c>
      <c r="F2" s="15">
        <v>-1.455</v>
      </c>
      <c r="G2" s="8">
        <f>1407</f>
      </c>
      <c r="H2" s="11">
        <f>$B2 * ($B2 + $P$15 * 10^9/$G2)/($P$15 * 10^9/$G2)</f>
      </c>
      <c r="I2" s="15">
        <v>-0.841</v>
      </c>
      <c r="J2" s="8">
        <f>1136</f>
      </c>
      <c r="K2" s="11">
        <f>$B2 * ($B2 + $P$15 * 10^9/$J2)/($P$15 * 10^9/$J2)</f>
      </c>
      <c r="L2" s="22"/>
      <c r="M2" s="22"/>
      <c r="N2" s="22"/>
      <c r="O2" s="22"/>
      <c r="P2" s="21"/>
    </row>
    <row x14ac:dyDescent="0.25" r="3" customHeight="1" ht="18">
      <c r="A3" s="15">
        <v>5.218</v>
      </c>
      <c r="B3" s="9">
        <f>$P$15*$P$15/($P$13 * (2 * PI() * $A3 * 10^(-6) + 10^(-5))) * 10^9</f>
      </c>
      <c r="C3" s="10">
        <v>-3.747</v>
      </c>
      <c r="D3" s="8">
        <f>2528</f>
      </c>
      <c r="E3" s="11">
        <f>$B3 * ($B3 + $P$15 * 10^9/$D3)/($P$15 * 10^9/$D3)</f>
      </c>
      <c r="F3" s="15">
        <v>-1.998</v>
      </c>
      <c r="G3" s="8">
        <f>1911</f>
      </c>
      <c r="H3" s="11">
        <f>$B3 * ($B3 + $P$15 * 10^9/$G3)/($P$15 * 10^9/$G3)</f>
      </c>
      <c r="I3" s="15">
        <v>-1.239</v>
      </c>
      <c r="J3" s="8">
        <f>1573</f>
      </c>
      <c r="K3" s="11">
        <f>$B3 * ($B3 + $P$15 * 10^9/$J3)/($P$15 * 10^9/$J3)</f>
      </c>
      <c r="L3" s="22"/>
      <c r="M3" s="22"/>
      <c r="N3" s="22"/>
      <c r="O3" s="22"/>
      <c r="P3" s="21"/>
    </row>
    <row x14ac:dyDescent="0.25" r="4" customHeight="1" ht="18">
      <c r="A4" s="8">
        <v>10</v>
      </c>
      <c r="B4" s="9">
        <f>$P$15*$P$15/($P$13 * (2 * PI() * $A4 * 10^(-6) + 10^(-5))) * 10^9</f>
      </c>
      <c r="C4" s="10">
        <v>-4.676</v>
      </c>
      <c r="D4" s="8">
        <f>3782</f>
      </c>
      <c r="E4" s="11">
        <f>$B4 * ($B4 + $P$15 * 10^9/$D4)/($P$15 * 10^9/$D4)</f>
      </c>
      <c r="F4" s="15">
        <v>-2.746</v>
      </c>
      <c r="G4" s="8">
        <f>2898</f>
      </c>
      <c r="H4" s="11">
        <f>$B4 * ($B4 + $P$15 * 10^9/$G4)/($P$15 * 10^9/$G4)</f>
      </c>
      <c r="I4" s="15">
        <v>-1.838</v>
      </c>
      <c r="J4" s="8">
        <f>2427</f>
      </c>
      <c r="K4" s="11">
        <f>$B4 * ($B4 + $P$15 * 10^9/$J4)/($P$15 * 10^9/$J4)</f>
      </c>
      <c r="L4" s="22"/>
      <c r="M4" s="22"/>
      <c r="N4" s="22"/>
      <c r="O4" s="22"/>
      <c r="P4" s="21"/>
    </row>
    <row x14ac:dyDescent="0.25" r="5" customHeight="1" ht="18">
      <c r="A5" s="8">
        <v>20</v>
      </c>
      <c r="B5" s="9">
        <f>$P$15*$P$15/($P$13 * (2 * PI() * $A5 * 10^(-6) + 10^(-5))) * 10^9</f>
      </c>
      <c r="C5" s="10">
        <v>-5.748</v>
      </c>
      <c r="D5" s="8">
        <f>6105</f>
      </c>
      <c r="E5" s="11">
        <f>$B5 * ($B5 + $P$15 * 10^9/$D5)/($P$15 * 10^9/$D5)</f>
      </c>
      <c r="F5" s="15">
        <v>-3.671</v>
      </c>
      <c r="G5" s="8">
        <f>4717</f>
      </c>
      <c r="H5" s="11">
        <f>$B5 * ($B5 + $P$15 * 10^9/$G5)/($P$15 * 10^9/$G5)</f>
      </c>
      <c r="I5" s="15">
        <v>-2.613</v>
      </c>
      <c r="J5" s="8">
        <f>3996</f>
      </c>
      <c r="K5" s="11">
        <f>$B5 * ($B5 + $P$15 * 10^9/$J5)/($P$15 * 10^9/$J5)</f>
      </c>
      <c r="L5" s="22"/>
      <c r="M5" s="22"/>
      <c r="N5" s="22"/>
      <c r="O5" s="22"/>
      <c r="P5" s="21"/>
    </row>
    <row x14ac:dyDescent="0.25" r="6" customHeight="1" ht="18">
      <c r="A6" s="8">
        <v>30</v>
      </c>
      <c r="B6" s="9">
        <f>$P$15*$P$15/($P$13 * (2 * PI() * $A6 * 10^(-6) + 10^(-5))) * 10^9</f>
      </c>
      <c r="C6" s="10">
        <v>-6.407</v>
      </c>
      <c r="D6" s="8">
        <f>8204</f>
      </c>
      <c r="E6" s="11">
        <f>$B6 * ($B6 + $P$15 * 10^9/$D6)/($P$15 * 10^9/$D6)</f>
      </c>
      <c r="F6" s="15">
        <v>-4.26</v>
      </c>
      <c r="G6" s="8">
        <f>6355</f>
      </c>
      <c r="H6" s="11">
        <f>$B6 * ($B6 + $P$15 * 10^9/$G6)/($P$15 * 10^9/$G6)</f>
      </c>
      <c r="I6" s="15">
        <v>-3.159</v>
      </c>
      <c r="J6" s="8">
        <f>5407</f>
      </c>
      <c r="K6" s="11">
        <f>$B6 * ($B6 + $P$15 * 10^9/$J6)/($P$15 * 10^9/$J6)</f>
      </c>
      <c r="L6" s="22"/>
      <c r="M6" s="22"/>
      <c r="N6" s="22"/>
      <c r="O6" s="22"/>
      <c r="P6" s="21"/>
    </row>
    <row x14ac:dyDescent="0.25" r="7" customHeight="1" ht="18">
      <c r="A7" s="8">
        <v>40</v>
      </c>
      <c r="B7" s="9">
        <f>$P$15*$P$15/($P$13 * (2 * PI() * $A7 * 10^(-6) + 10^(-5))) * 10^9</f>
      </c>
      <c r="C7" s="10">
        <v>-6.98</v>
      </c>
      <c r="D7" s="8">
        <f>10150</f>
      </c>
      <c r="E7" s="11">
        <f>$B7 * ($B7 + $P$15 * 10^9/$D7)/($P$15 * 10^9/$D7)</f>
      </c>
      <c r="F7" s="15">
        <v>-4.705</v>
      </c>
      <c r="G7" s="8">
        <f>7785</f>
      </c>
      <c r="H7" s="11">
        <f>$B7 * ($B7 + $P$15 * 10^9/$G7)/($P$15 * 10^9/$G7)</f>
      </c>
      <c r="I7" s="15">
        <v>-3.565</v>
      </c>
      <c r="J7" s="8">
        <f>6714</f>
      </c>
      <c r="K7" s="11">
        <f>$B7 * ($B7 + $P$15 * 10^9/$J7)/($P$15 * 10^9/$J7)</f>
      </c>
      <c r="L7" s="22"/>
      <c r="M7" s="22"/>
      <c r="N7" s="22"/>
      <c r="O7" s="22"/>
      <c r="P7" s="21"/>
    </row>
    <row x14ac:dyDescent="0.25" r="8" customHeight="1" ht="18">
      <c r="A8" s="8">
        <v>50</v>
      </c>
      <c r="B8" s="9">
        <f>$P$15*$P$15/($P$13 * (2 * PI() * $A8 * 10^(-6) + 10^(-5))) * 10^9</f>
      </c>
      <c r="C8" s="10">
        <v>-7.28</v>
      </c>
      <c r="D8" s="8">
        <f>12000</f>
      </c>
      <c r="E8" s="11">
        <f>$B8 * ($B8 + $P$15 * 10^9/$D8)/($P$15 * 10^9/$D8)</f>
      </c>
      <c r="F8" s="15">
        <v>-5.062</v>
      </c>
      <c r="G8" s="8">
        <f>9312</f>
      </c>
      <c r="H8" s="11">
        <f>$B8 * ($B8 + $P$15 * 10^9/$G8)/($P$15 * 10^9/$G8)</f>
      </c>
      <c r="I8" s="15">
        <v>-3.896</v>
      </c>
      <c r="J8" s="8">
        <f>7948</f>
      </c>
      <c r="K8" s="11">
        <f>$B8 * ($B8 + $P$15 * 10^9/$J8)/($P$15 * 10^9/$J8)</f>
      </c>
      <c r="L8" s="22"/>
      <c r="M8" s="22"/>
      <c r="N8" s="22"/>
      <c r="O8" s="22"/>
      <c r="P8" s="21"/>
    </row>
    <row x14ac:dyDescent="0.25" r="9" customHeight="1" ht="18">
      <c r="A9" s="23"/>
      <c r="B9" s="24"/>
      <c r="C9" s="19"/>
      <c r="D9" s="23"/>
      <c r="E9" s="20"/>
      <c r="F9" s="21"/>
      <c r="G9" s="23"/>
      <c r="H9" s="20"/>
      <c r="I9" s="21"/>
      <c r="J9" s="23"/>
      <c r="K9" s="20"/>
      <c r="L9" s="22"/>
      <c r="M9" s="22"/>
      <c r="N9" s="22"/>
      <c r="O9" s="22"/>
      <c r="P9" s="21"/>
    </row>
    <row x14ac:dyDescent="0.25" r="10" customHeight="1" ht="18">
      <c r="A10" s="23"/>
      <c r="B10" s="24"/>
      <c r="C10" s="19"/>
      <c r="D10" s="23"/>
      <c r="E10" s="20"/>
      <c r="F10" s="21"/>
      <c r="G10" s="23"/>
      <c r="H10" s="20"/>
      <c r="I10" s="21"/>
      <c r="J10" s="23"/>
      <c r="K10" s="20"/>
      <c r="L10" s="22"/>
      <c r="M10" s="22"/>
      <c r="N10" s="22"/>
      <c r="O10" s="22"/>
      <c r="P10" s="21"/>
    </row>
    <row x14ac:dyDescent="0.25" r="11" customHeight="1" ht="18">
      <c r="A11" s="23"/>
      <c r="B11" s="24"/>
      <c r="C11" s="19"/>
      <c r="D11" s="23"/>
      <c r="E11" s="20"/>
      <c r="F11" s="21"/>
      <c r="G11" s="23"/>
      <c r="H11" s="20"/>
      <c r="I11" s="21"/>
      <c r="J11" s="23"/>
      <c r="K11" s="20"/>
      <c r="L11" s="22"/>
      <c r="M11" s="22"/>
      <c r="N11" s="22"/>
      <c r="O11" s="22"/>
      <c r="P11" s="21"/>
    </row>
    <row x14ac:dyDescent="0.25" r="12" customHeight="1" ht="18">
      <c r="A12" s="23"/>
      <c r="B12" s="24"/>
      <c r="C12" s="19"/>
      <c r="D12" s="23"/>
      <c r="E12" s="20"/>
      <c r="F12" s="21"/>
      <c r="G12" s="23"/>
      <c r="H12" s="20"/>
      <c r="I12" s="21"/>
      <c r="J12" s="23"/>
      <c r="K12" s="20"/>
      <c r="L12" s="22"/>
      <c r="M12" s="22"/>
      <c r="N12" s="22"/>
      <c r="O12" s="22"/>
      <c r="P12" s="7" t="s">
        <v>20</v>
      </c>
    </row>
    <row x14ac:dyDescent="0.25" r="13" customHeight="1" ht="18">
      <c r="A13" s="23"/>
      <c r="B13" s="24"/>
      <c r="C13" s="19"/>
      <c r="D13" s="23"/>
      <c r="E13" s="20"/>
      <c r="F13" s="21"/>
      <c r="G13" s="23"/>
      <c r="H13" s="20"/>
      <c r="I13" s="21"/>
      <c r="J13" s="23"/>
      <c r="K13" s="20"/>
      <c r="L13" s="22"/>
      <c r="M13" s="22"/>
      <c r="N13" s="22"/>
      <c r="O13" s="22"/>
      <c r="P13" s="15">
        <f>4.385</f>
      </c>
    </row>
    <row x14ac:dyDescent="0.25" r="14" customHeight="1" ht="18">
      <c r="A14" s="23"/>
      <c r="B14" s="24"/>
      <c r="C14" s="19"/>
      <c r="D14" s="23"/>
      <c r="E14" s="20"/>
      <c r="F14" s="21"/>
      <c r="G14" s="23"/>
      <c r="H14" s="20"/>
      <c r="I14" s="21"/>
      <c r="J14" s="23"/>
      <c r="K14" s="20"/>
      <c r="L14" s="22"/>
      <c r="M14" s="22"/>
      <c r="N14" s="22"/>
      <c r="O14" s="22"/>
      <c r="P14" s="7" t="s">
        <v>21</v>
      </c>
    </row>
    <row x14ac:dyDescent="0.25" r="15" customHeight="1" ht="18">
      <c r="A15" s="23"/>
      <c r="B15" s="24"/>
      <c r="C15" s="19"/>
      <c r="D15" s="23"/>
      <c r="E15" s="20"/>
      <c r="F15" s="21"/>
      <c r="G15" s="23"/>
      <c r="H15" s="20"/>
      <c r="I15" s="21"/>
      <c r="J15" s="23"/>
      <c r="K15" s="20"/>
      <c r="L15" s="22"/>
      <c r="M15" s="22"/>
      <c r="N15" s="22"/>
      <c r="O15" s="22"/>
      <c r="P15" s="15">
        <f>1310 * 10^(-9)</f>
      </c>
    </row>
    <row x14ac:dyDescent="0.25" r="16" customHeight="1" ht="18">
      <c r="A16" s="23"/>
      <c r="B16" s="24"/>
      <c r="C16" s="19"/>
      <c r="D16" s="23"/>
      <c r="E16" s="20"/>
      <c r="F16" s="21"/>
      <c r="G16" s="23"/>
      <c r="H16" s="20"/>
      <c r="I16" s="21"/>
      <c r="J16" s="23"/>
      <c r="K16" s="20"/>
      <c r="L16" s="22"/>
      <c r="M16" s="22"/>
      <c r="N16" s="22"/>
      <c r="O16" s="22"/>
      <c r="P16" s="21"/>
    </row>
    <row x14ac:dyDescent="0.25" r="17" customHeight="1" ht="18">
      <c r="A17" s="23"/>
      <c r="B17" s="24"/>
      <c r="C17" s="19"/>
      <c r="D17" s="23"/>
      <c r="E17" s="20"/>
      <c r="F17" s="21"/>
      <c r="G17" s="23"/>
      <c r="H17" s="20"/>
      <c r="I17" s="21"/>
      <c r="J17" s="23"/>
      <c r="K17" s="20"/>
      <c r="L17" s="22"/>
      <c r="M17" s="22"/>
      <c r="N17" s="22"/>
      <c r="O17" s="22"/>
      <c r="P17" s="21"/>
    </row>
    <row x14ac:dyDescent="0.25" r="18" customHeight="1" ht="18">
      <c r="A18" s="23"/>
      <c r="B18" s="24"/>
      <c r="C18" s="19"/>
      <c r="D18" s="23"/>
      <c r="E18" s="20"/>
      <c r="F18" s="21"/>
      <c r="G18" s="23"/>
      <c r="H18" s="20"/>
      <c r="I18" s="21"/>
      <c r="J18" s="23"/>
      <c r="K18" s="20"/>
      <c r="L18" s="22"/>
      <c r="M18" s="22"/>
      <c r="N18" s="22"/>
      <c r="O18" s="22"/>
      <c r="P18" s="21"/>
    </row>
    <row x14ac:dyDescent="0.25" r="19" customHeight="1" ht="18">
      <c r="A19" s="23"/>
      <c r="B19" s="24"/>
      <c r="C19" s="19"/>
      <c r="D19" s="23"/>
      <c r="E19" s="20"/>
      <c r="F19" s="21"/>
      <c r="G19" s="23"/>
      <c r="H19" s="20"/>
      <c r="I19" s="21"/>
      <c r="J19" s="23"/>
      <c r="K19" s="20"/>
      <c r="L19" s="22"/>
      <c r="M19" s="22"/>
      <c r="N19" s="22"/>
      <c r="O19" s="22"/>
      <c r="P19" s="21"/>
    </row>
    <row x14ac:dyDescent="0.25" r="20" customHeight="1" ht="18">
      <c r="A20" s="23"/>
      <c r="B20" s="24"/>
      <c r="C20" s="19"/>
      <c r="D20" s="23"/>
      <c r="E20" s="20"/>
      <c r="F20" s="21"/>
      <c r="G20" s="23"/>
      <c r="H20" s="20"/>
      <c r="I20" s="21"/>
      <c r="J20" s="23"/>
      <c r="K20" s="20"/>
      <c r="L20" s="22"/>
      <c r="M20" s="22"/>
      <c r="N20" s="22"/>
      <c r="O20" s="22"/>
      <c r="P20" s="21"/>
    </row>
    <row x14ac:dyDescent="0.25" r="21" customHeight="1" ht="18">
      <c r="A21" s="23"/>
      <c r="B21" s="24"/>
      <c r="C21" s="19"/>
      <c r="D21" s="23"/>
      <c r="E21" s="20"/>
      <c r="F21" s="21"/>
      <c r="G21" s="23"/>
      <c r="H21" s="20"/>
      <c r="I21" s="21"/>
      <c r="J21" s="23"/>
      <c r="K21" s="20"/>
      <c r="L21" s="22"/>
      <c r="M21" s="22"/>
      <c r="N21" s="22"/>
      <c r="O21" s="22"/>
      <c r="P21" s="21"/>
    </row>
    <row x14ac:dyDescent="0.25" r="22" customHeight="1" ht="18">
      <c r="A22" s="23"/>
      <c r="B22" s="24"/>
      <c r="C22" s="19"/>
      <c r="D22" s="23"/>
      <c r="E22" s="20"/>
      <c r="F22" s="21"/>
      <c r="G22" s="23"/>
      <c r="H22" s="20"/>
      <c r="I22" s="21"/>
      <c r="J22" s="23"/>
      <c r="K22" s="20"/>
      <c r="L22" s="22"/>
      <c r="M22" s="22"/>
      <c r="N22" s="22"/>
      <c r="O22" s="22"/>
      <c r="P22" s="21"/>
    </row>
    <row x14ac:dyDescent="0.25" r="23" customHeight="1" ht="18">
      <c r="A23" s="23"/>
      <c r="B23" s="24"/>
      <c r="C23" s="19"/>
      <c r="D23" s="23"/>
      <c r="E23" s="20"/>
      <c r="F23" s="21"/>
      <c r="G23" s="23"/>
      <c r="H23" s="20"/>
      <c r="I23" s="21"/>
      <c r="J23" s="23"/>
      <c r="K23" s="20"/>
      <c r="L23" s="22"/>
      <c r="M23" s="22"/>
      <c r="N23" s="22"/>
      <c r="O23" s="22"/>
      <c r="P23" s="21"/>
    </row>
    <row x14ac:dyDescent="0.25" r="24" customHeight="1" ht="18">
      <c r="A24" s="23"/>
      <c r="B24" s="24"/>
      <c r="C24" s="19"/>
      <c r="D24" s="23"/>
      <c r="E24" s="20"/>
      <c r="F24" s="21"/>
      <c r="G24" s="23"/>
      <c r="H24" s="20"/>
      <c r="I24" s="21"/>
      <c r="J24" s="23"/>
      <c r="K24" s="20"/>
      <c r="L24" s="22"/>
      <c r="M24" s="22"/>
      <c r="N24" s="22"/>
      <c r="O24" s="22"/>
      <c r="P24" s="21"/>
    </row>
    <row x14ac:dyDescent="0.25" r="25" customHeight="1" ht="18">
      <c r="A25" s="23"/>
      <c r="B25" s="24"/>
      <c r="C25" s="19"/>
      <c r="D25" s="23"/>
      <c r="E25" s="20"/>
      <c r="F25" s="21"/>
      <c r="G25" s="23"/>
      <c r="H25" s="20"/>
      <c r="I25" s="21"/>
      <c r="J25" s="23"/>
      <c r="K25" s="20"/>
      <c r="L25" s="22"/>
      <c r="M25" s="22"/>
      <c r="N25" s="22"/>
      <c r="O25" s="22"/>
      <c r="P25" s="21"/>
    </row>
    <row x14ac:dyDescent="0.25" r="26" customHeight="1" ht="18">
      <c r="A26" s="23"/>
      <c r="B26" s="24"/>
      <c r="C26" s="19"/>
      <c r="D26" s="23"/>
      <c r="E26" s="20"/>
      <c r="F26" s="21"/>
      <c r="G26" s="23"/>
      <c r="H26" s="20"/>
      <c r="I26" s="21"/>
      <c r="J26" s="23"/>
      <c r="K26" s="20"/>
      <c r="L26" s="22"/>
      <c r="M26" s="22"/>
      <c r="N26" s="22"/>
      <c r="O26" s="22"/>
      <c r="P26" s="21"/>
    </row>
    <row x14ac:dyDescent="0.25" r="27" customHeight="1" ht="18">
      <c r="A27" s="23"/>
      <c r="B27" s="24"/>
      <c r="C27" s="19"/>
      <c r="D27" s="23"/>
      <c r="E27" s="20"/>
      <c r="F27" s="21"/>
      <c r="G27" s="23"/>
      <c r="H27" s="20"/>
      <c r="I27" s="21"/>
      <c r="J27" s="23"/>
      <c r="K27" s="20"/>
      <c r="L27" s="22"/>
      <c r="M27" s="22"/>
      <c r="N27" s="22"/>
      <c r="O27" s="22"/>
      <c r="P27" s="21"/>
    </row>
    <row x14ac:dyDescent="0.25" r="28" customHeight="1" ht="18">
      <c r="A28" s="23"/>
      <c r="B28" s="24"/>
      <c r="C28" s="19"/>
      <c r="D28" s="23"/>
      <c r="E28" s="20"/>
      <c r="F28" s="21"/>
      <c r="G28" s="23"/>
      <c r="H28" s="20"/>
      <c r="I28" s="21"/>
      <c r="J28" s="23"/>
      <c r="K28" s="20"/>
      <c r="L28" s="22"/>
      <c r="M28" s="22"/>
      <c r="N28" s="22"/>
      <c r="O28" s="22"/>
      <c r="P28" s="21"/>
    </row>
    <row x14ac:dyDescent="0.25" r="29" customHeight="1" ht="18">
      <c r="A29" s="23"/>
      <c r="B29" s="24"/>
      <c r="C29" s="19"/>
      <c r="D29" s="23"/>
      <c r="E29" s="20"/>
      <c r="F29" s="21"/>
      <c r="G29" s="23"/>
      <c r="H29" s="20"/>
      <c r="I29" s="21"/>
      <c r="J29" s="23"/>
      <c r="K29" s="20"/>
      <c r="L29" s="22"/>
      <c r="M29" s="22"/>
      <c r="N29" s="22"/>
      <c r="O29" s="22"/>
      <c r="P29" s="21"/>
    </row>
    <row x14ac:dyDescent="0.25" r="30" customHeight="1" ht="18">
      <c r="A30" s="23"/>
      <c r="B30" s="24"/>
      <c r="C30" s="19"/>
      <c r="D30" s="23"/>
      <c r="E30" s="20"/>
      <c r="F30" s="21"/>
      <c r="G30" s="23"/>
      <c r="H30" s="20"/>
      <c r="I30" s="21"/>
      <c r="J30" s="23"/>
      <c r="K30" s="20"/>
      <c r="L30" s="22"/>
      <c r="M30" s="22"/>
      <c r="N30" s="22"/>
      <c r="O30" s="22"/>
      <c r="P30" s="21"/>
    </row>
    <row x14ac:dyDescent="0.25" r="31" customHeight="1" ht="18">
      <c r="A31" s="23"/>
      <c r="B31" s="24"/>
      <c r="C31" s="19"/>
      <c r="D31" s="23"/>
      <c r="E31" s="20"/>
      <c r="F31" s="21"/>
      <c r="G31" s="23"/>
      <c r="H31" s="20"/>
      <c r="I31" s="21"/>
      <c r="J31" s="23"/>
      <c r="K31" s="20"/>
      <c r="L31" s="22"/>
      <c r="M31" s="22"/>
      <c r="N31" s="22"/>
      <c r="O31" s="22"/>
      <c r="P31" s="21"/>
    </row>
    <row x14ac:dyDescent="0.25" r="32" customHeight="1" ht="18">
      <c r="A32" s="23"/>
      <c r="B32" s="24"/>
      <c r="C32" s="19"/>
      <c r="D32" s="23"/>
      <c r="E32" s="20"/>
      <c r="F32" s="21"/>
      <c r="G32" s="23"/>
      <c r="H32" s="20"/>
      <c r="I32" s="21"/>
      <c r="J32" s="23"/>
      <c r="K32" s="20"/>
      <c r="L32" s="22"/>
      <c r="M32" s="22"/>
      <c r="N32" s="22"/>
      <c r="O32" s="22"/>
      <c r="P32" s="21"/>
    </row>
    <row x14ac:dyDescent="0.25" r="33" customHeight="1" ht="18">
      <c r="A33" s="23"/>
      <c r="B33" s="24"/>
      <c r="C33" s="19"/>
      <c r="D33" s="23"/>
      <c r="E33" s="20"/>
      <c r="F33" s="21"/>
      <c r="G33" s="23"/>
      <c r="H33" s="20"/>
      <c r="I33" s="21"/>
      <c r="J33" s="23"/>
      <c r="K33" s="20"/>
      <c r="L33" s="22"/>
      <c r="M33" s="22"/>
      <c r="N33" s="22"/>
      <c r="O33" s="22"/>
      <c r="P33" s="21"/>
    </row>
    <row x14ac:dyDescent="0.25" r="34" customHeight="1" ht="18">
      <c r="A34" s="23"/>
      <c r="B34" s="24"/>
      <c r="C34" s="19"/>
      <c r="D34" s="23"/>
      <c r="E34" s="20"/>
      <c r="F34" s="21"/>
      <c r="G34" s="23"/>
      <c r="H34" s="20"/>
      <c r="I34" s="21"/>
      <c r="J34" s="23"/>
      <c r="K34" s="20"/>
      <c r="L34" s="22"/>
      <c r="M34" s="22"/>
      <c r="N34" s="22"/>
      <c r="O34" s="22"/>
      <c r="P3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4"/>
  <sheetViews>
    <sheetView workbookViewId="0"/>
  </sheetViews>
  <sheetFormatPr defaultRowHeight="15" x14ac:dyDescent="0.25"/>
  <cols>
    <col min="1" max="1" style="25" width="15.43357142857143" customWidth="1" bestFit="1"/>
    <col min="2" max="2" style="26" width="13.005" customWidth="1" bestFit="1"/>
    <col min="3" max="3" style="27" width="22.576428571428572" customWidth="1" bestFit="1"/>
    <col min="4" max="4" style="25" width="13.005" customWidth="1" bestFit="1"/>
    <col min="5" max="5" style="27" width="22.576428571428572" customWidth="1" bestFit="1"/>
    <col min="6" max="6" style="27" width="22.576428571428572" customWidth="1" bestFit="1"/>
    <col min="7" max="7" style="25" width="13.005" customWidth="1" bestFit="1"/>
    <col min="8" max="8" style="27" width="23.862142857142857" customWidth="1" bestFit="1"/>
    <col min="9" max="9" style="27" width="23.862142857142857" customWidth="1" bestFit="1"/>
    <col min="10" max="10" style="25" width="13.005" customWidth="1" bestFit="1"/>
    <col min="11" max="11" style="27" width="26.005" customWidth="1" bestFit="1"/>
    <col min="12" max="12" style="27" width="23.14785714285714" customWidth="1" bestFit="1"/>
    <col min="13" max="13" style="25" width="13.005" customWidth="1" bestFit="1"/>
    <col min="14" max="14" style="27" width="30.290714285714284" customWidth="1" bestFit="1"/>
    <col min="15" max="15" style="28" width="13.005" customWidth="1" bestFit="1"/>
    <col min="16" max="16" style="27" width="13.005" customWidth="1" bestFit="1"/>
    <col min="17" max="17" style="27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22</v>
      </c>
      <c r="D1" s="1" t="s">
        <v>23</v>
      </c>
      <c r="E1" s="4" t="s">
        <v>24</v>
      </c>
      <c r="F1" s="5" t="s">
        <v>25</v>
      </c>
      <c r="G1" s="1" t="s">
        <v>26</v>
      </c>
      <c r="H1" s="4" t="s">
        <v>27</v>
      </c>
      <c r="I1" s="5" t="s">
        <v>2</v>
      </c>
      <c r="J1" s="1" t="s">
        <v>3</v>
      </c>
      <c r="K1" s="4" t="s">
        <v>28</v>
      </c>
      <c r="L1" s="5" t="s">
        <v>5</v>
      </c>
      <c r="M1" s="1" t="s">
        <v>6</v>
      </c>
      <c r="N1" s="4" t="s">
        <v>7</v>
      </c>
      <c r="O1" s="22"/>
      <c r="P1" s="21"/>
      <c r="Q1" s="7" t="s">
        <v>30</v>
      </c>
    </row>
    <row x14ac:dyDescent="0.25" r="2" customHeight="1" ht="18">
      <c r="A2" s="8">
        <v>3</v>
      </c>
      <c r="B2" s="9">
        <f>$P$15*$P$15/($P$13 * (2 * PI() * $A2 * 10^(-6) + 10^(-5))) * 10^9</f>
      </c>
      <c r="C2" s="10">
        <v>-3.014</v>
      </c>
      <c r="D2" s="8">
        <f>1896</f>
      </c>
      <c r="E2" s="11">
        <f>$B2 * ($B2 + $P$15 * 10^9/$D2)/($P$15 * 10^9/$D2)</f>
      </c>
      <c r="F2" s="15">
        <v>-1.455</v>
      </c>
      <c r="G2" s="8">
        <f>1407</f>
      </c>
      <c r="H2" s="11">
        <f>$B2 * ($B2 + $P$15 * 10^9/$G2)/($P$15 * 10^9/$G2)</f>
      </c>
      <c r="I2" s="15">
        <v>-0.841</v>
      </c>
      <c r="J2" s="8">
        <f>1136</f>
      </c>
      <c r="K2" s="11">
        <f>$B2 * ($B2 + $P$15 * 10^9/$J2)/($P$15 * 10^9/$J2)</f>
      </c>
      <c r="L2" s="15">
        <v>-0.329</v>
      </c>
      <c r="M2" s="8">
        <v>774</v>
      </c>
      <c r="N2" s="14">
        <f>$B2 * ($B2 + $P$15 * 10^9/$M2)/($P$15 * 10^9/$M2)</f>
      </c>
      <c r="O2" s="22"/>
      <c r="P2" s="21"/>
      <c r="Q2" s="15">
        <v>1.088</v>
      </c>
    </row>
    <row x14ac:dyDescent="0.25" r="3" customHeight="1" ht="18">
      <c r="A3" s="15">
        <v>5.218</v>
      </c>
      <c r="B3" s="9">
        <f>$P$15*$P$15/($P$13 * (2 * PI() * $A3 * 10^(-6) + 10^(-5))) * 10^9</f>
      </c>
      <c r="C3" s="10">
        <v>-3.747</v>
      </c>
      <c r="D3" s="8">
        <f>2528</f>
      </c>
      <c r="E3" s="11">
        <f>$B3 * ($B3 + $P$15 * 10^9/$D3)/($P$15 * 10^9/$D3)</f>
      </c>
      <c r="F3" s="15">
        <v>-1.998</v>
      </c>
      <c r="G3" s="8">
        <f>1911</f>
      </c>
      <c r="H3" s="11">
        <f>$B3 * ($B3 + $P$15 * 10^9/$G3)/($P$15 * 10^9/$G3)</f>
      </c>
      <c r="I3" s="15">
        <v>-1.239</v>
      </c>
      <c r="J3" s="8">
        <f>1573</f>
      </c>
      <c r="K3" s="11">
        <f>$B3 * ($B3 + $P$15 * 10^9/$J3)/($P$15 * 10^9/$J3)</f>
      </c>
      <c r="L3" s="15">
        <v>-0.531</v>
      </c>
      <c r="M3" s="8">
        <v>1107</v>
      </c>
      <c r="N3" s="14">
        <f>$B3 * ($B3 + $P$15 * 10^9/$M3)/($P$15 * 10^9/$M3)</f>
      </c>
      <c r="O3" s="22"/>
      <c r="P3" s="21"/>
      <c r="Q3" s="15">
        <v>2.15</v>
      </c>
    </row>
    <row x14ac:dyDescent="0.25" r="4" customHeight="1" ht="18">
      <c r="A4" s="8">
        <v>10</v>
      </c>
      <c r="B4" s="9">
        <f>$P$15*$P$15/($P$13 * (2 * PI() * $A4 * 10^(-6) + 10^(-5))) * 10^9</f>
      </c>
      <c r="C4" s="10">
        <v>-4.676</v>
      </c>
      <c r="D4" s="8">
        <f>3782</f>
      </c>
      <c r="E4" s="11">
        <f>$B4 * ($B4 + $P$15 * 10^9/$D4)/($P$15 * 10^9/$D4)</f>
      </c>
      <c r="F4" s="15">
        <v>-2.746</v>
      </c>
      <c r="G4" s="8">
        <f>2898</f>
      </c>
      <c r="H4" s="11">
        <f>$B4 * ($B4 + $P$15 * 10^9/$G4)/($P$15 * 10^9/$G4)</f>
      </c>
      <c r="I4" s="15">
        <v>-1.838</v>
      </c>
      <c r="J4" s="8">
        <f>2427</f>
      </c>
      <c r="K4" s="11">
        <f>$B4 * ($B4 + $P$15 * 10^9/$J4)/($P$15 * 10^9/$J4)</f>
      </c>
      <c r="L4" s="15">
        <v>-0.884</v>
      </c>
      <c r="M4" s="8">
        <v>1770</v>
      </c>
      <c r="N4" s="14">
        <f>$B4 * ($B4 + $P$15 * 10^9/$M4)/($P$15 * 10^9/$M4)</f>
      </c>
      <c r="O4" s="22"/>
      <c r="P4" s="21"/>
      <c r="Q4" s="15">
        <v>4.792</v>
      </c>
    </row>
    <row x14ac:dyDescent="0.25" r="5" customHeight="1" ht="18">
      <c r="A5" s="8">
        <v>20</v>
      </c>
      <c r="B5" s="9">
        <f>$P$15*$P$15/($P$13 * (2 * PI() * $A5 * 10^(-6) + 10^(-5))) * 10^9</f>
      </c>
      <c r="C5" s="10">
        <v>-5.748</v>
      </c>
      <c r="D5" s="8">
        <f>6105</f>
      </c>
      <c r="E5" s="11">
        <f>$B5 * ($B5 + $P$15 * 10^9/$D5)/($P$15 * 10^9/$D5)</f>
      </c>
      <c r="F5" s="15">
        <v>-3.671</v>
      </c>
      <c r="G5" s="8">
        <f>4717</f>
      </c>
      <c r="H5" s="11">
        <f>$B5 * ($B5 + $P$15 * 10^9/$G5)/($P$15 * 10^9/$G5)</f>
      </c>
      <c r="I5" s="15">
        <v>-2.613</v>
      </c>
      <c r="J5" s="8">
        <f>3996</f>
      </c>
      <c r="K5" s="11">
        <f>$B5 * ($B5 + $P$15 * 10^9/$J5)/($P$15 * 10^9/$J5)</f>
      </c>
      <c r="L5" s="15">
        <v>-1.429</v>
      </c>
      <c r="M5" s="8">
        <v>3004</v>
      </c>
      <c r="N5" s="14">
        <f>$B5 * ($B5 + $P$15 * 10^9/$M5)/($P$15 * 10^9/$M5)</f>
      </c>
      <c r="O5" s="22"/>
      <c r="P5" s="21"/>
      <c r="Q5" s="15">
        <v>4.696</v>
      </c>
    </row>
    <row x14ac:dyDescent="0.25" r="6" customHeight="1" ht="18">
      <c r="A6" s="8">
        <v>30</v>
      </c>
      <c r="B6" s="9">
        <f>$P$15*$P$15/($P$13 * (2 * PI() * $A6 * 10^(-6) + 10^(-5))) * 10^9</f>
      </c>
      <c r="C6" s="10">
        <v>-6.407</v>
      </c>
      <c r="D6" s="8">
        <f>8204</f>
      </c>
      <c r="E6" s="11">
        <f>$B6 * ($B6 + $P$15 * 10^9/$D6)/($P$15 * 10^9/$D6)</f>
      </c>
      <c r="F6" s="15">
        <v>-4.26</v>
      </c>
      <c r="G6" s="8">
        <f>6355</f>
      </c>
      <c r="H6" s="11">
        <f>$B6 * ($B6 + $P$15 * 10^9/$G6)/($P$15 * 10^9/$G6)</f>
      </c>
      <c r="I6" s="15">
        <v>-3.159</v>
      </c>
      <c r="J6" s="8">
        <f>5407</f>
      </c>
      <c r="K6" s="11">
        <f>$B6 * ($B6 + $P$15 * 10^9/$J6)/($P$15 * 10^9/$J6)</f>
      </c>
      <c r="L6" s="15">
        <v>-1.83</v>
      </c>
      <c r="M6" s="8">
        <v>4118</v>
      </c>
      <c r="N6" s="14">
        <f>$B6 * ($B6 + $P$15 * 10^9/$M6)/($P$15 * 10^9/$M6)</f>
      </c>
      <c r="O6" s="22"/>
      <c r="P6" s="21"/>
      <c r="Q6" s="15">
        <v>4.6</v>
      </c>
    </row>
    <row x14ac:dyDescent="0.25" r="7" customHeight="1" ht="18">
      <c r="A7" s="8">
        <v>40</v>
      </c>
      <c r="B7" s="9">
        <f>$P$15*$P$15/($P$13 * (2 * PI() * $A7 * 10^(-6) + 10^(-5))) * 10^9</f>
      </c>
      <c r="C7" s="10">
        <v>-6.98</v>
      </c>
      <c r="D7" s="8">
        <f>10150</f>
      </c>
      <c r="E7" s="11">
        <f>$B7 * ($B7 + $P$15 * 10^9/$D7)/($P$15 * 10^9/$D7)</f>
      </c>
      <c r="F7" s="15">
        <v>-4.705</v>
      </c>
      <c r="G7" s="8">
        <f>7785</f>
      </c>
      <c r="H7" s="11">
        <f>$B7 * ($B7 + $P$15 * 10^9/$G7)/($P$15 * 10^9/$G7)</f>
      </c>
      <c r="I7" s="15">
        <v>-3.565</v>
      </c>
      <c r="J7" s="8">
        <f>6714</f>
      </c>
      <c r="K7" s="11">
        <f>$B7 * ($B7 + $P$15 * 10^9/$J7)/($P$15 * 10^9/$J7)</f>
      </c>
      <c r="L7" s="15">
        <v>-2.155</v>
      </c>
      <c r="M7" s="8">
        <v>5150</v>
      </c>
      <c r="N7" s="14">
        <f>$B7 * ($B7 + $P$15 * 10^9/$M7)/($P$15 * 10^9/$M7)</f>
      </c>
      <c r="O7" s="22"/>
      <c r="P7" s="21"/>
      <c r="Q7" s="15">
        <v>4.506</v>
      </c>
    </row>
    <row x14ac:dyDescent="0.25" r="8" customHeight="1" ht="18">
      <c r="A8" s="8">
        <v>50</v>
      </c>
      <c r="B8" s="9">
        <f>$P$15*$P$15/($P$13 * (2 * PI() * $A8 * 10^(-6) + 10^(-5))) * 10^9</f>
      </c>
      <c r="C8" s="10">
        <v>-7.28</v>
      </c>
      <c r="D8" s="8">
        <f>12000</f>
      </c>
      <c r="E8" s="11">
        <f>$B8 * ($B8 + $P$15 * 10^9/$D8)/($P$15 * 10^9/$D8)</f>
      </c>
      <c r="F8" s="15">
        <v>-5.062</v>
      </c>
      <c r="G8" s="8">
        <f>9312</f>
      </c>
      <c r="H8" s="11">
        <f>$B8 * ($B8 + $P$15 * 10^9/$G8)/($P$15 * 10^9/$G8)</f>
      </c>
      <c r="I8" s="15">
        <v>-3.896</v>
      </c>
      <c r="J8" s="8">
        <f>7948</f>
      </c>
      <c r="K8" s="11">
        <f>$B8 * ($B8 + $P$15 * 10^9/$J8)/($P$15 * 10^9/$J8)</f>
      </c>
      <c r="L8" s="15">
        <v>-2.428</v>
      </c>
      <c r="M8" s="8">
        <v>6125</v>
      </c>
      <c r="N8" s="14">
        <f>$B8 * ($B8 + $P$15 * 10^9/$M8)/($P$15 * 10^9/$M8)</f>
      </c>
      <c r="O8" s="22"/>
      <c r="P8" s="21"/>
      <c r="Q8" s="15">
        <v>4.41</v>
      </c>
    </row>
    <row x14ac:dyDescent="0.25" r="9" customHeight="1" ht="18">
      <c r="A9" s="23"/>
      <c r="B9" s="24"/>
      <c r="C9" s="19"/>
      <c r="D9" s="23"/>
      <c r="E9" s="20"/>
      <c r="F9" s="21"/>
      <c r="G9" s="23"/>
      <c r="H9" s="20"/>
      <c r="I9" s="21"/>
      <c r="J9" s="23"/>
      <c r="K9" s="20"/>
      <c r="L9" s="21"/>
      <c r="M9" s="23"/>
      <c r="N9" s="20"/>
      <c r="O9" s="22"/>
      <c r="P9" s="21"/>
      <c r="Q9" s="21"/>
    </row>
    <row x14ac:dyDescent="0.25" r="10" customHeight="1" ht="18">
      <c r="A10" s="23"/>
      <c r="B10" s="24"/>
      <c r="C10" s="19"/>
      <c r="D10" s="23"/>
      <c r="E10" s="20"/>
      <c r="F10" s="21"/>
      <c r="G10" s="23"/>
      <c r="H10" s="20"/>
      <c r="I10" s="21"/>
      <c r="J10" s="23"/>
      <c r="K10" s="20"/>
      <c r="L10" s="21"/>
      <c r="M10" s="23"/>
      <c r="N10" s="20"/>
      <c r="O10" s="22"/>
      <c r="P10" s="21"/>
      <c r="Q10" s="21"/>
    </row>
    <row x14ac:dyDescent="0.25" r="11" customHeight="1" ht="18">
      <c r="A11" s="23"/>
      <c r="B11" s="24"/>
      <c r="C11" s="19"/>
      <c r="D11" s="23"/>
      <c r="E11" s="20"/>
      <c r="F11" s="21"/>
      <c r="G11" s="23"/>
      <c r="H11" s="20"/>
      <c r="I11" s="21"/>
      <c r="J11" s="23"/>
      <c r="K11" s="20"/>
      <c r="L11" s="21"/>
      <c r="M11" s="23"/>
      <c r="N11" s="20"/>
      <c r="O11" s="22"/>
      <c r="P11" s="21"/>
      <c r="Q11" s="21"/>
    </row>
    <row x14ac:dyDescent="0.25" r="12" customHeight="1" ht="18">
      <c r="A12" s="23"/>
      <c r="B12" s="24"/>
      <c r="C12" s="19"/>
      <c r="D12" s="23"/>
      <c r="E12" s="20"/>
      <c r="F12" s="21"/>
      <c r="G12" s="23"/>
      <c r="H12" s="20"/>
      <c r="I12" s="21"/>
      <c r="J12" s="23"/>
      <c r="K12" s="20"/>
      <c r="L12" s="21"/>
      <c r="M12" s="23"/>
      <c r="N12" s="20"/>
      <c r="O12" s="22"/>
      <c r="P12" s="7" t="s">
        <v>20</v>
      </c>
      <c r="Q12" s="21"/>
    </row>
    <row x14ac:dyDescent="0.25" r="13" customHeight="1" ht="18">
      <c r="A13" s="23"/>
      <c r="B13" s="24"/>
      <c r="C13" s="19"/>
      <c r="D13" s="23"/>
      <c r="E13" s="20"/>
      <c r="F13" s="21"/>
      <c r="G13" s="23"/>
      <c r="H13" s="20"/>
      <c r="I13" s="21"/>
      <c r="J13" s="23"/>
      <c r="K13" s="20"/>
      <c r="L13" s="21"/>
      <c r="M13" s="23"/>
      <c r="N13" s="20"/>
      <c r="O13" s="22"/>
      <c r="P13" s="15">
        <f>4.385</f>
      </c>
      <c r="Q13" s="21"/>
    </row>
    <row x14ac:dyDescent="0.25" r="14" customHeight="1" ht="18">
      <c r="A14" s="23"/>
      <c r="B14" s="24"/>
      <c r="C14" s="19"/>
      <c r="D14" s="23"/>
      <c r="E14" s="20"/>
      <c r="F14" s="21"/>
      <c r="G14" s="23"/>
      <c r="H14" s="20"/>
      <c r="I14" s="21"/>
      <c r="J14" s="23"/>
      <c r="K14" s="20"/>
      <c r="L14" s="21"/>
      <c r="M14" s="23"/>
      <c r="N14" s="20"/>
      <c r="O14" s="22"/>
      <c r="P14" s="7" t="s">
        <v>21</v>
      </c>
      <c r="Q14" s="21"/>
    </row>
    <row x14ac:dyDescent="0.25" r="15" customHeight="1" ht="18">
      <c r="A15" s="23"/>
      <c r="B15" s="24"/>
      <c r="C15" s="19"/>
      <c r="D15" s="23"/>
      <c r="E15" s="20"/>
      <c r="F15" s="21"/>
      <c r="G15" s="23"/>
      <c r="H15" s="20"/>
      <c r="I15" s="21"/>
      <c r="J15" s="23"/>
      <c r="K15" s="20"/>
      <c r="L15" s="21"/>
      <c r="M15" s="23"/>
      <c r="N15" s="20"/>
      <c r="O15" s="22"/>
      <c r="P15" s="15">
        <f>1310 * 10^(-9)</f>
      </c>
      <c r="Q15" s="21"/>
    </row>
    <row x14ac:dyDescent="0.25" r="16" customHeight="1" ht="18">
      <c r="A16" s="23"/>
      <c r="B16" s="24"/>
      <c r="C16" s="19"/>
      <c r="D16" s="23"/>
      <c r="E16" s="20"/>
      <c r="F16" s="21"/>
      <c r="G16" s="23"/>
      <c r="H16" s="20"/>
      <c r="I16" s="21"/>
      <c r="J16" s="23"/>
      <c r="K16" s="20"/>
      <c r="L16" s="21"/>
      <c r="M16" s="23"/>
      <c r="N16" s="20"/>
      <c r="O16" s="22"/>
      <c r="P16" s="21"/>
      <c r="Q16" s="21"/>
    </row>
    <row x14ac:dyDescent="0.25" r="17" customHeight="1" ht="18">
      <c r="A17" s="23"/>
      <c r="B17" s="24"/>
      <c r="C17" s="19"/>
      <c r="D17" s="23"/>
      <c r="E17" s="20"/>
      <c r="F17" s="21"/>
      <c r="G17" s="23"/>
      <c r="H17" s="20"/>
      <c r="I17" s="21"/>
      <c r="J17" s="23"/>
      <c r="K17" s="20"/>
      <c r="L17" s="21"/>
      <c r="M17" s="23"/>
      <c r="N17" s="20"/>
      <c r="O17" s="22"/>
      <c r="P17" s="21"/>
      <c r="Q17" s="21"/>
    </row>
    <row x14ac:dyDescent="0.25" r="18" customHeight="1" ht="18">
      <c r="A18" s="23"/>
      <c r="B18" s="24"/>
      <c r="C18" s="19"/>
      <c r="D18" s="23"/>
      <c r="E18" s="20"/>
      <c r="F18" s="21"/>
      <c r="G18" s="23"/>
      <c r="H18" s="20"/>
      <c r="I18" s="21"/>
      <c r="J18" s="23"/>
      <c r="K18" s="20"/>
      <c r="L18" s="21"/>
      <c r="M18" s="23"/>
      <c r="N18" s="20"/>
      <c r="O18" s="22"/>
      <c r="P18" s="21"/>
      <c r="Q18" s="21"/>
    </row>
    <row x14ac:dyDescent="0.25" r="19" customHeight="1" ht="18">
      <c r="A19" s="23"/>
      <c r="B19" s="24"/>
      <c r="C19" s="19"/>
      <c r="D19" s="23"/>
      <c r="E19" s="20"/>
      <c r="F19" s="21"/>
      <c r="G19" s="23"/>
      <c r="H19" s="20"/>
      <c r="I19" s="21"/>
      <c r="J19" s="23"/>
      <c r="K19" s="20"/>
      <c r="L19" s="21"/>
      <c r="M19" s="23"/>
      <c r="N19" s="20"/>
      <c r="O19" s="22"/>
      <c r="P19" s="21"/>
      <c r="Q19" s="21"/>
    </row>
    <row x14ac:dyDescent="0.25" r="20" customHeight="1" ht="18">
      <c r="A20" s="23"/>
      <c r="B20" s="24"/>
      <c r="C20" s="19"/>
      <c r="D20" s="23"/>
      <c r="E20" s="20"/>
      <c r="F20" s="21"/>
      <c r="G20" s="23"/>
      <c r="H20" s="20"/>
      <c r="I20" s="21"/>
      <c r="J20" s="23"/>
      <c r="K20" s="20"/>
      <c r="L20" s="21"/>
      <c r="M20" s="23"/>
      <c r="N20" s="20"/>
      <c r="O20" s="22"/>
      <c r="P20" s="21"/>
      <c r="Q20" s="21"/>
    </row>
    <row x14ac:dyDescent="0.25" r="21" customHeight="1" ht="18">
      <c r="A21" s="23"/>
      <c r="B21" s="24"/>
      <c r="C21" s="19"/>
      <c r="D21" s="23"/>
      <c r="E21" s="20"/>
      <c r="F21" s="21"/>
      <c r="G21" s="23"/>
      <c r="H21" s="20"/>
      <c r="I21" s="21"/>
      <c r="J21" s="23"/>
      <c r="K21" s="20"/>
      <c r="L21" s="21"/>
      <c r="M21" s="23"/>
      <c r="N21" s="20"/>
      <c r="O21" s="22"/>
      <c r="P21" s="21"/>
      <c r="Q21" s="21"/>
    </row>
    <row x14ac:dyDescent="0.25" r="22" customHeight="1" ht="18">
      <c r="A22" s="23"/>
      <c r="B22" s="24"/>
      <c r="C22" s="19"/>
      <c r="D22" s="23"/>
      <c r="E22" s="20"/>
      <c r="F22" s="21"/>
      <c r="G22" s="23"/>
      <c r="H22" s="20"/>
      <c r="I22" s="21"/>
      <c r="J22" s="23"/>
      <c r="K22" s="20"/>
      <c r="L22" s="21"/>
      <c r="M22" s="23"/>
      <c r="N22" s="20"/>
      <c r="O22" s="22"/>
      <c r="P22" s="21"/>
      <c r="Q22" s="21"/>
    </row>
    <row x14ac:dyDescent="0.25" r="23" customHeight="1" ht="18">
      <c r="A23" s="23"/>
      <c r="B23" s="24"/>
      <c r="C23" s="19"/>
      <c r="D23" s="23"/>
      <c r="E23" s="20"/>
      <c r="F23" s="21"/>
      <c r="G23" s="23"/>
      <c r="H23" s="20"/>
      <c r="I23" s="21"/>
      <c r="J23" s="23"/>
      <c r="K23" s="20"/>
      <c r="L23" s="21"/>
      <c r="M23" s="23"/>
      <c r="N23" s="20"/>
      <c r="O23" s="22"/>
      <c r="P23" s="21"/>
      <c r="Q23" s="21"/>
    </row>
    <row x14ac:dyDescent="0.25" r="24" customHeight="1" ht="18">
      <c r="A24" s="23"/>
      <c r="B24" s="24"/>
      <c r="C24" s="19"/>
      <c r="D24" s="23"/>
      <c r="E24" s="20"/>
      <c r="F24" s="21"/>
      <c r="G24" s="23"/>
      <c r="H24" s="20"/>
      <c r="I24" s="21"/>
      <c r="J24" s="23"/>
      <c r="K24" s="20"/>
      <c r="L24" s="21"/>
      <c r="M24" s="23"/>
      <c r="N24" s="20"/>
      <c r="O24" s="22"/>
      <c r="P24" s="21"/>
      <c r="Q24" s="21"/>
    </row>
    <row x14ac:dyDescent="0.25" r="25" customHeight="1" ht="18">
      <c r="A25" s="23"/>
      <c r="B25" s="24"/>
      <c r="C25" s="19"/>
      <c r="D25" s="23"/>
      <c r="E25" s="20"/>
      <c r="F25" s="21"/>
      <c r="G25" s="23"/>
      <c r="H25" s="20"/>
      <c r="I25" s="21"/>
      <c r="J25" s="23"/>
      <c r="K25" s="20"/>
      <c r="L25" s="21"/>
      <c r="M25" s="23"/>
      <c r="N25" s="20"/>
      <c r="O25" s="22"/>
      <c r="P25" s="21"/>
      <c r="Q25" s="21"/>
    </row>
    <row x14ac:dyDescent="0.25" r="26" customHeight="1" ht="18">
      <c r="A26" s="23"/>
      <c r="B26" s="24"/>
      <c r="C26" s="19"/>
      <c r="D26" s="23"/>
      <c r="E26" s="20"/>
      <c r="F26" s="21"/>
      <c r="G26" s="23"/>
      <c r="H26" s="20"/>
      <c r="I26" s="21"/>
      <c r="J26" s="23"/>
      <c r="K26" s="20"/>
      <c r="L26" s="21"/>
      <c r="M26" s="23"/>
      <c r="N26" s="20"/>
      <c r="O26" s="22"/>
      <c r="P26" s="21"/>
      <c r="Q26" s="21"/>
    </row>
    <row x14ac:dyDescent="0.25" r="27" customHeight="1" ht="18">
      <c r="A27" s="23"/>
      <c r="B27" s="24"/>
      <c r="C27" s="19"/>
      <c r="D27" s="23"/>
      <c r="E27" s="20"/>
      <c r="F27" s="21"/>
      <c r="G27" s="23"/>
      <c r="H27" s="20"/>
      <c r="I27" s="21"/>
      <c r="J27" s="23"/>
      <c r="K27" s="20"/>
      <c r="L27" s="21"/>
      <c r="M27" s="23"/>
      <c r="N27" s="20"/>
      <c r="O27" s="22"/>
      <c r="P27" s="21"/>
      <c r="Q27" s="21"/>
    </row>
    <row x14ac:dyDescent="0.25" r="28" customHeight="1" ht="18">
      <c r="A28" s="23"/>
      <c r="B28" s="24"/>
      <c r="C28" s="19"/>
      <c r="D28" s="23"/>
      <c r="E28" s="20"/>
      <c r="F28" s="21"/>
      <c r="G28" s="23"/>
      <c r="H28" s="20"/>
      <c r="I28" s="21"/>
      <c r="J28" s="23"/>
      <c r="K28" s="20"/>
      <c r="L28" s="21"/>
      <c r="M28" s="23"/>
      <c r="N28" s="20"/>
      <c r="O28" s="22"/>
      <c r="P28" s="21"/>
      <c r="Q28" s="21"/>
    </row>
    <row x14ac:dyDescent="0.25" r="29" customHeight="1" ht="18">
      <c r="A29" s="23"/>
      <c r="B29" s="24"/>
      <c r="C29" s="19"/>
      <c r="D29" s="23"/>
      <c r="E29" s="20"/>
      <c r="F29" s="21"/>
      <c r="G29" s="23"/>
      <c r="H29" s="20"/>
      <c r="I29" s="21"/>
      <c r="J29" s="23"/>
      <c r="K29" s="20"/>
      <c r="L29" s="21"/>
      <c r="M29" s="23"/>
      <c r="N29" s="20"/>
      <c r="O29" s="22"/>
      <c r="P29" s="21"/>
      <c r="Q29" s="21"/>
    </row>
    <row x14ac:dyDescent="0.25" r="30" customHeight="1" ht="18">
      <c r="A30" s="23"/>
      <c r="B30" s="24"/>
      <c r="C30" s="19"/>
      <c r="D30" s="23"/>
      <c r="E30" s="20"/>
      <c r="F30" s="21"/>
      <c r="G30" s="23"/>
      <c r="H30" s="20"/>
      <c r="I30" s="21"/>
      <c r="J30" s="23"/>
      <c r="K30" s="20"/>
      <c r="L30" s="21"/>
      <c r="M30" s="23"/>
      <c r="N30" s="20"/>
      <c r="O30" s="22"/>
      <c r="P30" s="21"/>
      <c r="Q30" s="21"/>
    </row>
    <row x14ac:dyDescent="0.25" r="31" customHeight="1" ht="18">
      <c r="A31" s="23"/>
      <c r="B31" s="24"/>
      <c r="C31" s="19"/>
      <c r="D31" s="23"/>
      <c r="E31" s="20"/>
      <c r="F31" s="21"/>
      <c r="G31" s="23"/>
      <c r="H31" s="20"/>
      <c r="I31" s="21"/>
      <c r="J31" s="23"/>
      <c r="K31" s="20"/>
      <c r="L31" s="21"/>
      <c r="M31" s="23"/>
      <c r="N31" s="20"/>
      <c r="O31" s="22"/>
      <c r="P31" s="21"/>
      <c r="Q31" s="21"/>
    </row>
    <row x14ac:dyDescent="0.25" r="32" customHeight="1" ht="18">
      <c r="A32" s="23"/>
      <c r="B32" s="24"/>
      <c r="C32" s="19"/>
      <c r="D32" s="23"/>
      <c r="E32" s="20"/>
      <c r="F32" s="21"/>
      <c r="G32" s="23"/>
      <c r="H32" s="20"/>
      <c r="I32" s="21"/>
      <c r="J32" s="23"/>
      <c r="K32" s="20"/>
      <c r="L32" s="21"/>
      <c r="M32" s="23"/>
      <c r="N32" s="20"/>
      <c r="O32" s="22"/>
      <c r="P32" s="21"/>
      <c r="Q32" s="21"/>
    </row>
    <row x14ac:dyDescent="0.25" r="33" customHeight="1" ht="18">
      <c r="A33" s="23"/>
      <c r="B33" s="24"/>
      <c r="C33" s="19"/>
      <c r="D33" s="23"/>
      <c r="E33" s="20"/>
      <c r="F33" s="21"/>
      <c r="G33" s="23"/>
      <c r="H33" s="20"/>
      <c r="I33" s="21"/>
      <c r="J33" s="23"/>
      <c r="K33" s="20"/>
      <c r="L33" s="21"/>
      <c r="M33" s="23"/>
      <c r="N33" s="20"/>
      <c r="O33" s="22"/>
      <c r="P33" s="21"/>
      <c r="Q33" s="21"/>
    </row>
    <row x14ac:dyDescent="0.25" r="34" customHeight="1" ht="18">
      <c r="A34" s="23"/>
      <c r="B34" s="24"/>
      <c r="C34" s="19"/>
      <c r="D34" s="23"/>
      <c r="E34" s="20"/>
      <c r="F34" s="21"/>
      <c r="G34" s="23"/>
      <c r="H34" s="20"/>
      <c r="I34" s="21"/>
      <c r="J34" s="23"/>
      <c r="K34" s="20"/>
      <c r="L34" s="21"/>
      <c r="M34" s="23"/>
      <c r="N34" s="20"/>
      <c r="O34" s="22"/>
      <c r="P34" s="21"/>
      <c r="Q3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4"/>
  <sheetViews>
    <sheetView workbookViewId="0"/>
  </sheetViews>
  <sheetFormatPr defaultRowHeight="15" x14ac:dyDescent="0.25"/>
  <cols>
    <col min="1" max="1" style="25" width="15.43357142857143" customWidth="1" bestFit="1"/>
    <col min="2" max="2" style="26" width="13.005" customWidth="1" bestFit="1"/>
    <col min="3" max="3" style="27" width="23.862142857142857" customWidth="1" bestFit="1"/>
    <col min="4" max="4" style="25" width="13.005" customWidth="1" bestFit="1"/>
    <col min="5" max="5" style="27" width="26.005" customWidth="1" bestFit="1"/>
    <col min="6" max="6" style="27" width="23.14785714285714" customWidth="1" bestFit="1"/>
    <col min="7" max="7" style="25" width="13.005" customWidth="1" bestFit="1"/>
    <col min="8" max="8" style="27" width="30.290714285714284" customWidth="1" bestFit="1"/>
    <col min="9" max="9" style="27" width="22.576428571428572" customWidth="1" bestFit="1"/>
    <col min="10" max="10" style="25" width="13.005" customWidth="1" bestFit="1"/>
    <col min="11" max="11" style="27" width="13.005" customWidth="1" bestFit="1"/>
    <col min="12" max="12" style="28" width="13.005" customWidth="1" bestFit="1"/>
    <col min="13" max="13" style="28" width="13.005" customWidth="1" bestFit="1"/>
    <col min="14" max="14" style="28" width="13.005" customWidth="1" bestFit="1"/>
    <col min="15" max="15" style="28" width="13.005" customWidth="1" bestFit="1"/>
    <col min="16" max="16" style="27" width="13.005" customWidth="1" bestFit="1"/>
    <col min="17" max="17" style="27" width="13.005" customWidth="1" bestFit="1"/>
  </cols>
  <sheetData>
    <row x14ac:dyDescent="0.25" r="1" customHeight="1" ht="18">
      <c r="A1" s="1" t="s">
        <v>0</v>
      </c>
      <c r="B1" s="2" t="s">
        <v>1</v>
      </c>
      <c r="C1" s="5" t="s">
        <v>2</v>
      </c>
      <c r="D1" s="1" t="s">
        <v>3</v>
      </c>
      <c r="E1" s="4" t="s">
        <v>28</v>
      </c>
      <c r="F1" s="5" t="s">
        <v>5</v>
      </c>
      <c r="G1" s="1" t="s">
        <v>6</v>
      </c>
      <c r="H1" s="4" t="s">
        <v>7</v>
      </c>
      <c r="I1" s="5" t="s">
        <v>8</v>
      </c>
      <c r="J1" s="1" t="s">
        <v>9</v>
      </c>
      <c r="K1" s="4" t="s">
        <v>10</v>
      </c>
      <c r="L1" s="22"/>
      <c r="M1" s="22"/>
      <c r="N1" s="22"/>
      <c r="O1" s="22"/>
      <c r="P1" s="21"/>
      <c r="Q1" s="7" t="s">
        <v>30</v>
      </c>
    </row>
    <row x14ac:dyDescent="0.25" r="2" customHeight="1" ht="18">
      <c r="A2" s="8">
        <v>3</v>
      </c>
      <c r="B2" s="9">
        <f>$P$15*$P$15/($P$13 * (2 * PI() * $A2 * 10^(-6) + 10^(-5))) * 10^9</f>
      </c>
      <c r="C2" s="15">
        <v>-0.841</v>
      </c>
      <c r="D2" s="8">
        <f>1136</f>
      </c>
      <c r="E2" s="11">
        <f>$B2 * ($B2 + $P$15 * 10^9/$D2)/($P$15 * 10^9/$D2)</f>
      </c>
      <c r="F2" s="15">
        <v>-0.329</v>
      </c>
      <c r="G2" s="8">
        <v>774</v>
      </c>
      <c r="H2" s="14">
        <f>$B2 * ($B2 + $P$15 * 10^9/$G2)/($P$15 * 10^9/$G2)</f>
      </c>
      <c r="I2" s="15">
        <v>-0.157</v>
      </c>
      <c r="J2" s="8">
        <v>552</v>
      </c>
      <c r="K2" s="14">
        <f>$B2 * ($B2 + $P$15 * 10^9/$J2)/($P$15 * 10^9/$J2)</f>
      </c>
      <c r="L2" s="22"/>
      <c r="M2" s="22"/>
      <c r="N2" s="22"/>
      <c r="O2" s="22"/>
      <c r="P2" s="21"/>
      <c r="Q2" s="15">
        <v>1.088</v>
      </c>
    </row>
    <row x14ac:dyDescent="0.25" r="3" customHeight="1" ht="18">
      <c r="A3" s="15">
        <v>5.218</v>
      </c>
      <c r="B3" s="9">
        <f>$P$15*$P$15/($P$13 * (2 * PI() * $A3 * 10^(-6) + 10^(-5))) * 10^9</f>
      </c>
      <c r="C3" s="15">
        <v>-1.239</v>
      </c>
      <c r="D3" s="8">
        <f>1573</f>
      </c>
      <c r="E3" s="11">
        <f>$B3 * ($B3 + $P$15 * 10^9/$D3)/($P$15 * 10^9/$D3)</f>
      </c>
      <c r="F3" s="15">
        <v>-0.531</v>
      </c>
      <c r="G3" s="8">
        <v>1107</v>
      </c>
      <c r="H3" s="14">
        <f>$B3 * ($B3 + $P$15 * 10^9/$G3)/($P$15 * 10^9/$G3)</f>
      </c>
      <c r="I3" s="15">
        <v>-0.263</v>
      </c>
      <c r="J3" s="8">
        <v>803</v>
      </c>
      <c r="K3" s="14">
        <f>$B3 * ($B3 + $P$15 * 10^9/$J3)/($P$15 * 10^9/$J3)</f>
      </c>
      <c r="L3" s="22"/>
      <c r="M3" s="22"/>
      <c r="N3" s="22"/>
      <c r="O3" s="22"/>
      <c r="P3" s="21"/>
      <c r="Q3" s="15">
        <v>2.15</v>
      </c>
    </row>
    <row x14ac:dyDescent="0.25" r="4" customHeight="1" ht="18">
      <c r="A4" s="8">
        <v>10</v>
      </c>
      <c r="B4" s="9">
        <f>$P$15*$P$15/($P$13 * (2 * PI() * $A4 * 10^(-6) + 10^(-5))) * 10^9</f>
      </c>
      <c r="C4" s="15">
        <v>-1.838</v>
      </c>
      <c r="D4" s="8">
        <f>2427</f>
      </c>
      <c r="E4" s="11">
        <f>$B4 * ($B4 + $P$15 * 10^9/$D4)/($P$15 * 10^9/$D4)</f>
      </c>
      <c r="F4" s="15">
        <v>-0.884</v>
      </c>
      <c r="G4" s="8">
        <v>1770</v>
      </c>
      <c r="H4" s="14">
        <f>$B4 * ($B4 + $P$15 * 10^9/$G4)/($P$15 * 10^9/$G4)</f>
      </c>
      <c r="I4" s="15">
        <v>-0.468</v>
      </c>
      <c r="J4" s="8">
        <v>1316</v>
      </c>
      <c r="K4" s="14">
        <f>$B4 * ($B4 + $P$15 * 10^9/$J4)/($P$15 * 10^9/$J4)</f>
      </c>
      <c r="L4" s="22"/>
      <c r="M4" s="22"/>
      <c r="N4" s="22"/>
      <c r="O4" s="22"/>
      <c r="P4" s="21"/>
      <c r="Q4" s="15">
        <v>4.792</v>
      </c>
    </row>
    <row x14ac:dyDescent="0.25" r="5" customHeight="1" ht="18">
      <c r="A5" s="8">
        <v>20</v>
      </c>
      <c r="B5" s="9">
        <f>$P$15*$P$15/($P$13 * (2 * PI() * $A5 * 10^(-6) + 10^(-5))) * 10^9</f>
      </c>
      <c r="C5" s="15">
        <v>-2.613</v>
      </c>
      <c r="D5" s="8">
        <f>3996</f>
      </c>
      <c r="E5" s="11">
        <f>$B5 * ($B5 + $P$15 * 10^9/$D5)/($P$15 * 10^9/$D5)</f>
      </c>
      <c r="F5" s="15">
        <v>-1.429</v>
      </c>
      <c r="G5" s="8">
        <v>3004</v>
      </c>
      <c r="H5" s="14">
        <f>$B5 * ($B5 + $P$15 * 10^9/$G5)/($P$15 * 10^9/$G5)</f>
      </c>
      <c r="I5" s="15">
        <v>-0.823</v>
      </c>
      <c r="J5" s="8">
        <v>2300</v>
      </c>
      <c r="K5" s="14">
        <f>$B5 * ($B5 + $P$15 * 10^9/$J5)/($P$15 * 10^9/$J5)</f>
      </c>
      <c r="L5" s="22"/>
      <c r="M5" s="22"/>
      <c r="N5" s="22"/>
      <c r="O5" s="22"/>
      <c r="P5" s="21"/>
      <c r="Q5" s="15">
        <v>4.696</v>
      </c>
    </row>
    <row x14ac:dyDescent="0.25" r="6" customHeight="1" ht="18">
      <c r="A6" s="8">
        <v>30</v>
      </c>
      <c r="B6" s="9">
        <f>$P$15*$P$15/($P$13 * (2 * PI() * $A6 * 10^(-6) + 10^(-5))) * 10^9</f>
      </c>
      <c r="C6" s="15">
        <v>-3.159</v>
      </c>
      <c r="D6" s="8">
        <f>5407</f>
      </c>
      <c r="E6" s="11">
        <f>$B6 * ($B6 + $P$15 * 10^9/$D6)/($P$15 * 10^9/$D6)</f>
      </c>
      <c r="F6" s="15">
        <v>-1.83</v>
      </c>
      <c r="G6" s="8">
        <v>4118</v>
      </c>
      <c r="H6" s="14">
        <f>$B6 * ($B6 + $P$15 * 10^9/$G6)/($P$15 * 10^9/$G6)</f>
      </c>
      <c r="I6" s="15">
        <v>-1.112</v>
      </c>
      <c r="J6" s="8">
        <v>3201</v>
      </c>
      <c r="K6" s="14">
        <f>$B6 * ($B6 + $P$15 * 10^9/$J6)/($P$15 * 10^9/$J6)</f>
      </c>
      <c r="L6" s="22"/>
      <c r="M6" s="22"/>
      <c r="N6" s="22"/>
      <c r="O6" s="22"/>
      <c r="P6" s="21"/>
      <c r="Q6" s="15">
        <v>4.6</v>
      </c>
    </row>
    <row x14ac:dyDescent="0.25" r="7" customHeight="1" ht="18">
      <c r="A7" s="8">
        <v>40</v>
      </c>
      <c r="B7" s="9">
        <f>$P$15*$P$15/($P$13 * (2 * PI() * $A7 * 10^(-6) + 10^(-5))) * 10^9</f>
      </c>
      <c r="C7" s="15">
        <v>-3.565</v>
      </c>
      <c r="D7" s="8">
        <f>6714</f>
      </c>
      <c r="E7" s="11">
        <f>$B7 * ($B7 + $P$15 * 10^9/$D7)/($P$15 * 10^9/$D7)</f>
      </c>
      <c r="F7" s="15">
        <v>-2.155</v>
      </c>
      <c r="G7" s="8">
        <v>5150</v>
      </c>
      <c r="H7" s="14">
        <f>$B7 * ($B7 + $P$15 * 10^9/$G7)/($P$15 * 10^9/$G7)</f>
      </c>
      <c r="I7" s="15">
        <v>-1.358</v>
      </c>
      <c r="J7" s="8">
        <v>4042</v>
      </c>
      <c r="K7" s="14">
        <f>$B7 * ($B7 + $P$15 * 10^9/$J7)/($P$15 * 10^9/$J7)</f>
      </c>
      <c r="L7" s="22"/>
      <c r="M7" s="22"/>
      <c r="N7" s="22"/>
      <c r="O7" s="22"/>
      <c r="P7" s="21"/>
      <c r="Q7" s="15">
        <v>4.506</v>
      </c>
    </row>
    <row x14ac:dyDescent="0.25" r="8" customHeight="1" ht="18">
      <c r="A8" s="8">
        <v>50</v>
      </c>
      <c r="B8" s="9">
        <f>$P$15*$P$15/($P$13 * (2 * PI() * $A8 * 10^(-6) + 10^(-5))) * 10^9</f>
      </c>
      <c r="C8" s="15">
        <v>-3.896</v>
      </c>
      <c r="D8" s="8">
        <f>7948</f>
      </c>
      <c r="E8" s="11">
        <f>$B8 * ($B8 + $P$15 * 10^9/$D8)/($P$15 * 10^9/$D8)</f>
      </c>
      <c r="F8" s="15">
        <v>-2.428</v>
      </c>
      <c r="G8" s="8">
        <v>6125</v>
      </c>
      <c r="H8" s="14">
        <f>$B8 * ($B8 + $P$15 * 10^9/$G8)/($P$15 * 10^9/$G8)</f>
      </c>
      <c r="I8" s="15">
        <v>-1.574</v>
      </c>
      <c r="J8" s="8">
        <v>4838</v>
      </c>
      <c r="K8" s="14">
        <f>$B8 * ($B8 + $P$15 * 10^9/$J8)/($P$15 * 10^9/$J8)</f>
      </c>
      <c r="L8" s="22"/>
      <c r="M8" s="22"/>
      <c r="N8" s="22"/>
      <c r="O8" s="22"/>
      <c r="P8" s="21"/>
      <c r="Q8" s="15">
        <v>4.41</v>
      </c>
    </row>
    <row x14ac:dyDescent="0.25" r="9" customHeight="1" ht="18">
      <c r="A9" s="23"/>
      <c r="B9" s="24"/>
      <c r="C9" s="21"/>
      <c r="D9" s="23"/>
      <c r="E9" s="20"/>
      <c r="F9" s="21"/>
      <c r="G9" s="23"/>
      <c r="H9" s="20"/>
      <c r="I9" s="21"/>
      <c r="J9" s="23"/>
      <c r="K9" s="21"/>
      <c r="L9" s="22"/>
      <c r="M9" s="22"/>
      <c r="N9" s="22"/>
      <c r="O9" s="22"/>
      <c r="P9" s="21"/>
      <c r="Q9" s="21"/>
    </row>
    <row x14ac:dyDescent="0.25" r="10" customHeight="1" ht="18">
      <c r="A10" s="23"/>
      <c r="B10" s="24"/>
      <c r="C10" s="21"/>
      <c r="D10" s="23"/>
      <c r="E10" s="20"/>
      <c r="F10" s="21"/>
      <c r="G10" s="23"/>
      <c r="H10" s="20"/>
      <c r="I10" s="21"/>
      <c r="J10" s="23"/>
      <c r="K10" s="21"/>
      <c r="L10" s="22"/>
      <c r="M10" s="22"/>
      <c r="N10" s="22"/>
      <c r="O10" s="22"/>
      <c r="P10" s="21"/>
      <c r="Q10" s="21"/>
    </row>
    <row x14ac:dyDescent="0.25" r="11" customHeight="1" ht="18">
      <c r="A11" s="23"/>
      <c r="B11" s="24"/>
      <c r="C11" s="21"/>
      <c r="D11" s="23"/>
      <c r="E11" s="20"/>
      <c r="F11" s="21"/>
      <c r="G11" s="23"/>
      <c r="H11" s="20"/>
      <c r="I11" s="21"/>
      <c r="J11" s="23"/>
      <c r="K11" s="21"/>
      <c r="L11" s="22"/>
      <c r="M11" s="22"/>
      <c r="N11" s="22"/>
      <c r="O11" s="22"/>
      <c r="P11" s="21"/>
      <c r="Q11" s="21"/>
    </row>
    <row x14ac:dyDescent="0.25" r="12" customHeight="1" ht="18">
      <c r="A12" s="23"/>
      <c r="B12" s="24"/>
      <c r="C12" s="21"/>
      <c r="D12" s="23"/>
      <c r="E12" s="20"/>
      <c r="F12" s="21"/>
      <c r="G12" s="23"/>
      <c r="H12" s="20"/>
      <c r="I12" s="21"/>
      <c r="J12" s="23"/>
      <c r="K12" s="21"/>
      <c r="L12" s="22"/>
      <c r="M12" s="22"/>
      <c r="N12" s="22"/>
      <c r="O12" s="22"/>
      <c r="P12" s="7" t="s">
        <v>20</v>
      </c>
      <c r="Q12" s="21"/>
    </row>
    <row x14ac:dyDescent="0.25" r="13" customHeight="1" ht="18">
      <c r="A13" s="23"/>
      <c r="B13" s="24"/>
      <c r="C13" s="21"/>
      <c r="D13" s="23"/>
      <c r="E13" s="20"/>
      <c r="F13" s="21"/>
      <c r="G13" s="23"/>
      <c r="H13" s="20"/>
      <c r="I13" s="21"/>
      <c r="J13" s="23"/>
      <c r="K13" s="21"/>
      <c r="L13" s="22"/>
      <c r="M13" s="22"/>
      <c r="N13" s="22"/>
      <c r="O13" s="22"/>
      <c r="P13" s="15">
        <f>4.385</f>
      </c>
      <c r="Q13" s="21"/>
    </row>
    <row x14ac:dyDescent="0.25" r="14" customHeight="1" ht="18">
      <c r="A14" s="23"/>
      <c r="B14" s="24"/>
      <c r="C14" s="21"/>
      <c r="D14" s="23"/>
      <c r="E14" s="20"/>
      <c r="F14" s="21"/>
      <c r="G14" s="23"/>
      <c r="H14" s="20"/>
      <c r="I14" s="21"/>
      <c r="J14" s="23"/>
      <c r="K14" s="21"/>
      <c r="L14" s="22"/>
      <c r="M14" s="22"/>
      <c r="N14" s="22"/>
      <c r="O14" s="22"/>
      <c r="P14" s="7" t="s">
        <v>21</v>
      </c>
      <c r="Q14" s="21"/>
    </row>
    <row x14ac:dyDescent="0.25" r="15" customHeight="1" ht="18">
      <c r="A15" s="23"/>
      <c r="B15" s="24"/>
      <c r="C15" s="21"/>
      <c r="D15" s="23"/>
      <c r="E15" s="20"/>
      <c r="F15" s="21"/>
      <c r="G15" s="23"/>
      <c r="H15" s="20"/>
      <c r="I15" s="21"/>
      <c r="J15" s="23"/>
      <c r="K15" s="21"/>
      <c r="L15" s="22"/>
      <c r="M15" s="22"/>
      <c r="N15" s="22"/>
      <c r="O15" s="22"/>
      <c r="P15" s="15">
        <f>1310 * 10^(-9)</f>
      </c>
      <c r="Q15" s="21"/>
    </row>
    <row x14ac:dyDescent="0.25" r="16" customHeight="1" ht="18">
      <c r="A16" s="23"/>
      <c r="B16" s="24"/>
      <c r="C16" s="21"/>
      <c r="D16" s="23"/>
      <c r="E16" s="20"/>
      <c r="F16" s="21"/>
      <c r="G16" s="23"/>
      <c r="H16" s="20"/>
      <c r="I16" s="21"/>
      <c r="J16" s="23"/>
      <c r="K16" s="21"/>
      <c r="L16" s="22"/>
      <c r="M16" s="22"/>
      <c r="N16" s="22"/>
      <c r="O16" s="22"/>
      <c r="P16" s="21"/>
      <c r="Q16" s="21"/>
    </row>
    <row x14ac:dyDescent="0.25" r="17" customHeight="1" ht="18">
      <c r="A17" s="23"/>
      <c r="B17" s="24"/>
      <c r="C17" s="21"/>
      <c r="D17" s="23"/>
      <c r="E17" s="20"/>
      <c r="F17" s="21"/>
      <c r="G17" s="23"/>
      <c r="H17" s="20"/>
      <c r="I17" s="21"/>
      <c r="J17" s="23"/>
      <c r="K17" s="21"/>
      <c r="L17" s="22"/>
      <c r="M17" s="22"/>
      <c r="N17" s="22"/>
      <c r="O17" s="22"/>
      <c r="P17" s="21"/>
      <c r="Q17" s="21"/>
    </row>
    <row x14ac:dyDescent="0.25" r="18" customHeight="1" ht="18">
      <c r="A18" s="23"/>
      <c r="B18" s="24"/>
      <c r="C18" s="21"/>
      <c r="D18" s="23"/>
      <c r="E18" s="20"/>
      <c r="F18" s="21"/>
      <c r="G18" s="23"/>
      <c r="H18" s="20"/>
      <c r="I18" s="21"/>
      <c r="J18" s="23"/>
      <c r="K18" s="21"/>
      <c r="L18" s="22"/>
      <c r="M18" s="22"/>
      <c r="N18" s="22"/>
      <c r="O18" s="22"/>
      <c r="P18" s="21"/>
      <c r="Q18" s="21"/>
    </row>
    <row x14ac:dyDescent="0.25" r="19" customHeight="1" ht="18">
      <c r="A19" s="23"/>
      <c r="B19" s="24"/>
      <c r="C19" s="21"/>
      <c r="D19" s="23"/>
      <c r="E19" s="20"/>
      <c r="F19" s="21"/>
      <c r="G19" s="23"/>
      <c r="H19" s="20"/>
      <c r="I19" s="21"/>
      <c r="J19" s="23"/>
      <c r="K19" s="21"/>
      <c r="L19" s="22"/>
      <c r="M19" s="22"/>
      <c r="N19" s="22"/>
      <c r="O19" s="22"/>
      <c r="P19" s="21"/>
      <c r="Q19" s="21"/>
    </row>
    <row x14ac:dyDescent="0.25" r="20" customHeight="1" ht="18">
      <c r="A20" s="23"/>
      <c r="B20" s="24"/>
      <c r="C20" s="21"/>
      <c r="D20" s="23"/>
      <c r="E20" s="20"/>
      <c r="F20" s="21"/>
      <c r="G20" s="23"/>
      <c r="H20" s="20"/>
      <c r="I20" s="21"/>
      <c r="J20" s="23"/>
      <c r="K20" s="21"/>
      <c r="L20" s="22"/>
      <c r="M20" s="22"/>
      <c r="N20" s="22"/>
      <c r="O20" s="22"/>
      <c r="P20" s="21"/>
      <c r="Q20" s="21"/>
    </row>
    <row x14ac:dyDescent="0.25" r="21" customHeight="1" ht="18">
      <c r="A21" s="23"/>
      <c r="B21" s="24"/>
      <c r="C21" s="21"/>
      <c r="D21" s="23"/>
      <c r="E21" s="20"/>
      <c r="F21" s="21"/>
      <c r="G21" s="23"/>
      <c r="H21" s="20"/>
      <c r="I21" s="21"/>
      <c r="J21" s="23"/>
      <c r="K21" s="21"/>
      <c r="L21" s="22"/>
      <c r="M21" s="22"/>
      <c r="N21" s="22"/>
      <c r="O21" s="22"/>
      <c r="P21" s="21"/>
      <c r="Q21" s="21"/>
    </row>
    <row x14ac:dyDescent="0.25" r="22" customHeight="1" ht="18">
      <c r="A22" s="23"/>
      <c r="B22" s="24"/>
      <c r="C22" s="21"/>
      <c r="D22" s="23"/>
      <c r="E22" s="20"/>
      <c r="F22" s="21"/>
      <c r="G22" s="23"/>
      <c r="H22" s="20"/>
      <c r="I22" s="21"/>
      <c r="J22" s="23"/>
      <c r="K22" s="21"/>
      <c r="L22" s="22"/>
      <c r="M22" s="22"/>
      <c r="N22" s="22"/>
      <c r="O22" s="22"/>
      <c r="P22" s="21"/>
      <c r="Q22" s="21"/>
    </row>
    <row x14ac:dyDescent="0.25" r="23" customHeight="1" ht="18">
      <c r="A23" s="23"/>
      <c r="B23" s="24"/>
      <c r="C23" s="21"/>
      <c r="D23" s="23"/>
      <c r="E23" s="20"/>
      <c r="F23" s="21"/>
      <c r="G23" s="23"/>
      <c r="H23" s="20"/>
      <c r="I23" s="21"/>
      <c r="J23" s="23"/>
      <c r="K23" s="21"/>
      <c r="L23" s="22"/>
      <c r="M23" s="22"/>
      <c r="N23" s="22"/>
      <c r="O23" s="22"/>
      <c r="P23" s="21"/>
      <c r="Q23" s="21"/>
    </row>
    <row x14ac:dyDescent="0.25" r="24" customHeight="1" ht="18">
      <c r="A24" s="23"/>
      <c r="B24" s="24"/>
      <c r="C24" s="21"/>
      <c r="D24" s="23"/>
      <c r="E24" s="20"/>
      <c r="F24" s="21"/>
      <c r="G24" s="23"/>
      <c r="H24" s="20"/>
      <c r="I24" s="21"/>
      <c r="J24" s="23"/>
      <c r="K24" s="21"/>
      <c r="L24" s="22"/>
      <c r="M24" s="22"/>
      <c r="N24" s="22"/>
      <c r="O24" s="22"/>
      <c r="P24" s="21"/>
      <c r="Q24" s="21"/>
    </row>
    <row x14ac:dyDescent="0.25" r="25" customHeight="1" ht="18">
      <c r="A25" s="23"/>
      <c r="B25" s="24"/>
      <c r="C25" s="21"/>
      <c r="D25" s="23"/>
      <c r="E25" s="20"/>
      <c r="F25" s="21"/>
      <c r="G25" s="23"/>
      <c r="H25" s="20"/>
      <c r="I25" s="21"/>
      <c r="J25" s="23"/>
      <c r="K25" s="21"/>
      <c r="L25" s="22"/>
      <c r="M25" s="22"/>
      <c r="N25" s="22"/>
      <c r="O25" s="22"/>
      <c r="P25" s="21"/>
      <c r="Q25" s="21"/>
    </row>
    <row x14ac:dyDescent="0.25" r="26" customHeight="1" ht="18">
      <c r="A26" s="23"/>
      <c r="B26" s="24"/>
      <c r="C26" s="21"/>
      <c r="D26" s="23"/>
      <c r="E26" s="20"/>
      <c r="F26" s="21"/>
      <c r="G26" s="23"/>
      <c r="H26" s="20"/>
      <c r="I26" s="21"/>
      <c r="J26" s="23"/>
      <c r="K26" s="21"/>
      <c r="L26" s="22"/>
      <c r="M26" s="22"/>
      <c r="N26" s="22"/>
      <c r="O26" s="22"/>
      <c r="P26" s="21"/>
      <c r="Q26" s="21"/>
    </row>
    <row x14ac:dyDescent="0.25" r="27" customHeight="1" ht="18">
      <c r="A27" s="23"/>
      <c r="B27" s="24"/>
      <c r="C27" s="21"/>
      <c r="D27" s="23"/>
      <c r="E27" s="20"/>
      <c r="F27" s="21"/>
      <c r="G27" s="23"/>
      <c r="H27" s="20"/>
      <c r="I27" s="21"/>
      <c r="J27" s="23"/>
      <c r="K27" s="21"/>
      <c r="L27" s="22"/>
      <c r="M27" s="22"/>
      <c r="N27" s="22"/>
      <c r="O27" s="22"/>
      <c r="P27" s="21"/>
      <c r="Q27" s="21"/>
    </row>
    <row x14ac:dyDescent="0.25" r="28" customHeight="1" ht="18">
      <c r="A28" s="23"/>
      <c r="B28" s="24"/>
      <c r="C28" s="21"/>
      <c r="D28" s="23"/>
      <c r="E28" s="20"/>
      <c r="F28" s="21"/>
      <c r="G28" s="23"/>
      <c r="H28" s="20"/>
      <c r="I28" s="21"/>
      <c r="J28" s="23"/>
      <c r="K28" s="21"/>
      <c r="L28" s="22"/>
      <c r="M28" s="22"/>
      <c r="N28" s="22"/>
      <c r="O28" s="22"/>
      <c r="P28" s="21"/>
      <c r="Q28" s="21"/>
    </row>
    <row x14ac:dyDescent="0.25" r="29" customHeight="1" ht="18">
      <c r="A29" s="23"/>
      <c r="B29" s="24"/>
      <c r="C29" s="21"/>
      <c r="D29" s="23"/>
      <c r="E29" s="20"/>
      <c r="F29" s="21"/>
      <c r="G29" s="23"/>
      <c r="H29" s="20"/>
      <c r="I29" s="21"/>
      <c r="J29" s="23"/>
      <c r="K29" s="21"/>
      <c r="L29" s="22"/>
      <c r="M29" s="22"/>
      <c r="N29" s="22"/>
      <c r="O29" s="22"/>
      <c r="P29" s="21"/>
      <c r="Q29" s="21"/>
    </row>
    <row x14ac:dyDescent="0.25" r="30" customHeight="1" ht="18">
      <c r="A30" s="23"/>
      <c r="B30" s="24"/>
      <c r="C30" s="21"/>
      <c r="D30" s="23"/>
      <c r="E30" s="20"/>
      <c r="F30" s="21"/>
      <c r="G30" s="23"/>
      <c r="H30" s="20"/>
      <c r="I30" s="21"/>
      <c r="J30" s="23"/>
      <c r="K30" s="21"/>
      <c r="L30" s="22"/>
      <c r="M30" s="22"/>
      <c r="N30" s="22"/>
      <c r="O30" s="22"/>
      <c r="P30" s="21"/>
      <c r="Q30" s="21"/>
    </row>
    <row x14ac:dyDescent="0.25" r="31" customHeight="1" ht="18">
      <c r="A31" s="23"/>
      <c r="B31" s="24"/>
      <c r="C31" s="21"/>
      <c r="D31" s="23"/>
      <c r="E31" s="20"/>
      <c r="F31" s="21"/>
      <c r="G31" s="23"/>
      <c r="H31" s="20"/>
      <c r="I31" s="21"/>
      <c r="J31" s="23"/>
      <c r="K31" s="21"/>
      <c r="L31" s="22"/>
      <c r="M31" s="22"/>
      <c r="N31" s="22"/>
      <c r="O31" s="22"/>
      <c r="P31" s="21"/>
      <c r="Q31" s="21"/>
    </row>
    <row x14ac:dyDescent="0.25" r="32" customHeight="1" ht="18">
      <c r="A32" s="23"/>
      <c r="B32" s="24"/>
      <c r="C32" s="21"/>
      <c r="D32" s="23"/>
      <c r="E32" s="20"/>
      <c r="F32" s="21"/>
      <c r="G32" s="23"/>
      <c r="H32" s="20"/>
      <c r="I32" s="21"/>
      <c r="J32" s="23"/>
      <c r="K32" s="21"/>
      <c r="L32" s="22"/>
      <c r="M32" s="22"/>
      <c r="N32" s="22"/>
      <c r="O32" s="22"/>
      <c r="P32" s="21"/>
      <c r="Q32" s="21"/>
    </row>
    <row x14ac:dyDescent="0.25" r="33" customHeight="1" ht="18">
      <c r="A33" s="23"/>
      <c r="B33" s="24"/>
      <c r="C33" s="21"/>
      <c r="D33" s="23"/>
      <c r="E33" s="20"/>
      <c r="F33" s="21"/>
      <c r="G33" s="23"/>
      <c r="H33" s="20"/>
      <c r="I33" s="21"/>
      <c r="J33" s="23"/>
      <c r="K33" s="21"/>
      <c r="L33" s="22"/>
      <c r="M33" s="22"/>
      <c r="N33" s="22"/>
      <c r="O33" s="22"/>
      <c r="P33" s="21"/>
      <c r="Q33" s="21"/>
    </row>
    <row x14ac:dyDescent="0.25" r="34" customHeight="1" ht="18">
      <c r="A34" s="23"/>
      <c r="B34" s="24"/>
      <c r="C34" s="21"/>
      <c r="D34" s="23"/>
      <c r="E34" s="20"/>
      <c r="F34" s="21"/>
      <c r="G34" s="23"/>
      <c r="H34" s="20"/>
      <c r="I34" s="21"/>
      <c r="J34" s="23"/>
      <c r="K34" s="21"/>
      <c r="L34" s="22"/>
      <c r="M34" s="22"/>
      <c r="N34" s="22"/>
      <c r="O34" s="22"/>
      <c r="P34" s="21"/>
      <c r="Q34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4"/>
  <sheetViews>
    <sheetView workbookViewId="0"/>
  </sheetViews>
  <sheetFormatPr defaultRowHeight="15" x14ac:dyDescent="0.25"/>
  <cols>
    <col min="1" max="1" style="25" width="15.43357142857143" customWidth="1" bestFit="1"/>
    <col min="2" max="2" style="26" width="13.005" customWidth="1" bestFit="1"/>
    <col min="3" max="3" style="27" width="22.576428571428572" customWidth="1" bestFit="1"/>
    <col min="4" max="4" style="25" width="13.005" customWidth="1" bestFit="1"/>
    <col min="5" max="5" style="27" width="22.576428571428572" customWidth="1" bestFit="1"/>
    <col min="6" max="6" style="27" width="22.576428571428572" customWidth="1" bestFit="1"/>
    <col min="7" max="7" style="25" width="22.576428571428572" customWidth="1" bestFit="1"/>
    <col min="8" max="8" style="27" width="22.576428571428572" customWidth="1" bestFit="1"/>
    <col min="9" max="9" style="27" width="22.576428571428572" customWidth="1" bestFit="1"/>
    <col min="10" max="10" style="25" width="13.005" customWidth="1" bestFit="1"/>
    <col min="11" max="11" style="27" width="23.862142857142857" customWidth="1" bestFit="1"/>
    <col min="12" max="12" style="27" width="23.862142857142857" customWidth="1" bestFit="1"/>
    <col min="13" max="13" style="25" width="13.005" customWidth="1" bestFit="1"/>
    <col min="14" max="14" style="27" width="26.005" customWidth="1" bestFit="1"/>
    <col min="15" max="15" style="28" width="13.005" customWidth="1" bestFit="1"/>
    <col min="16" max="16" style="27" width="13.005" customWidth="1" bestFit="1"/>
    <col min="17" max="17" style="28" width="13.005" customWidth="1" bestFit="1"/>
    <col min="18" max="18" style="27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22</v>
      </c>
      <c r="D1" s="1" t="s">
        <v>23</v>
      </c>
      <c r="E1" s="4" t="s">
        <v>24</v>
      </c>
      <c r="F1" s="3" t="s">
        <v>25</v>
      </c>
      <c r="G1" s="1" t="s">
        <v>26</v>
      </c>
      <c r="H1" s="4" t="s">
        <v>27</v>
      </c>
      <c r="I1" s="5" t="s">
        <v>2</v>
      </c>
      <c r="J1" s="1" t="s">
        <v>3</v>
      </c>
      <c r="K1" s="4" t="s">
        <v>28</v>
      </c>
      <c r="L1" s="5" t="s">
        <v>5</v>
      </c>
      <c r="M1" s="1" t="s">
        <v>6</v>
      </c>
      <c r="N1" s="4" t="s">
        <v>7</v>
      </c>
      <c r="O1" s="29"/>
      <c r="P1" s="30"/>
      <c r="Q1" s="22"/>
      <c r="R1" s="7" t="s">
        <v>17</v>
      </c>
    </row>
    <row x14ac:dyDescent="0.25" r="2" customHeight="1" ht="18">
      <c r="A2" s="8">
        <v>30</v>
      </c>
      <c r="B2" s="9">
        <f>$P$15*$P$15/($P$13 * (2 * PI() * $A2 * 10^(-6))) * 10^9</f>
      </c>
      <c r="C2" s="10">
        <v>-2.862</v>
      </c>
      <c r="D2" s="8">
        <v>9459</v>
      </c>
      <c r="E2" s="11">
        <f>$B2 * ($B2 + $P$15 * 10^9/$D2)/($P$15 * 10^9/$D2)</f>
      </c>
      <c r="F2" s="12">
        <v>-1.683</v>
      </c>
      <c r="G2" s="13">
        <v>7317</v>
      </c>
      <c r="H2" s="31">
        <f>$B2 * ($B2 + $P$15 * 10^9/$G2)/($P$15 * 10^9/$G2)</f>
      </c>
      <c r="I2" s="15">
        <v>-1.077</v>
      </c>
      <c r="J2" s="8">
        <v>5854</v>
      </c>
      <c r="K2" s="11">
        <f>$B2 * ($B2 + $P$15 * 10^9/$J2)/($P$15 * 10^9/$J2)</f>
      </c>
      <c r="L2" s="15">
        <v>-0.538</v>
      </c>
      <c r="M2" s="8">
        <v>3969</v>
      </c>
      <c r="N2" s="11">
        <f>$B2 * ($B2 + $P$15 * 10^9/$M2)/($P$15 * 10^9/$M2)</f>
      </c>
      <c r="O2" s="22"/>
      <c r="P2" s="21"/>
      <c r="Q2" s="22"/>
      <c r="R2" s="15">
        <v>116.8</v>
      </c>
    </row>
    <row x14ac:dyDescent="0.25" r="3" customHeight="1" ht="18">
      <c r="A3" s="8">
        <v>40</v>
      </c>
      <c r="B3" s="9">
        <f>$P$15*$P$15/($P$13 * (2 * PI() * $A3 * 10^(-6))) * 10^9</f>
      </c>
      <c r="C3" s="10">
        <v>-2.872</v>
      </c>
      <c r="D3" s="8">
        <v>11820</v>
      </c>
      <c r="E3" s="11">
        <f>$B3 * ($B3 + $P$15 * 10^9/$D3)/($P$15 * 10^9/$D3)</f>
      </c>
      <c r="F3" s="12">
        <v>-1.692</v>
      </c>
      <c r="G3" s="13">
        <v>8722</v>
      </c>
      <c r="H3" s="31">
        <f>$B3 * ($B3 + $P$15 * 10^9/$G3)/($P$15 * 10^9/$G3)</f>
      </c>
      <c r="I3" s="15">
        <v>-1.085</v>
      </c>
      <c r="J3" s="8">
        <v>6978</v>
      </c>
      <c r="K3" s="11">
        <f>$B3 * ($B3 + $P$15 * 10^9/$J3)/($P$15 * 10^9/$J3)</f>
      </c>
      <c r="L3" s="15">
        <v>-0.543</v>
      </c>
      <c r="M3" s="8">
        <v>4732</v>
      </c>
      <c r="N3" s="11">
        <f>$B3 * ($B3 + $P$15 * 10^9/$M3)/($P$15 * 10^9/$M3)</f>
      </c>
      <c r="O3" s="22"/>
      <c r="P3" s="21"/>
      <c r="Q3" s="22"/>
      <c r="R3" s="15">
        <v>21.9</v>
      </c>
    </row>
    <row x14ac:dyDescent="0.25" r="4" customHeight="1" ht="18">
      <c r="A4" s="8">
        <v>50</v>
      </c>
      <c r="B4" s="9">
        <f>$P$15*$P$15/($P$13 * (2 * PI() * $A4 * 10^(-6))) * 10^9</f>
      </c>
      <c r="C4" s="10">
        <v>-2.882</v>
      </c>
      <c r="D4" s="8">
        <v>13130</v>
      </c>
      <c r="E4" s="11">
        <f>$B4 * ($B4 + $P$15 * 10^9/$D4)/($P$15 * 10^9/$D4)</f>
      </c>
      <c r="F4" s="12">
        <v>-1.702</v>
      </c>
      <c r="G4" s="13">
        <v>10120</v>
      </c>
      <c r="H4" s="31">
        <f>$B4 * ($B4 + $P$15 * 10^9/$G4)/($P$15 * 10^9/$G4)</f>
      </c>
      <c r="I4" s="15">
        <v>-1.093</v>
      </c>
      <c r="J4" s="8">
        <v>8127</v>
      </c>
      <c r="K4" s="11">
        <f>$B4 * ($B4 + $P$15 * 10^9/$J4)/($P$15 * 10^9/$J4)</f>
      </c>
      <c r="L4" s="15">
        <v>-0.549</v>
      </c>
      <c r="M4" s="8">
        <v>5493</v>
      </c>
      <c r="N4" s="11">
        <f>$B4 * ($B4 + $P$15 * 10^9/$M4)/($P$15 * 10^9/$M4)</f>
      </c>
      <c r="O4" s="22"/>
      <c r="P4" s="21"/>
      <c r="Q4" s="22"/>
      <c r="R4" s="8">
        <v>-73</v>
      </c>
    </row>
    <row x14ac:dyDescent="0.25" r="5" customHeight="1" ht="18">
      <c r="A5" s="8">
        <v>75</v>
      </c>
      <c r="B5" s="9">
        <f>$P$15*$P$15/($P$13 * (2 * PI() * $A5 * 10^(-6))) * 10^9</f>
      </c>
      <c r="C5" s="10">
        <v>-2.908</v>
      </c>
      <c r="D5" s="8">
        <v>17610</v>
      </c>
      <c r="E5" s="11">
        <f>$B5 * ($B5 + $P$15 * 10^9/$D5)/($P$15 * 10^9/$D5)</f>
      </c>
      <c r="F5" s="12">
        <v>-1.724</v>
      </c>
      <c r="G5" s="17">
        <v>13620</v>
      </c>
      <c r="H5" s="31">
        <f>$B5 * ($B5 + $P$15 * 10^9/$G5)/($P$15 * 10^9/$G5)</f>
      </c>
      <c r="I5" s="15">
        <v>-1.113</v>
      </c>
      <c r="J5" s="8">
        <v>10900</v>
      </c>
      <c r="K5" s="11">
        <f>$B5 * ($B5 + $P$15 * 10^9/$J5)/($P$15 * 10^9/$J5)</f>
      </c>
      <c r="L5" s="15">
        <v>-0.564</v>
      </c>
      <c r="M5" s="8">
        <v>7392</v>
      </c>
      <c r="N5" s="11">
        <f>$B5 * ($B5 + $P$15 * 10^9/$M5)/($P$15 * 10^9/$M5)</f>
      </c>
      <c r="O5" s="22"/>
      <c r="P5" s="21"/>
      <c r="Q5" s="22"/>
      <c r="R5" s="15">
        <v>-130.1</v>
      </c>
    </row>
    <row x14ac:dyDescent="0.25" r="6" customHeight="1" ht="18">
      <c r="A6" s="8">
        <v>100</v>
      </c>
      <c r="B6" s="9">
        <f>$P$15*$P$15/($P$13 * (2 * PI() * $A6 * 10^(-6))) * 10^9</f>
      </c>
      <c r="C6" s="10">
        <v>-2.934</v>
      </c>
      <c r="D6" s="8">
        <v>22120</v>
      </c>
      <c r="E6" s="11">
        <f>$B6 * ($B6 + $P$15 * 10^9/$D6)/($P$15 * 10^9/$D6)</f>
      </c>
      <c r="F6" s="10">
        <v>-1.747</v>
      </c>
      <c r="G6" s="8">
        <v>17100</v>
      </c>
      <c r="H6" s="31">
        <f>$B6 * ($B6 + $P$15 * 10^9/$G6)/($P$15 * 10^9/$G6)</f>
      </c>
      <c r="I6" s="15">
        <v>-1.133</v>
      </c>
      <c r="J6" s="8">
        <v>13690</v>
      </c>
      <c r="K6" s="11">
        <f>$B6 * ($B6 + $P$15 * 10^9/$J6)/($P$15 * 10^9/$J6)</f>
      </c>
      <c r="L6" s="15">
        <v>-0.58</v>
      </c>
      <c r="M6" s="8">
        <v>9286</v>
      </c>
      <c r="N6" s="11">
        <f>$B6 * ($B6 + $P$15 * 10^9/$M6)/($P$15 * 10^9/$M6)</f>
      </c>
      <c r="O6" s="22"/>
      <c r="P6" s="21"/>
      <c r="Q6" s="22"/>
      <c r="R6" s="15">
        <v>172.7</v>
      </c>
    </row>
    <row x14ac:dyDescent="0.25" r="7" customHeight="1" ht="18">
      <c r="A7" s="18"/>
      <c r="B7" s="9"/>
      <c r="C7" s="19"/>
      <c r="D7" s="18"/>
      <c r="E7" s="11"/>
      <c r="F7" s="7"/>
      <c r="G7" s="18"/>
      <c r="H7" s="20"/>
      <c r="I7" s="7"/>
      <c r="J7" s="18"/>
      <c r="K7" s="11"/>
      <c r="L7" s="7"/>
      <c r="M7" s="18"/>
      <c r="N7" s="11"/>
      <c r="O7" s="22"/>
      <c r="P7" s="21"/>
      <c r="Q7" s="22"/>
      <c r="R7" s="21"/>
    </row>
    <row x14ac:dyDescent="0.25" r="8" customHeight="1" ht="18">
      <c r="A8" s="18"/>
      <c r="B8" s="9"/>
      <c r="C8" s="19"/>
      <c r="D8" s="18"/>
      <c r="E8" s="11"/>
      <c r="F8" s="7"/>
      <c r="G8" s="18"/>
      <c r="H8" s="20"/>
      <c r="I8" s="7"/>
      <c r="J8" s="18"/>
      <c r="K8" s="11"/>
      <c r="L8" s="7"/>
      <c r="M8" s="18"/>
      <c r="N8" s="11"/>
      <c r="O8" s="22"/>
      <c r="P8" s="21"/>
      <c r="Q8" s="22"/>
      <c r="R8" s="7" t="s">
        <v>29</v>
      </c>
    </row>
    <row x14ac:dyDescent="0.25" r="9" customHeight="1" ht="18">
      <c r="A9" s="23"/>
      <c r="B9" s="24"/>
      <c r="C9" s="19"/>
      <c r="D9" s="23"/>
      <c r="E9" s="20"/>
      <c r="F9" s="21"/>
      <c r="G9" s="23"/>
      <c r="H9" s="20"/>
      <c r="I9" s="21"/>
      <c r="J9" s="23"/>
      <c r="K9" s="20"/>
      <c r="L9" s="21"/>
      <c r="M9" s="23"/>
      <c r="N9" s="20"/>
      <c r="O9" s="22"/>
      <c r="P9" s="21"/>
      <c r="Q9" s="22"/>
      <c r="R9" s="21"/>
    </row>
    <row x14ac:dyDescent="0.25" r="10" customHeight="1" ht="18">
      <c r="A10" s="23"/>
      <c r="B10" s="24"/>
      <c r="C10" s="19"/>
      <c r="D10" s="23"/>
      <c r="E10" s="20"/>
      <c r="F10" s="21"/>
      <c r="G10" s="23"/>
      <c r="H10" s="20"/>
      <c r="I10" s="21"/>
      <c r="J10" s="23"/>
      <c r="K10" s="20"/>
      <c r="L10" s="21"/>
      <c r="M10" s="23"/>
      <c r="N10" s="20"/>
      <c r="O10" s="22"/>
      <c r="P10" s="21"/>
      <c r="Q10" s="22"/>
      <c r="R10" s="21"/>
    </row>
    <row x14ac:dyDescent="0.25" r="11" customHeight="1" ht="18">
      <c r="A11" s="23"/>
      <c r="B11" s="24"/>
      <c r="C11" s="19"/>
      <c r="D11" s="23"/>
      <c r="E11" s="20"/>
      <c r="F11" s="21"/>
      <c r="G11" s="23"/>
      <c r="H11" s="20"/>
      <c r="I11" s="21"/>
      <c r="J11" s="23"/>
      <c r="K11" s="20"/>
      <c r="L11" s="21"/>
      <c r="M11" s="23"/>
      <c r="N11" s="20"/>
      <c r="O11" s="22"/>
      <c r="P11" s="21"/>
      <c r="Q11" s="22"/>
      <c r="R11" s="21"/>
    </row>
    <row x14ac:dyDescent="0.25" r="12" customHeight="1" ht="18">
      <c r="A12" s="23"/>
      <c r="B12" s="24"/>
      <c r="C12" s="19"/>
      <c r="D12" s="23"/>
      <c r="E12" s="20"/>
      <c r="F12" s="21"/>
      <c r="G12" s="23"/>
      <c r="H12" s="20"/>
      <c r="I12" s="21"/>
      <c r="J12" s="23"/>
      <c r="K12" s="20"/>
      <c r="L12" s="21"/>
      <c r="M12" s="23"/>
      <c r="N12" s="20"/>
      <c r="O12" s="22"/>
      <c r="P12" s="7" t="s">
        <v>20</v>
      </c>
      <c r="Q12" s="22"/>
      <c r="R12" s="21"/>
    </row>
    <row x14ac:dyDescent="0.25" r="13" customHeight="1" ht="18">
      <c r="A13" s="23"/>
      <c r="B13" s="24"/>
      <c r="C13" s="19"/>
      <c r="D13" s="23"/>
      <c r="E13" s="20"/>
      <c r="F13" s="21"/>
      <c r="G13" s="23"/>
      <c r="H13" s="20"/>
      <c r="I13" s="21"/>
      <c r="J13" s="23"/>
      <c r="K13" s="20"/>
      <c r="L13" s="21"/>
      <c r="M13" s="23"/>
      <c r="N13" s="20"/>
      <c r="O13" s="22"/>
      <c r="P13" s="15">
        <v>1.98</v>
      </c>
      <c r="Q13" s="22"/>
      <c r="R13" s="21"/>
    </row>
    <row x14ac:dyDescent="0.25" r="14" customHeight="1" ht="18">
      <c r="A14" s="23"/>
      <c r="B14" s="24"/>
      <c r="C14" s="19"/>
      <c r="D14" s="23"/>
      <c r="E14" s="20"/>
      <c r="F14" s="21"/>
      <c r="G14" s="23"/>
      <c r="H14" s="20"/>
      <c r="I14" s="21"/>
      <c r="J14" s="23"/>
      <c r="K14" s="20"/>
      <c r="L14" s="21"/>
      <c r="M14" s="23"/>
      <c r="N14" s="20"/>
      <c r="O14" s="22"/>
      <c r="P14" s="7" t="s">
        <v>21</v>
      </c>
      <c r="Q14" s="22"/>
      <c r="R14" s="21"/>
    </row>
    <row x14ac:dyDescent="0.25" r="15" customHeight="1" ht="18">
      <c r="A15" s="23"/>
      <c r="B15" s="24"/>
      <c r="C15" s="19"/>
      <c r="D15" s="23"/>
      <c r="E15" s="20"/>
      <c r="F15" s="21"/>
      <c r="G15" s="23"/>
      <c r="H15" s="20"/>
      <c r="I15" s="21"/>
      <c r="J15" s="23"/>
      <c r="K15" s="20"/>
      <c r="L15" s="21"/>
      <c r="M15" s="23"/>
      <c r="N15" s="20"/>
      <c r="O15" s="22"/>
      <c r="P15" s="15">
        <f>1310 * 10^(-9)</f>
      </c>
      <c r="Q15" s="22"/>
      <c r="R15" s="21"/>
    </row>
    <row x14ac:dyDescent="0.25" r="16" customHeight="1" ht="18">
      <c r="A16" s="23"/>
      <c r="B16" s="24"/>
      <c r="C16" s="19"/>
      <c r="D16" s="23"/>
      <c r="E16" s="20"/>
      <c r="F16" s="21"/>
      <c r="G16" s="23"/>
      <c r="H16" s="20"/>
      <c r="I16" s="21"/>
      <c r="J16" s="23"/>
      <c r="K16" s="20"/>
      <c r="L16" s="21"/>
      <c r="M16" s="23"/>
      <c r="N16" s="20"/>
      <c r="O16" s="22"/>
      <c r="P16" s="21"/>
      <c r="Q16" s="22"/>
      <c r="R16" s="21"/>
    </row>
    <row x14ac:dyDescent="0.25" r="17" customHeight="1" ht="18">
      <c r="A17" s="23"/>
      <c r="B17" s="24"/>
      <c r="C17" s="19"/>
      <c r="D17" s="23"/>
      <c r="E17" s="20"/>
      <c r="F17" s="21"/>
      <c r="G17" s="23"/>
      <c r="H17" s="20"/>
      <c r="I17" s="21"/>
      <c r="J17" s="23"/>
      <c r="K17" s="20"/>
      <c r="L17" s="21"/>
      <c r="M17" s="23"/>
      <c r="N17" s="20"/>
      <c r="O17" s="22"/>
      <c r="P17" s="21"/>
      <c r="Q17" s="22"/>
      <c r="R17" s="21"/>
    </row>
    <row x14ac:dyDescent="0.25" r="18" customHeight="1" ht="18">
      <c r="A18" s="23"/>
      <c r="B18" s="24"/>
      <c r="C18" s="19"/>
      <c r="D18" s="23"/>
      <c r="E18" s="20"/>
      <c r="F18" s="21"/>
      <c r="G18" s="23"/>
      <c r="H18" s="20"/>
      <c r="I18" s="21"/>
      <c r="J18" s="23"/>
      <c r="K18" s="20"/>
      <c r="L18" s="21"/>
      <c r="M18" s="23"/>
      <c r="N18" s="20"/>
      <c r="O18" s="22"/>
      <c r="P18" s="21"/>
      <c r="Q18" s="22"/>
      <c r="R18" s="21"/>
    </row>
    <row x14ac:dyDescent="0.25" r="19" customHeight="1" ht="18">
      <c r="A19" s="23"/>
      <c r="B19" s="24"/>
      <c r="C19" s="19"/>
      <c r="D19" s="23"/>
      <c r="E19" s="20"/>
      <c r="F19" s="21"/>
      <c r="G19" s="23"/>
      <c r="H19" s="20"/>
      <c r="I19" s="21"/>
      <c r="J19" s="23"/>
      <c r="K19" s="20"/>
      <c r="L19" s="21"/>
      <c r="M19" s="23"/>
      <c r="N19" s="20"/>
      <c r="O19" s="22"/>
      <c r="P19" s="21"/>
      <c r="Q19" s="22"/>
      <c r="R19" s="21"/>
    </row>
    <row x14ac:dyDescent="0.25" r="20" customHeight="1" ht="18">
      <c r="A20" s="23"/>
      <c r="B20" s="24"/>
      <c r="C20" s="19"/>
      <c r="D20" s="23"/>
      <c r="E20" s="20"/>
      <c r="F20" s="21"/>
      <c r="G20" s="23"/>
      <c r="H20" s="20"/>
      <c r="I20" s="21"/>
      <c r="J20" s="23"/>
      <c r="K20" s="20"/>
      <c r="L20" s="21"/>
      <c r="M20" s="23"/>
      <c r="N20" s="20"/>
      <c r="O20" s="22"/>
      <c r="P20" s="21"/>
      <c r="Q20" s="22"/>
      <c r="R20" s="21"/>
    </row>
    <row x14ac:dyDescent="0.25" r="21" customHeight="1" ht="18">
      <c r="A21" s="23"/>
      <c r="B21" s="24"/>
      <c r="C21" s="19"/>
      <c r="D21" s="23"/>
      <c r="E21" s="20"/>
      <c r="F21" s="21"/>
      <c r="G21" s="23"/>
      <c r="H21" s="20"/>
      <c r="I21" s="21"/>
      <c r="J21" s="23"/>
      <c r="K21" s="20"/>
      <c r="L21" s="21"/>
      <c r="M21" s="23"/>
      <c r="N21" s="20"/>
      <c r="O21" s="22"/>
      <c r="P21" s="21"/>
      <c r="Q21" s="22"/>
      <c r="R21" s="21"/>
    </row>
    <row x14ac:dyDescent="0.25" r="22" customHeight="1" ht="18">
      <c r="A22" s="23"/>
      <c r="B22" s="24"/>
      <c r="C22" s="19"/>
      <c r="D22" s="23"/>
      <c r="E22" s="20"/>
      <c r="F22" s="21"/>
      <c r="G22" s="23"/>
      <c r="H22" s="20"/>
      <c r="I22" s="21"/>
      <c r="J22" s="23"/>
      <c r="K22" s="20"/>
      <c r="L22" s="21"/>
      <c r="M22" s="23"/>
      <c r="N22" s="20"/>
      <c r="O22" s="22"/>
      <c r="P22" s="21"/>
      <c r="Q22" s="22"/>
      <c r="R22" s="21"/>
    </row>
    <row x14ac:dyDescent="0.25" r="23" customHeight="1" ht="18">
      <c r="A23" s="23"/>
      <c r="B23" s="24"/>
      <c r="C23" s="19"/>
      <c r="D23" s="23"/>
      <c r="E23" s="20"/>
      <c r="F23" s="21"/>
      <c r="G23" s="23"/>
      <c r="H23" s="20"/>
      <c r="I23" s="21"/>
      <c r="J23" s="23"/>
      <c r="K23" s="20"/>
      <c r="L23" s="21"/>
      <c r="M23" s="23"/>
      <c r="N23" s="20"/>
      <c r="O23" s="22"/>
      <c r="P23" s="21"/>
      <c r="Q23" s="22"/>
      <c r="R23" s="21"/>
    </row>
    <row x14ac:dyDescent="0.25" r="24" customHeight="1" ht="18">
      <c r="A24" s="23"/>
      <c r="B24" s="24"/>
      <c r="C24" s="19"/>
      <c r="D24" s="23"/>
      <c r="E24" s="20"/>
      <c r="F24" s="21"/>
      <c r="G24" s="23"/>
      <c r="H24" s="20"/>
      <c r="I24" s="21"/>
      <c r="J24" s="23"/>
      <c r="K24" s="20"/>
      <c r="L24" s="21"/>
      <c r="M24" s="23"/>
      <c r="N24" s="20"/>
      <c r="O24" s="22"/>
      <c r="P24" s="21"/>
      <c r="Q24" s="22"/>
      <c r="R24" s="21"/>
    </row>
    <row x14ac:dyDescent="0.25" r="25" customHeight="1" ht="18">
      <c r="A25" s="23"/>
      <c r="B25" s="24"/>
      <c r="C25" s="19"/>
      <c r="D25" s="23"/>
      <c r="E25" s="20"/>
      <c r="F25" s="21"/>
      <c r="G25" s="23"/>
      <c r="H25" s="20"/>
      <c r="I25" s="21"/>
      <c r="J25" s="23"/>
      <c r="K25" s="20"/>
      <c r="L25" s="21"/>
      <c r="M25" s="23"/>
      <c r="N25" s="20"/>
      <c r="O25" s="22"/>
      <c r="P25" s="21"/>
      <c r="Q25" s="22"/>
      <c r="R25" s="21"/>
    </row>
    <row x14ac:dyDescent="0.25" r="26" customHeight="1" ht="18">
      <c r="A26" s="23"/>
      <c r="B26" s="24"/>
      <c r="C26" s="19"/>
      <c r="D26" s="23"/>
      <c r="E26" s="20"/>
      <c r="F26" s="21"/>
      <c r="G26" s="23"/>
      <c r="H26" s="20"/>
      <c r="I26" s="21"/>
      <c r="J26" s="23"/>
      <c r="K26" s="20"/>
      <c r="L26" s="21"/>
      <c r="M26" s="23"/>
      <c r="N26" s="20"/>
      <c r="O26" s="22"/>
      <c r="P26" s="21"/>
      <c r="Q26" s="22"/>
      <c r="R26" s="21"/>
    </row>
    <row x14ac:dyDescent="0.25" r="27" customHeight="1" ht="18">
      <c r="A27" s="23"/>
      <c r="B27" s="24"/>
      <c r="C27" s="19"/>
      <c r="D27" s="23"/>
      <c r="E27" s="20"/>
      <c r="F27" s="21"/>
      <c r="G27" s="23"/>
      <c r="H27" s="20"/>
      <c r="I27" s="21"/>
      <c r="J27" s="23"/>
      <c r="K27" s="20"/>
      <c r="L27" s="21"/>
      <c r="M27" s="23"/>
      <c r="N27" s="20"/>
      <c r="O27" s="22"/>
      <c r="P27" s="21"/>
      <c r="Q27" s="22"/>
      <c r="R27" s="21"/>
    </row>
    <row x14ac:dyDescent="0.25" r="28" customHeight="1" ht="18">
      <c r="A28" s="23"/>
      <c r="B28" s="24"/>
      <c r="C28" s="19"/>
      <c r="D28" s="23"/>
      <c r="E28" s="20"/>
      <c r="F28" s="21"/>
      <c r="G28" s="23"/>
      <c r="H28" s="20"/>
      <c r="I28" s="21"/>
      <c r="J28" s="23"/>
      <c r="K28" s="20"/>
      <c r="L28" s="21"/>
      <c r="M28" s="23"/>
      <c r="N28" s="20"/>
      <c r="O28" s="22"/>
      <c r="P28" s="21"/>
      <c r="Q28" s="22"/>
      <c r="R28" s="21"/>
    </row>
    <row x14ac:dyDescent="0.25" r="29" customHeight="1" ht="18">
      <c r="A29" s="23"/>
      <c r="B29" s="24"/>
      <c r="C29" s="19"/>
      <c r="D29" s="23"/>
      <c r="E29" s="20"/>
      <c r="F29" s="21"/>
      <c r="G29" s="23"/>
      <c r="H29" s="20"/>
      <c r="I29" s="21"/>
      <c r="J29" s="23"/>
      <c r="K29" s="20"/>
      <c r="L29" s="21"/>
      <c r="M29" s="23"/>
      <c r="N29" s="20"/>
      <c r="O29" s="22"/>
      <c r="P29" s="21"/>
      <c r="Q29" s="22"/>
      <c r="R29" s="21"/>
    </row>
    <row x14ac:dyDescent="0.25" r="30" customHeight="1" ht="18">
      <c r="A30" s="23"/>
      <c r="B30" s="24"/>
      <c r="C30" s="19"/>
      <c r="D30" s="23"/>
      <c r="E30" s="20"/>
      <c r="F30" s="21"/>
      <c r="G30" s="23"/>
      <c r="H30" s="20"/>
      <c r="I30" s="21"/>
      <c r="J30" s="23"/>
      <c r="K30" s="20"/>
      <c r="L30" s="21"/>
      <c r="M30" s="23"/>
      <c r="N30" s="20"/>
      <c r="O30" s="22"/>
      <c r="P30" s="21"/>
      <c r="Q30" s="22"/>
      <c r="R30" s="21"/>
    </row>
    <row x14ac:dyDescent="0.25" r="31" customHeight="1" ht="18">
      <c r="A31" s="23"/>
      <c r="B31" s="24"/>
      <c r="C31" s="19"/>
      <c r="D31" s="23"/>
      <c r="E31" s="20"/>
      <c r="F31" s="21"/>
      <c r="G31" s="23"/>
      <c r="H31" s="20"/>
      <c r="I31" s="21"/>
      <c r="J31" s="23"/>
      <c r="K31" s="20"/>
      <c r="L31" s="21"/>
      <c r="M31" s="23"/>
      <c r="N31" s="20"/>
      <c r="O31" s="22"/>
      <c r="P31" s="21"/>
      <c r="Q31" s="22"/>
      <c r="R31" s="21"/>
    </row>
    <row x14ac:dyDescent="0.25" r="32" customHeight="1" ht="18">
      <c r="A32" s="23"/>
      <c r="B32" s="24"/>
      <c r="C32" s="19"/>
      <c r="D32" s="23"/>
      <c r="E32" s="20"/>
      <c r="F32" s="21"/>
      <c r="G32" s="23"/>
      <c r="H32" s="20"/>
      <c r="I32" s="21"/>
      <c r="J32" s="23"/>
      <c r="K32" s="20"/>
      <c r="L32" s="21"/>
      <c r="M32" s="23"/>
      <c r="N32" s="20"/>
      <c r="O32" s="22"/>
      <c r="P32" s="21"/>
      <c r="Q32" s="22"/>
      <c r="R32" s="21"/>
    </row>
    <row x14ac:dyDescent="0.25" r="33" customHeight="1" ht="18">
      <c r="A33" s="23"/>
      <c r="B33" s="24"/>
      <c r="C33" s="19"/>
      <c r="D33" s="23"/>
      <c r="E33" s="20"/>
      <c r="F33" s="21"/>
      <c r="G33" s="23"/>
      <c r="H33" s="20"/>
      <c r="I33" s="21"/>
      <c r="J33" s="23"/>
      <c r="K33" s="20"/>
      <c r="L33" s="21"/>
      <c r="M33" s="23"/>
      <c r="N33" s="20"/>
      <c r="O33" s="22"/>
      <c r="P33" s="21"/>
      <c r="Q33" s="22"/>
      <c r="R33" s="21"/>
    </row>
    <row x14ac:dyDescent="0.25" r="34" customHeight="1" ht="18">
      <c r="A34" s="23"/>
      <c r="B34" s="24"/>
      <c r="C34" s="19"/>
      <c r="D34" s="23"/>
      <c r="E34" s="20"/>
      <c r="F34" s="21"/>
      <c r="G34" s="23"/>
      <c r="H34" s="20"/>
      <c r="I34" s="21"/>
      <c r="J34" s="23"/>
      <c r="K34" s="20"/>
      <c r="L34" s="21"/>
      <c r="M34" s="23"/>
      <c r="N34" s="20"/>
      <c r="O34" s="22"/>
      <c r="P34" s="21"/>
      <c r="Q34" s="22"/>
      <c r="R34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4"/>
  <sheetViews>
    <sheetView workbookViewId="0"/>
  </sheetViews>
  <sheetFormatPr defaultRowHeight="15" x14ac:dyDescent="0.25"/>
  <cols>
    <col min="1" max="1" style="25" width="15.43357142857143" customWidth="1" bestFit="1"/>
    <col min="2" max="2" style="26" width="13.005" customWidth="1" bestFit="1"/>
    <col min="3" max="3" style="27" width="22.576428571428572" customWidth="1" bestFit="1"/>
    <col min="4" max="4" style="25" width="13.005" customWidth="1" bestFit="1"/>
    <col min="5" max="5" style="27" width="22.576428571428572" customWidth="1" bestFit="1"/>
    <col min="6" max="6" style="27" width="22.576428571428572" customWidth="1" bestFit="1"/>
    <col min="7" max="7" style="25" width="22.576428571428572" customWidth="1" bestFit="1"/>
    <col min="8" max="8" style="27" width="22.576428571428572" customWidth="1" bestFit="1"/>
    <col min="9" max="9" style="27" width="22.576428571428572" customWidth="1" bestFit="1"/>
    <col min="10" max="10" style="25" width="13.005" customWidth="1" bestFit="1"/>
    <col min="11" max="11" style="27" width="23.862142857142857" customWidth="1" bestFit="1"/>
    <col min="12" max="12" style="27" width="23.862142857142857" customWidth="1" bestFit="1"/>
    <col min="13" max="13" style="25" width="13.005" customWidth="1" bestFit="1"/>
    <col min="14" max="14" style="27" width="26.005" customWidth="1" bestFit="1"/>
    <col min="15" max="15" style="27" width="20.576428571428572" customWidth="1" bestFit="1"/>
    <col min="16" max="16" style="27" width="11.147857142857141" customWidth="1" bestFit="1"/>
    <col min="17" max="17" style="28" width="26.862142857142857" customWidth="1" bestFit="1"/>
    <col min="18" max="18" style="27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1" t="s">
        <v>6</v>
      </c>
      <c r="H1" s="4" t="s">
        <v>7</v>
      </c>
      <c r="I1" s="5" t="s">
        <v>8</v>
      </c>
      <c r="J1" s="1" t="s">
        <v>9</v>
      </c>
      <c r="K1" s="4" t="s">
        <v>10</v>
      </c>
      <c r="L1" s="5" t="s">
        <v>11</v>
      </c>
      <c r="M1" s="1" t="s">
        <v>12</v>
      </c>
      <c r="N1" s="4" t="s">
        <v>13</v>
      </c>
      <c r="O1" s="5" t="s">
        <v>14</v>
      </c>
      <c r="P1" s="5" t="s">
        <v>15</v>
      </c>
      <c r="Q1" s="6" t="s">
        <v>16</v>
      </c>
      <c r="R1" s="7" t="s">
        <v>17</v>
      </c>
    </row>
    <row x14ac:dyDescent="0.25" r="2" customHeight="1" ht="18">
      <c r="A2" s="8">
        <v>30</v>
      </c>
      <c r="B2" s="9">
        <f>$P$15*$P$15/($P$13 * (2 * PI() * $A2 * 10^(-6))) * 10^9</f>
      </c>
      <c r="C2" s="10">
        <v>-2.297</v>
      </c>
      <c r="D2" s="8">
        <v>4855</v>
      </c>
      <c r="E2" s="11">
        <f>$B2 * ($B2 + 1.57*$P$15 * 10^9/$D2)/(1.57 * $P$15 * 10^9/$D2)</f>
      </c>
      <c r="F2" s="12">
        <v>-1.192</v>
      </c>
      <c r="G2" s="13">
        <v>3599</v>
      </c>
      <c r="H2" s="14">
        <f>$B2 * ($B2 + 1.57*$P$15 * 10^9/$G2)/(1.57 * $P$15 * 10^9/$G2)</f>
      </c>
      <c r="I2" s="15">
        <v>-0.6695</v>
      </c>
      <c r="J2" s="8">
        <v>2714</v>
      </c>
      <c r="K2" s="14">
        <f>$B2 * ($B2 + 1.57*$P$15 * 10^9/$J2)/(1.57 * $P$15 * 10^9/$J2)</f>
      </c>
      <c r="L2" s="15">
        <v>-0.4074</v>
      </c>
      <c r="M2" s="8">
        <v>2052</v>
      </c>
      <c r="N2" s="11">
        <f>$B2 * ($B2 + 1.57*$P$15 * 10^9/$M2)/(1.57 * $P$15 * 10^9/$M2)</f>
      </c>
      <c r="O2" s="15">
        <v>-0.267</v>
      </c>
      <c r="P2" s="8">
        <v>1537</v>
      </c>
      <c r="Q2" s="16"/>
      <c r="R2" s="15">
        <v>-170.6</v>
      </c>
    </row>
    <row x14ac:dyDescent="0.25" r="3" customHeight="1" ht="18">
      <c r="A3" s="8">
        <v>40</v>
      </c>
      <c r="B3" s="9">
        <f>$P$15*$P$15/($P$13 * (2 * PI() * $A3 * 10^(-6))) * 10^9</f>
      </c>
      <c r="C3" s="10">
        <v>-2.302</v>
      </c>
      <c r="D3" s="8">
        <v>5764</v>
      </c>
      <c r="E3" s="11">
        <f>$B3 * ($B3 + 1.57*$P$15 * 10^9/$D3)/(1.57 * $P$15 * 10^9/$D3)</f>
      </c>
      <c r="F3" s="12">
        <v>-1.196</v>
      </c>
      <c r="G3" s="13">
        <v>4272</v>
      </c>
      <c r="H3" s="14">
        <f>$B3 * ($B3 + 1.57*$P$15 * 10^9/$G3)/(1.57 * $P$15 * 10^9/$G3)</f>
      </c>
      <c r="I3" s="15">
        <v>-0.6733</v>
      </c>
      <c r="J3" s="8">
        <v>3222</v>
      </c>
      <c r="K3" s="14">
        <f>$B3 * ($B3 + 1.57*$P$15 * 10^9/$J3)/(1.57 * $P$15 * 10^9/$J3)</f>
      </c>
      <c r="L3" s="15">
        <v>-0.4106</v>
      </c>
      <c r="M3" s="8">
        <v>2436</v>
      </c>
      <c r="N3" s="11">
        <f>$B3 * ($B3 + 1.57*$P$15 * 10^9/$M3)/(1.57 * $P$15 * 10^9/$M3)</f>
      </c>
      <c r="O3" s="15">
        <v>-0.2698</v>
      </c>
      <c r="P3" s="8">
        <v>1825</v>
      </c>
      <c r="Q3" s="16"/>
      <c r="R3" s="15">
        <v>94.51</v>
      </c>
    </row>
    <row x14ac:dyDescent="0.25" r="4" customHeight="1" ht="18">
      <c r="A4" s="8">
        <v>50</v>
      </c>
      <c r="B4" s="9">
        <f>$P$15*$P$15/($P$13 * (2 * PI() * $A4 * 10^(-6))) * 10^9</f>
      </c>
      <c r="C4" s="10">
        <v>-2.307</v>
      </c>
      <c r="D4" s="8">
        <v>6672</v>
      </c>
      <c r="E4" s="11">
        <f>$B4 * ($B4 + 1.57*$P$15 * 10^9/$D4)/(1.57 * $P$15 * 10^9/$D4)</f>
      </c>
      <c r="F4" s="12">
        <v>-1.201</v>
      </c>
      <c r="G4" s="13">
        <v>4946</v>
      </c>
      <c r="H4" s="14">
        <f>$B4 * ($B4 + 1.57*$P$15 * 10^9/$G4)/(1.57 * $P$15 * 10^9/$G4)</f>
      </c>
      <c r="I4" s="15">
        <v>-0.6772</v>
      </c>
      <c r="J4" s="8">
        <v>3729</v>
      </c>
      <c r="K4" s="14">
        <f>$B4 * ($B4 + 1.57*$P$15 * 10^9/$J4)/(1.57 * $P$15 * 10^9/$J4)</f>
      </c>
      <c r="L4" s="15">
        <v>-0.4139</v>
      </c>
      <c r="M4" s="8">
        <v>2820</v>
      </c>
      <c r="N4" s="11">
        <f>$B4 * ($B4 + 1.57*$P$15 * 10^9/$M4)/(1.57 * $P$15 * 10^9/$M4)</f>
      </c>
      <c r="O4" s="15">
        <v>-0.2724</v>
      </c>
      <c r="P4" s="8">
        <v>2112</v>
      </c>
      <c r="Q4" s="16"/>
      <c r="R4" s="15">
        <v>-0.36</v>
      </c>
    </row>
    <row x14ac:dyDescent="0.25" r="5" customHeight="1" ht="18">
      <c r="A5" s="8">
        <v>75</v>
      </c>
      <c r="B5" s="9">
        <f>$P$15*$P$15/($P$13 * (2 * PI() * $A5 * 10^(-6))) * 10^9</f>
      </c>
      <c r="C5" s="10">
        <v>-2.32</v>
      </c>
      <c r="D5" s="8">
        <v>8941</v>
      </c>
      <c r="E5" s="11">
        <f>$B5 * ($B5 + 1.57*$P$15 * 10^9/$D5)/(1.57 * $P$15 * 10^9/$D5)</f>
      </c>
      <c r="F5" s="12">
        <v>-1.212</v>
      </c>
      <c r="G5" s="17">
        <v>6626</v>
      </c>
      <c r="H5" s="14">
        <f>$B5 * ($B5 + 1.57*$P$15 * 10^9/$G5)/(1.57 * $P$15 * 10^9/$G5)</f>
      </c>
      <c r="I5" s="15">
        <v>-0.687</v>
      </c>
      <c r="J5" s="8">
        <v>4997</v>
      </c>
      <c r="K5" s="14">
        <f>$B5 * ($B5 + 1.57*$P$15 * 10^9/$J5)/(1.57 * $P$15 * 10^9/$J5)</f>
      </c>
      <c r="L5" s="15">
        <v>-0.4219</v>
      </c>
      <c r="M5" s="8">
        <v>3779</v>
      </c>
      <c r="N5" s="11">
        <f>$B5 * ($B5 + 1.57*$P$15 * 10^9/$M5)/(1.57 * $P$15 * 10^9/$M5)</f>
      </c>
      <c r="O5" s="15">
        <v>-0.279</v>
      </c>
      <c r="P5" s="8">
        <v>2831</v>
      </c>
      <c r="Q5" s="16"/>
      <c r="R5" s="15">
        <v>-57.52</v>
      </c>
    </row>
    <row x14ac:dyDescent="0.25" r="6" customHeight="1" ht="18">
      <c r="A6" s="8">
        <v>100</v>
      </c>
      <c r="B6" s="9">
        <f>$P$15*$P$15/($P$13 * (2 * PI() * $A6 * 10^(-6))) * 10^9</f>
      </c>
      <c r="C6" s="10">
        <v>-2.333</v>
      </c>
      <c r="D6" s="8">
        <v>11200</v>
      </c>
      <c r="E6" s="11">
        <f>$B6 * ($B6 + 1.57*$P$15 * 10^9/$D6)/(1.57 * $P$15 * 10^9/$D6)</f>
      </c>
      <c r="F6" s="10">
        <v>-1.224</v>
      </c>
      <c r="G6" s="8">
        <v>8303</v>
      </c>
      <c r="H6" s="14">
        <f>$B6 * ($B6 + 1.57*$P$15 * 10^9/$G6)/(1.57 * $P$15 * 10^9/$G6)</f>
      </c>
      <c r="I6" s="15">
        <v>-0.6967</v>
      </c>
      <c r="J6" s="8">
        <v>6262</v>
      </c>
      <c r="K6" s="14">
        <f>$B6 * ($B6 + 1.57*$P$15 * 10^9/$J6)/(1.57 * $P$15 * 10^9/$J6)</f>
      </c>
      <c r="L6" s="15">
        <v>-0.43</v>
      </c>
      <c r="M6" s="8">
        <v>4737</v>
      </c>
      <c r="N6" s="11">
        <f>$B6 * ($B6 + 1.57*$P$15 * 10^9/$M6)/(1.57 * $P$15 * 10^9/$M6)</f>
      </c>
      <c r="O6" s="15">
        <v>-0.2857</v>
      </c>
      <c r="P6" s="8">
        <v>3548</v>
      </c>
      <c r="Q6" s="16"/>
      <c r="R6" s="15">
        <v>-114.7</v>
      </c>
    </row>
    <row x14ac:dyDescent="0.25" r="7" customHeight="1" ht="18">
      <c r="A7" s="18"/>
      <c r="B7" s="9"/>
      <c r="C7" s="19"/>
      <c r="D7" s="18"/>
      <c r="E7" s="11"/>
      <c r="F7" s="7"/>
      <c r="G7" s="18"/>
      <c r="H7" s="20"/>
      <c r="I7" s="7"/>
      <c r="J7" s="18"/>
      <c r="K7" s="11"/>
      <c r="L7" s="7"/>
      <c r="M7" s="18"/>
      <c r="N7" s="11"/>
      <c r="O7" s="21"/>
      <c r="P7" s="21"/>
      <c r="Q7" s="22"/>
      <c r="R7" s="21"/>
    </row>
    <row x14ac:dyDescent="0.25" r="8" customHeight="1" ht="18">
      <c r="A8" s="18"/>
      <c r="B8" s="9"/>
      <c r="C8" s="19"/>
      <c r="D8" s="18"/>
      <c r="E8" s="11"/>
      <c r="F8" s="7"/>
      <c r="G8" s="18"/>
      <c r="H8" s="20"/>
      <c r="I8" s="7"/>
      <c r="J8" s="18"/>
      <c r="K8" s="11"/>
      <c r="L8" s="7"/>
      <c r="M8" s="18"/>
      <c r="N8" s="11"/>
      <c r="O8" s="21"/>
      <c r="P8" s="21"/>
      <c r="Q8" s="22"/>
      <c r="R8" s="7" t="s">
        <v>18</v>
      </c>
    </row>
    <row x14ac:dyDescent="0.25" r="9" customHeight="1" ht="18">
      <c r="A9" s="23"/>
      <c r="B9" s="24"/>
      <c r="C9" s="19"/>
      <c r="D9" s="23"/>
      <c r="E9" s="20"/>
      <c r="F9" s="21"/>
      <c r="G9" s="23"/>
      <c r="H9" s="20"/>
      <c r="I9" s="21"/>
      <c r="J9" s="23"/>
      <c r="K9" s="20"/>
      <c r="L9" s="21"/>
      <c r="M9" s="23"/>
      <c r="N9" s="20"/>
      <c r="O9" s="21"/>
      <c r="P9" s="21"/>
      <c r="Q9" s="22"/>
      <c r="R9" s="21"/>
    </row>
    <row x14ac:dyDescent="0.25" r="10" customHeight="1" ht="18">
      <c r="A10" s="23"/>
      <c r="B10" s="24"/>
      <c r="C10" s="19"/>
      <c r="D10" s="23"/>
      <c r="E10" s="20"/>
      <c r="F10" s="21"/>
      <c r="G10" s="23"/>
      <c r="H10" s="20"/>
      <c r="I10" s="21"/>
      <c r="J10" s="23"/>
      <c r="K10" s="20"/>
      <c r="L10" s="21"/>
      <c r="M10" s="23"/>
      <c r="N10" s="20"/>
      <c r="O10" s="21"/>
      <c r="P10" s="21"/>
      <c r="Q10" s="22"/>
      <c r="R10" s="21"/>
    </row>
    <row x14ac:dyDescent="0.25" r="11" customHeight="1" ht="18">
      <c r="A11" s="23"/>
      <c r="B11" s="24"/>
      <c r="C11" s="19"/>
      <c r="D11" s="23"/>
      <c r="E11" s="20"/>
      <c r="F11" s="21"/>
      <c r="G11" s="23"/>
      <c r="H11" s="20"/>
      <c r="I11" s="21"/>
      <c r="J11" s="23"/>
      <c r="K11" s="20"/>
      <c r="L11" s="21"/>
      <c r="M11" s="23"/>
      <c r="N11" s="20"/>
      <c r="O11" s="21"/>
      <c r="P11" s="21"/>
      <c r="Q11" s="22"/>
      <c r="R11" s="21"/>
    </row>
    <row x14ac:dyDescent="0.25" r="12" customHeight="1" ht="18">
      <c r="A12" s="23"/>
      <c r="B12" s="24"/>
      <c r="C12" s="19" t="s">
        <v>19</v>
      </c>
      <c r="D12" s="23"/>
      <c r="E12" s="20"/>
      <c r="F12" s="21"/>
      <c r="G12" s="23"/>
      <c r="H12" s="20"/>
      <c r="I12" s="21"/>
      <c r="J12" s="23"/>
      <c r="K12" s="20"/>
      <c r="L12" s="21"/>
      <c r="M12" s="23"/>
      <c r="N12" s="20"/>
      <c r="O12" s="21"/>
      <c r="P12" s="7" t="s">
        <v>20</v>
      </c>
      <c r="Q12" s="22"/>
      <c r="R12" s="21"/>
    </row>
    <row x14ac:dyDescent="0.25" r="13" customHeight="1" ht="18">
      <c r="A13" s="23"/>
      <c r="B13" s="24"/>
      <c r="C13" s="19"/>
      <c r="D13" s="23"/>
      <c r="E13" s="20"/>
      <c r="F13" s="21"/>
      <c r="G13" s="23"/>
      <c r="H13" s="20"/>
      <c r="I13" s="21"/>
      <c r="J13" s="23"/>
      <c r="K13" s="20"/>
      <c r="L13" s="21"/>
      <c r="M13" s="23"/>
      <c r="N13" s="20"/>
      <c r="O13" s="21"/>
      <c r="P13" s="15">
        <v>1.98</v>
      </c>
      <c r="Q13" s="22"/>
      <c r="R13" s="21"/>
    </row>
    <row x14ac:dyDescent="0.25" r="14" customHeight="1" ht="18">
      <c r="A14" s="23"/>
      <c r="B14" s="24"/>
      <c r="C14" s="19"/>
      <c r="D14" s="23"/>
      <c r="E14" s="20"/>
      <c r="F14" s="21"/>
      <c r="G14" s="23"/>
      <c r="H14" s="20"/>
      <c r="I14" s="21"/>
      <c r="J14" s="23"/>
      <c r="K14" s="20"/>
      <c r="L14" s="21"/>
      <c r="M14" s="23"/>
      <c r="N14" s="20"/>
      <c r="O14" s="21"/>
      <c r="P14" s="7" t="s">
        <v>21</v>
      </c>
      <c r="Q14" s="22"/>
      <c r="R14" s="21"/>
    </row>
    <row x14ac:dyDescent="0.25" r="15" customHeight="1" ht="18">
      <c r="A15" s="23"/>
      <c r="B15" s="24"/>
      <c r="C15" s="19"/>
      <c r="D15" s="23"/>
      <c r="E15" s="20"/>
      <c r="F15" s="21"/>
      <c r="G15" s="23"/>
      <c r="H15" s="20"/>
      <c r="I15" s="21"/>
      <c r="J15" s="23"/>
      <c r="K15" s="20"/>
      <c r="L15" s="21"/>
      <c r="M15" s="23"/>
      <c r="N15" s="20"/>
      <c r="O15" s="21"/>
      <c r="P15" s="15">
        <f>1310 * 10^(-9)</f>
      </c>
      <c r="Q15" s="22"/>
      <c r="R15" s="21"/>
    </row>
    <row x14ac:dyDescent="0.25" r="16" customHeight="1" ht="18">
      <c r="A16" s="23"/>
      <c r="B16" s="24"/>
      <c r="C16" s="19"/>
      <c r="D16" s="23"/>
      <c r="E16" s="20"/>
      <c r="F16" s="21"/>
      <c r="G16" s="23"/>
      <c r="H16" s="20"/>
      <c r="I16" s="21"/>
      <c r="J16" s="23"/>
      <c r="K16" s="20"/>
      <c r="L16" s="21"/>
      <c r="M16" s="23"/>
      <c r="N16" s="20"/>
      <c r="O16" s="21"/>
      <c r="P16" s="21"/>
      <c r="Q16" s="22"/>
      <c r="R16" s="21"/>
    </row>
    <row x14ac:dyDescent="0.25" r="17" customHeight="1" ht="18">
      <c r="A17" s="23"/>
      <c r="B17" s="24"/>
      <c r="C17" s="19"/>
      <c r="D17" s="23"/>
      <c r="E17" s="20"/>
      <c r="F17" s="21"/>
      <c r="G17" s="23"/>
      <c r="H17" s="20"/>
      <c r="I17" s="21"/>
      <c r="J17" s="23"/>
      <c r="K17" s="20"/>
      <c r="L17" s="21"/>
      <c r="M17" s="23"/>
      <c r="N17" s="20"/>
      <c r="O17" s="21"/>
      <c r="P17" s="21"/>
      <c r="Q17" s="22"/>
      <c r="R17" s="21"/>
    </row>
    <row x14ac:dyDescent="0.25" r="18" customHeight="1" ht="18">
      <c r="A18" s="23"/>
      <c r="B18" s="24"/>
      <c r="C18" s="19"/>
      <c r="D18" s="23"/>
      <c r="E18" s="20"/>
      <c r="F18" s="21"/>
      <c r="G18" s="23"/>
      <c r="H18" s="20"/>
      <c r="I18" s="21"/>
      <c r="J18" s="23"/>
      <c r="K18" s="20"/>
      <c r="L18" s="21"/>
      <c r="M18" s="23"/>
      <c r="N18" s="20"/>
      <c r="O18" s="21"/>
      <c r="P18" s="21"/>
      <c r="Q18" s="22"/>
      <c r="R18" s="21"/>
    </row>
    <row x14ac:dyDescent="0.25" r="19" customHeight="1" ht="18">
      <c r="A19" s="23"/>
      <c r="B19" s="24"/>
      <c r="C19" s="19"/>
      <c r="D19" s="23"/>
      <c r="E19" s="20"/>
      <c r="F19" s="21"/>
      <c r="G19" s="23"/>
      <c r="H19" s="20"/>
      <c r="I19" s="21"/>
      <c r="J19" s="23"/>
      <c r="K19" s="20"/>
      <c r="L19" s="21"/>
      <c r="M19" s="23"/>
      <c r="N19" s="20"/>
      <c r="O19" s="21"/>
      <c r="P19" s="21"/>
      <c r="Q19" s="22"/>
      <c r="R19" s="21"/>
    </row>
    <row x14ac:dyDescent="0.25" r="20" customHeight="1" ht="18">
      <c r="A20" s="23"/>
      <c r="B20" s="24"/>
      <c r="C20" s="19"/>
      <c r="D20" s="23"/>
      <c r="E20" s="20"/>
      <c r="F20" s="21"/>
      <c r="G20" s="23"/>
      <c r="H20" s="20"/>
      <c r="I20" s="21"/>
      <c r="J20" s="23"/>
      <c r="K20" s="20"/>
      <c r="L20" s="21"/>
      <c r="M20" s="23"/>
      <c r="N20" s="20"/>
      <c r="O20" s="21"/>
      <c r="P20" s="21"/>
      <c r="Q20" s="22"/>
      <c r="R20" s="21"/>
    </row>
    <row x14ac:dyDescent="0.25" r="21" customHeight="1" ht="18">
      <c r="A21" s="23"/>
      <c r="B21" s="24"/>
      <c r="C21" s="19"/>
      <c r="D21" s="23"/>
      <c r="E21" s="20"/>
      <c r="F21" s="21"/>
      <c r="G21" s="23"/>
      <c r="H21" s="20"/>
      <c r="I21" s="21"/>
      <c r="J21" s="23"/>
      <c r="K21" s="20"/>
      <c r="L21" s="21"/>
      <c r="M21" s="23"/>
      <c r="N21" s="20"/>
      <c r="O21" s="21"/>
      <c r="P21" s="21"/>
      <c r="Q21" s="22"/>
      <c r="R21" s="21"/>
    </row>
    <row x14ac:dyDescent="0.25" r="22" customHeight="1" ht="18">
      <c r="A22" s="23"/>
      <c r="B22" s="24"/>
      <c r="C22" s="19"/>
      <c r="D22" s="23"/>
      <c r="E22" s="20"/>
      <c r="F22" s="21"/>
      <c r="G22" s="23"/>
      <c r="H22" s="20"/>
      <c r="I22" s="21"/>
      <c r="J22" s="23"/>
      <c r="K22" s="20"/>
      <c r="L22" s="21"/>
      <c r="M22" s="23"/>
      <c r="N22" s="20"/>
      <c r="O22" s="21"/>
      <c r="P22" s="21"/>
      <c r="Q22" s="22"/>
      <c r="R22" s="21"/>
    </row>
    <row x14ac:dyDescent="0.25" r="23" customHeight="1" ht="18">
      <c r="A23" s="23"/>
      <c r="B23" s="24"/>
      <c r="C23" s="19"/>
      <c r="D23" s="23"/>
      <c r="E23" s="20"/>
      <c r="F23" s="21"/>
      <c r="G23" s="23"/>
      <c r="H23" s="20"/>
      <c r="I23" s="21"/>
      <c r="J23" s="23"/>
      <c r="K23" s="20"/>
      <c r="L23" s="21"/>
      <c r="M23" s="23"/>
      <c r="N23" s="20"/>
      <c r="O23" s="21"/>
      <c r="P23" s="21"/>
      <c r="Q23" s="22"/>
      <c r="R23" s="21"/>
    </row>
    <row x14ac:dyDescent="0.25" r="24" customHeight="1" ht="18">
      <c r="A24" s="23"/>
      <c r="B24" s="24"/>
      <c r="C24" s="19"/>
      <c r="D24" s="23"/>
      <c r="E24" s="20"/>
      <c r="F24" s="21"/>
      <c r="G24" s="23"/>
      <c r="H24" s="20"/>
      <c r="I24" s="21"/>
      <c r="J24" s="23"/>
      <c r="K24" s="20"/>
      <c r="L24" s="21"/>
      <c r="M24" s="23"/>
      <c r="N24" s="20"/>
      <c r="O24" s="21"/>
      <c r="P24" s="21"/>
      <c r="Q24" s="22"/>
      <c r="R24" s="21"/>
    </row>
    <row x14ac:dyDescent="0.25" r="25" customHeight="1" ht="18">
      <c r="A25" s="23"/>
      <c r="B25" s="24"/>
      <c r="C25" s="19"/>
      <c r="D25" s="23"/>
      <c r="E25" s="20"/>
      <c r="F25" s="21"/>
      <c r="G25" s="23"/>
      <c r="H25" s="20"/>
      <c r="I25" s="21"/>
      <c r="J25" s="23"/>
      <c r="K25" s="20"/>
      <c r="L25" s="21"/>
      <c r="M25" s="23"/>
      <c r="N25" s="20"/>
      <c r="O25" s="21"/>
      <c r="P25" s="21"/>
      <c r="Q25" s="22"/>
      <c r="R25" s="21"/>
    </row>
    <row x14ac:dyDescent="0.25" r="26" customHeight="1" ht="18">
      <c r="A26" s="23"/>
      <c r="B26" s="24"/>
      <c r="C26" s="19"/>
      <c r="D26" s="23"/>
      <c r="E26" s="20"/>
      <c r="F26" s="21"/>
      <c r="G26" s="23"/>
      <c r="H26" s="20"/>
      <c r="I26" s="21"/>
      <c r="J26" s="23"/>
      <c r="K26" s="20"/>
      <c r="L26" s="21"/>
      <c r="M26" s="23"/>
      <c r="N26" s="20"/>
      <c r="O26" s="21"/>
      <c r="P26" s="21"/>
      <c r="Q26" s="22"/>
      <c r="R26" s="21"/>
    </row>
    <row x14ac:dyDescent="0.25" r="27" customHeight="1" ht="18">
      <c r="A27" s="23"/>
      <c r="B27" s="24"/>
      <c r="C27" s="19"/>
      <c r="D27" s="23"/>
      <c r="E27" s="20"/>
      <c r="F27" s="21"/>
      <c r="G27" s="23"/>
      <c r="H27" s="20"/>
      <c r="I27" s="21"/>
      <c r="J27" s="23"/>
      <c r="K27" s="20"/>
      <c r="L27" s="21"/>
      <c r="M27" s="23"/>
      <c r="N27" s="20"/>
      <c r="O27" s="21"/>
      <c r="P27" s="21"/>
      <c r="Q27" s="22"/>
      <c r="R27" s="21"/>
    </row>
    <row x14ac:dyDescent="0.25" r="28" customHeight="1" ht="18">
      <c r="A28" s="23"/>
      <c r="B28" s="24"/>
      <c r="C28" s="19"/>
      <c r="D28" s="23"/>
      <c r="E28" s="20"/>
      <c r="F28" s="21"/>
      <c r="G28" s="23"/>
      <c r="H28" s="20"/>
      <c r="I28" s="21"/>
      <c r="J28" s="23"/>
      <c r="K28" s="20"/>
      <c r="L28" s="21"/>
      <c r="M28" s="23"/>
      <c r="N28" s="20"/>
      <c r="O28" s="21"/>
      <c r="P28" s="21"/>
      <c r="Q28" s="22"/>
      <c r="R28" s="21"/>
    </row>
    <row x14ac:dyDescent="0.25" r="29" customHeight="1" ht="18">
      <c r="A29" s="23"/>
      <c r="B29" s="24"/>
      <c r="C29" s="19"/>
      <c r="D29" s="23"/>
      <c r="E29" s="20"/>
      <c r="F29" s="21"/>
      <c r="G29" s="23"/>
      <c r="H29" s="20"/>
      <c r="I29" s="21"/>
      <c r="J29" s="23"/>
      <c r="K29" s="20"/>
      <c r="L29" s="21"/>
      <c r="M29" s="23"/>
      <c r="N29" s="20"/>
      <c r="O29" s="21"/>
      <c r="P29" s="21"/>
      <c r="Q29" s="22"/>
      <c r="R29" s="21"/>
    </row>
    <row x14ac:dyDescent="0.25" r="30" customHeight="1" ht="18">
      <c r="A30" s="23"/>
      <c r="B30" s="24"/>
      <c r="C30" s="19"/>
      <c r="D30" s="23"/>
      <c r="E30" s="20"/>
      <c r="F30" s="21"/>
      <c r="G30" s="23"/>
      <c r="H30" s="20"/>
      <c r="I30" s="21"/>
      <c r="J30" s="23"/>
      <c r="K30" s="20"/>
      <c r="L30" s="21"/>
      <c r="M30" s="23"/>
      <c r="N30" s="20"/>
      <c r="O30" s="21"/>
      <c r="P30" s="21"/>
      <c r="Q30" s="22"/>
      <c r="R30" s="21"/>
    </row>
    <row x14ac:dyDescent="0.25" r="31" customHeight="1" ht="18">
      <c r="A31" s="23"/>
      <c r="B31" s="24"/>
      <c r="C31" s="19"/>
      <c r="D31" s="23"/>
      <c r="E31" s="20"/>
      <c r="F31" s="21"/>
      <c r="G31" s="23"/>
      <c r="H31" s="20"/>
      <c r="I31" s="21"/>
      <c r="J31" s="23"/>
      <c r="K31" s="20"/>
      <c r="L31" s="21"/>
      <c r="M31" s="23"/>
      <c r="N31" s="20"/>
      <c r="O31" s="21"/>
      <c r="P31" s="21"/>
      <c r="Q31" s="22"/>
      <c r="R31" s="21"/>
    </row>
    <row x14ac:dyDescent="0.25" r="32" customHeight="1" ht="18">
      <c r="A32" s="23"/>
      <c r="B32" s="24"/>
      <c r="C32" s="19"/>
      <c r="D32" s="23"/>
      <c r="E32" s="20"/>
      <c r="F32" s="21"/>
      <c r="G32" s="23"/>
      <c r="H32" s="20"/>
      <c r="I32" s="21"/>
      <c r="J32" s="23"/>
      <c r="K32" s="20"/>
      <c r="L32" s="21"/>
      <c r="M32" s="23"/>
      <c r="N32" s="20"/>
      <c r="O32" s="21"/>
      <c r="P32" s="21"/>
      <c r="Q32" s="22"/>
      <c r="R32" s="21"/>
    </row>
    <row x14ac:dyDescent="0.25" r="33" customHeight="1" ht="18">
      <c r="A33" s="23"/>
      <c r="B33" s="24"/>
      <c r="C33" s="19"/>
      <c r="D33" s="23"/>
      <c r="E33" s="20"/>
      <c r="F33" s="21"/>
      <c r="G33" s="23"/>
      <c r="H33" s="20"/>
      <c r="I33" s="21"/>
      <c r="J33" s="23"/>
      <c r="K33" s="20"/>
      <c r="L33" s="21"/>
      <c r="M33" s="23"/>
      <c r="N33" s="20"/>
      <c r="O33" s="21"/>
      <c r="P33" s="21"/>
      <c r="Q33" s="22"/>
      <c r="R33" s="21"/>
    </row>
    <row x14ac:dyDescent="0.25" r="34" customHeight="1" ht="18">
      <c r="A34" s="23"/>
      <c r="B34" s="24"/>
      <c r="C34" s="19"/>
      <c r="D34" s="23"/>
      <c r="E34" s="20"/>
      <c r="F34" s="21"/>
      <c r="G34" s="23"/>
      <c r="H34" s="20"/>
      <c r="I34" s="21"/>
      <c r="J34" s="23"/>
      <c r="K34" s="20"/>
      <c r="L34" s="21"/>
      <c r="M34" s="23"/>
      <c r="N34" s="20"/>
      <c r="O34" s="21"/>
      <c r="P34" s="21"/>
      <c r="Q34" s="22"/>
      <c r="R34" s="2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Pure Si Two ring filter</vt:lpstr>
      <vt:lpstr>Pure Si Three ring filter</vt:lpstr>
      <vt:lpstr>Pure Si Four ring filter</vt:lpstr>
      <vt:lpstr>SiN+XPS Two ring filter</vt:lpstr>
      <vt:lpstr>SiN+XPS Laser Mux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2023-12-18T19:38:53.026Z</dcterms:created>
  <dcterms:modified xsi:type="dcterms:W3CDTF">2023-12-18T19:38:53.026Z</dcterms:modified>
</cp:coreProperties>
</file>