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3m-my.sharepoint.com/personal/100461537_alumnos_uc3m_es/Documents/Analisis financiero dinamico II/Trabajo_Derivados_Energia/"/>
    </mc:Choice>
  </mc:AlternateContent>
  <xr:revisionPtr revIDLastSave="571" documentId="8_{0B875C69-DAE0-48B7-9330-42C908F7DF96}" xr6:coauthVersionLast="47" xr6:coauthVersionMax="47" xr10:uidLastSave="{7C6FCD26-6D8E-4903-84E3-7364EEB3D7AA}"/>
  <bookViews>
    <workbookView xWindow="-110" yWindow="-110" windowWidth="38620" windowHeight="21820" xr2:uid="{9DA460FF-8964-4320-A0A5-30BCCACBB1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F28" i="1" s="1"/>
  <c r="C8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C7" i="1"/>
  <c r="F4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C9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C11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L28" i="1" l="1"/>
  <c r="L23" i="1"/>
  <c r="L11" i="1"/>
  <c r="L10" i="1"/>
  <c r="L24" i="1"/>
  <c r="L20" i="1"/>
  <c r="L16" i="1"/>
  <c r="L12" i="1"/>
  <c r="L8" i="1"/>
  <c r="L27" i="1"/>
  <c r="L19" i="1"/>
  <c r="L15" i="1"/>
  <c r="L7" i="1"/>
  <c r="L26" i="1"/>
  <c r="L22" i="1"/>
  <c r="L18" i="1"/>
  <c r="L14" i="1"/>
  <c r="L6" i="1"/>
  <c r="L25" i="1"/>
  <c r="L21" i="1"/>
  <c r="L17" i="1"/>
  <c r="L13" i="1"/>
  <c r="L9" i="1"/>
  <c r="L5" i="1"/>
  <c r="I5" i="1"/>
  <c r="I4" i="1"/>
  <c r="M4" i="1" s="1"/>
  <c r="M5" i="1" l="1"/>
  <c r="I7" i="1"/>
  <c r="M7" i="1" s="1"/>
  <c r="I6" i="1"/>
  <c r="M6" i="1" s="1"/>
  <c r="I8" i="1" l="1"/>
  <c r="M8" i="1" s="1"/>
  <c r="I9" i="1" l="1"/>
  <c r="M9" i="1" s="1"/>
  <c r="I10" i="1" l="1"/>
  <c r="M10" i="1" s="1"/>
  <c r="I11" i="1" l="1"/>
  <c r="M11" i="1" s="1"/>
  <c r="I12" i="1" l="1"/>
  <c r="M12" i="1" s="1"/>
  <c r="I13" i="1" l="1"/>
  <c r="M13" i="1" s="1"/>
  <c r="I14" i="1" l="1"/>
  <c r="M14" i="1" s="1"/>
  <c r="I15" i="1" l="1"/>
  <c r="M15" i="1" s="1"/>
  <c r="I16" i="1" l="1"/>
  <c r="M16" i="1" s="1"/>
  <c r="I17" i="1" l="1"/>
  <c r="M17" i="1" s="1"/>
  <c r="I18" i="1" l="1"/>
  <c r="M18" i="1" s="1"/>
  <c r="I19" i="1" l="1"/>
  <c r="M19" i="1" s="1"/>
  <c r="I20" i="1" l="1"/>
  <c r="M20" i="1" s="1"/>
  <c r="I21" i="1" l="1"/>
  <c r="M21" i="1" s="1"/>
  <c r="I22" i="1" l="1"/>
  <c r="M22" i="1" s="1"/>
  <c r="I23" i="1" l="1"/>
  <c r="M23" i="1" s="1"/>
  <c r="I24" i="1" l="1"/>
  <c r="M24" i="1" s="1"/>
  <c r="I25" i="1" l="1"/>
  <c r="M25" i="1" s="1"/>
  <c r="I28" i="1" l="1"/>
  <c r="M28" i="1" s="1"/>
  <c r="I26" i="1"/>
  <c r="M26" i="1" s="1"/>
  <c r="I27" i="1" l="1"/>
  <c r="M27" i="1" l="1"/>
  <c r="M29" i="1" s="1"/>
</calcChain>
</file>

<file path=xl/sharedStrings.xml><?xml version="1.0" encoding="utf-8"?>
<sst xmlns="http://schemas.openxmlformats.org/spreadsheetml/2006/main" count="26" uniqueCount="26">
  <si>
    <t>TIR</t>
  </si>
  <si>
    <t>Produccion (MWh)</t>
  </si>
  <si>
    <t>Precio (€/MWh)</t>
  </si>
  <si>
    <t>Cash Flow (€)</t>
  </si>
  <si>
    <t>COSTES</t>
  </si>
  <si>
    <t>BENEFICIOS</t>
  </si>
  <si>
    <t>CF</t>
  </si>
  <si>
    <t>Horas de sol anuales</t>
  </si>
  <si>
    <r>
      <t>Area requerida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/MW)</t>
    </r>
  </si>
  <si>
    <t>Coste Mantenimiento (€/MW)</t>
  </si>
  <si>
    <r>
      <t>Precio Finca Secano (€/m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</si>
  <si>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Incremento anual alquiler finca</t>
  </si>
  <si>
    <t>Incremento anual coste mantenimiento</t>
  </si>
  <si>
    <t>Caída precio electricidad anual</t>
  </si>
  <si>
    <t>Incremento anual coste desmantelación</t>
  </si>
  <si>
    <t>Mantenimiento (€)</t>
  </si>
  <si>
    <t>Instalación (€)</t>
  </si>
  <si>
    <t>Alquiler Terreno (€)</t>
  </si>
  <si>
    <t>Coste Total (€)</t>
  </si>
  <si>
    <t>Ingresos (€)</t>
  </si>
  <si>
    <t>Potencia Instalada (MW)</t>
  </si>
  <si>
    <t>Pérdida eficiencia placas anual</t>
  </si>
  <si>
    <t>Datos a introducir</t>
  </si>
  <si>
    <t>Datos de referencia</t>
  </si>
  <si>
    <t>Coste desmantelamiento (€/MW)</t>
  </si>
  <si>
    <t>Coste Instalación (€/MW)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</si>
</sst>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2" borderId="1" xfId="0" applyNumberFormat="1" applyFill="1" applyBorder="1"/>
    <xf numFmtId="3" fontId="3" fillId="2" borderId="1" xfId="0" applyNumberFormat="1" applyFont="1" applyFill="1" applyBorder="1"/>
    <xf numFmtId="3" fontId="0" fillId="4" borderId="1" xfId="0" applyNumberFormat="1" applyFill="1" applyBorder="1"/>
    <xf numFmtId="2" fontId="0" fillId="4" borderId="1" xfId="0" applyNumberFormat="1" applyFill="1" applyBorder="1"/>
    <xf numFmtId="2" fontId="2" fillId="4" borderId="1" xfId="0" applyNumberFormat="1" applyFont="1" applyFill="1" applyBorder="1"/>
    <xf numFmtId="3" fontId="3" fillId="4" borderId="1" xfId="0" applyNumberFormat="1" applyFont="1" applyFill="1" applyBorder="1"/>
    <xf numFmtId="0" fontId="8" fillId="6" borderId="4" xfId="0" applyFont="1" applyFill="1" applyBorder="1" applyAlignment="1">
      <alignment horizontal="center"/>
    </xf>
    <xf numFmtId="3" fontId="0" fillId="2" borderId="5" xfId="0" applyNumberFormat="1" applyFill="1" applyBorder="1"/>
    <xf numFmtId="3" fontId="5" fillId="6" borderId="6" xfId="0" applyNumberFormat="1" applyFont="1" applyFill="1" applyBorder="1"/>
    <xf numFmtId="3" fontId="0" fillId="2" borderId="7" xfId="0" applyNumberFormat="1" applyFill="1" applyBorder="1"/>
    <xf numFmtId="3" fontId="0" fillId="2" borderId="8" xfId="0" applyNumberFormat="1" applyFill="1" applyBorder="1"/>
    <xf numFmtId="3" fontId="3" fillId="2" borderId="8" xfId="0" applyNumberFormat="1" applyFont="1" applyFill="1" applyBorder="1"/>
    <xf numFmtId="3" fontId="0" fillId="4" borderId="8" xfId="0" applyNumberFormat="1" applyFill="1" applyBorder="1"/>
    <xf numFmtId="2" fontId="2" fillId="4" borderId="8" xfId="0" applyNumberFormat="1" applyFont="1" applyFill="1" applyBorder="1"/>
    <xf numFmtId="3" fontId="3" fillId="4" borderId="8" xfId="0" applyNumberFormat="1" applyFont="1" applyFill="1" applyBorder="1"/>
    <xf numFmtId="3" fontId="5" fillId="6" borderId="9" xfId="0" applyNumberFormat="1" applyFont="1" applyFill="1" applyBorder="1"/>
    <xf numFmtId="3" fontId="0" fillId="2" borderId="10" xfId="0" applyNumberFormat="1" applyFill="1" applyBorder="1"/>
    <xf numFmtId="3" fontId="0" fillId="2" borderId="11" xfId="0" applyNumberFormat="1" applyFill="1" applyBorder="1"/>
    <xf numFmtId="3" fontId="3" fillId="2" borderId="11" xfId="0" applyNumberFormat="1" applyFont="1" applyFill="1" applyBorder="1"/>
    <xf numFmtId="3" fontId="0" fillId="4" borderId="11" xfId="0" applyNumberFormat="1" applyFill="1" applyBorder="1"/>
    <xf numFmtId="2" fontId="0" fillId="4" borderId="11" xfId="0" applyNumberFormat="1" applyFill="1" applyBorder="1"/>
    <xf numFmtId="3" fontId="3" fillId="4" borderId="11" xfId="0" applyNumberFormat="1" applyFont="1" applyFill="1" applyBorder="1"/>
    <xf numFmtId="3" fontId="5" fillId="6" borderId="12" xfId="0" applyNumberFormat="1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3" borderId="8" xfId="0" applyFont="1" applyFill="1" applyBorder="1"/>
    <xf numFmtId="0" fontId="4" fillId="6" borderId="9" xfId="0" applyFont="1" applyFill="1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2" fontId="6" fillId="0" borderId="16" xfId="0" applyNumberFormat="1" applyFont="1" applyBorder="1" applyAlignment="1">
      <alignment horizontal="right"/>
    </xf>
    <xf numFmtId="10" fontId="7" fillId="0" borderId="17" xfId="0" applyNumberFormat="1" applyFont="1" applyBorder="1" applyAlignment="1">
      <alignment horizontal="left"/>
    </xf>
    <xf numFmtId="0" fontId="0" fillId="7" borderId="1" xfId="0" applyFill="1" applyBorder="1"/>
    <xf numFmtId="9" fontId="0" fillId="7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1" fontId="0" fillId="9" borderId="1" xfId="0" applyNumberFormat="1" applyFill="1" applyBorder="1"/>
    <xf numFmtId="164" fontId="0" fillId="9" borderId="1" xfId="0" applyNumberFormat="1" applyFill="1" applyBorder="1"/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6ACC-15A0-4FC8-9C31-7154E4457DB9}">
  <dimension ref="B1:R29"/>
  <sheetViews>
    <sheetView tabSelected="1" zoomScale="85" zoomScaleNormal="85" workbookViewId="0">
      <selection activeCell="D16" sqref="D16"/>
    </sheetView>
  </sheetViews>
  <sheetFormatPr baseColWidth="10" defaultRowHeight="14.5" x14ac:dyDescent="0.35"/>
  <cols>
    <col min="2" max="2" width="34.36328125" bestFit="1" customWidth="1"/>
    <col min="3" max="3" width="17.1796875" bestFit="1" customWidth="1"/>
    <col min="4" max="4" width="17.81640625" bestFit="1" customWidth="1"/>
    <col min="6" max="6" width="13.81640625" customWidth="1"/>
    <col min="7" max="7" width="17.1796875" bestFit="1" customWidth="1"/>
    <col min="8" max="8" width="17.81640625" bestFit="1" customWidth="1"/>
    <col min="9" max="9" width="13.26953125" bestFit="1" customWidth="1"/>
    <col min="10" max="10" width="16.81640625" bestFit="1" customWidth="1"/>
    <col min="11" max="11" width="14.6328125" bestFit="1" customWidth="1"/>
    <col min="13" max="13" width="14.81640625" customWidth="1"/>
    <col min="14" max="14" width="11.6328125" customWidth="1"/>
    <col min="16" max="16" width="17.36328125" customWidth="1"/>
    <col min="17" max="17" width="15.81640625" customWidth="1"/>
    <col min="18" max="18" width="12.453125" customWidth="1"/>
    <col min="19" max="19" width="12.453125" bestFit="1" customWidth="1"/>
  </cols>
  <sheetData>
    <row r="1" spans="2:18" ht="15" thickBot="1" x14ac:dyDescent="0.4">
      <c r="O1" s="1"/>
    </row>
    <row r="2" spans="2:18" ht="26" x14ac:dyDescent="0.6">
      <c r="F2" s="41" t="s">
        <v>4</v>
      </c>
      <c r="G2" s="42"/>
      <c r="H2" s="42"/>
      <c r="I2" s="42"/>
      <c r="J2" s="43" t="s">
        <v>5</v>
      </c>
      <c r="K2" s="43"/>
      <c r="L2" s="43"/>
      <c r="M2" s="9" t="s">
        <v>6</v>
      </c>
      <c r="O2" s="1"/>
    </row>
    <row r="3" spans="2:18" ht="16" thickBot="1" x14ac:dyDescent="0.4">
      <c r="C3" s="38" t="s">
        <v>23</v>
      </c>
      <c r="F3" s="26" t="s">
        <v>16</v>
      </c>
      <c r="G3" s="27" t="s">
        <v>15</v>
      </c>
      <c r="H3" s="27" t="s">
        <v>17</v>
      </c>
      <c r="I3" s="27" t="s">
        <v>18</v>
      </c>
      <c r="J3" s="28" t="s">
        <v>1</v>
      </c>
      <c r="K3" s="28" t="s">
        <v>2</v>
      </c>
      <c r="L3" s="28" t="s">
        <v>19</v>
      </c>
      <c r="M3" s="29" t="s">
        <v>3</v>
      </c>
      <c r="O3" s="1"/>
    </row>
    <row r="4" spans="2:18" ht="18.5" x14ac:dyDescent="0.45">
      <c r="C4" s="35" t="s">
        <v>22</v>
      </c>
      <c r="E4" s="32">
        <v>2022</v>
      </c>
      <c r="F4" s="19">
        <f>+C7*C6</f>
        <v>5238095.2380952379</v>
      </c>
      <c r="G4" s="20"/>
      <c r="H4" s="20">
        <f>+$C$6*$C$10*$C$11</f>
        <v>1406.6888000000001</v>
      </c>
      <c r="I4" s="21">
        <f t="shared" ref="I4:I27" si="0">+SUM(F4:H4)</f>
        <v>5239501.9268952375</v>
      </c>
      <c r="J4" s="22"/>
      <c r="K4" s="23"/>
      <c r="L4" s="24"/>
      <c r="M4" s="25">
        <f>-I4+L4</f>
        <v>-5239501.9268952375</v>
      </c>
      <c r="O4" s="1"/>
    </row>
    <row r="5" spans="2:18" ht="18.5" x14ac:dyDescent="0.45">
      <c r="E5" s="30">
        <v>2023</v>
      </c>
      <c r="F5" s="10"/>
      <c r="G5" s="3">
        <f>+$C$8*$C$6</f>
        <v>190476.19047619047</v>
      </c>
      <c r="H5" s="3">
        <f>H4*(1+$C$14)</f>
        <v>1477.0232400000002</v>
      </c>
      <c r="I5" s="4">
        <f t="shared" si="0"/>
        <v>191953.21371619048</v>
      </c>
      <c r="J5" s="5">
        <f>+$C$9*$C$6</f>
        <v>16825</v>
      </c>
      <c r="K5" s="6">
        <v>146.5</v>
      </c>
      <c r="L5" s="8">
        <f t="shared" ref="L5:L28" si="1">+J5*K5</f>
        <v>2464862.5</v>
      </c>
      <c r="M5" s="11">
        <f t="shared" ref="M5:M28" si="2">-I5+L5</f>
        <v>2272909.2862838097</v>
      </c>
      <c r="O5" s="1"/>
    </row>
    <row r="6" spans="2:18" ht="18.5" x14ac:dyDescent="0.45">
      <c r="B6" s="37" t="s">
        <v>20</v>
      </c>
      <c r="C6" s="38">
        <v>5</v>
      </c>
      <c r="E6" s="30">
        <v>2024</v>
      </c>
      <c r="F6" s="10"/>
      <c r="G6" s="3">
        <f>G5*(1+$C$15)</f>
        <v>196190.47619047618</v>
      </c>
      <c r="H6" s="3">
        <f>H5*(1+$C$14)</f>
        <v>1550.8744020000004</v>
      </c>
      <c r="I6" s="4">
        <f t="shared" si="0"/>
        <v>197741.35059247617</v>
      </c>
      <c r="J6" s="5">
        <f>+J5*(1-$C$13)</f>
        <v>16690.400000000001</v>
      </c>
      <c r="K6" s="6">
        <v>97</v>
      </c>
      <c r="L6" s="8">
        <f t="shared" si="1"/>
        <v>1618968.8</v>
      </c>
      <c r="M6" s="11">
        <f t="shared" si="2"/>
        <v>1421227.449407524</v>
      </c>
      <c r="O6" s="1"/>
    </row>
    <row r="7" spans="2:18" ht="18.5" x14ac:dyDescent="0.45">
      <c r="B7" s="37" t="s">
        <v>25</v>
      </c>
      <c r="C7" s="38">
        <f>1100000/1.05</f>
        <v>1047619.0476190476</v>
      </c>
      <c r="E7" s="30">
        <v>2025</v>
      </c>
      <c r="F7" s="10"/>
      <c r="G7" s="3">
        <f>G6*(1+$C$15)</f>
        <v>202076.19047619047</v>
      </c>
      <c r="H7" s="3">
        <f>H6*(1+$C$14)</f>
        <v>1628.4181221000006</v>
      </c>
      <c r="I7" s="4">
        <f t="shared" si="0"/>
        <v>203704.60859829048</v>
      </c>
      <c r="J7" s="5">
        <f>+J6*(1-$C$13)</f>
        <v>16556.876800000002</v>
      </c>
      <c r="K7" s="6">
        <v>66.25</v>
      </c>
      <c r="L7" s="8">
        <f t="shared" si="1"/>
        <v>1096893.0880000002</v>
      </c>
      <c r="M7" s="11">
        <f t="shared" si="2"/>
        <v>893188.47940170974</v>
      </c>
      <c r="O7" s="1"/>
    </row>
    <row r="8" spans="2:18" ht="18.5" x14ac:dyDescent="0.45">
      <c r="B8" s="37" t="s">
        <v>9</v>
      </c>
      <c r="C8" s="39">
        <f>40000/1.05</f>
        <v>38095.238095238092</v>
      </c>
      <c r="E8" s="30">
        <v>2026</v>
      </c>
      <c r="F8" s="10"/>
      <c r="G8" s="3">
        <f>G7*(1+$C$15)</f>
        <v>208138.47619047618</v>
      </c>
      <c r="H8" s="3">
        <f>H7*(1+$C$14)</f>
        <v>1709.8390282050007</v>
      </c>
      <c r="I8" s="4">
        <f t="shared" si="0"/>
        <v>209848.31521868118</v>
      </c>
      <c r="J8" s="5">
        <f>+J7*(1-$C$13)</f>
        <v>16424.421785600003</v>
      </c>
      <c r="K8" s="6">
        <v>55.25</v>
      </c>
      <c r="L8" s="8">
        <f t="shared" si="1"/>
        <v>907449.30365440017</v>
      </c>
      <c r="M8" s="11">
        <f t="shared" si="2"/>
        <v>697600.98843571893</v>
      </c>
      <c r="O8" s="1"/>
    </row>
    <row r="9" spans="2:18" ht="18.5" x14ac:dyDescent="0.45">
      <c r="B9" s="37" t="s">
        <v>7</v>
      </c>
      <c r="C9" s="38">
        <f>3365</f>
        <v>3365</v>
      </c>
      <c r="E9" s="30">
        <v>2027</v>
      </c>
      <c r="F9" s="10"/>
      <c r="G9" s="3">
        <f>G8*(1+$C$15)</f>
        <v>214382.63047619048</v>
      </c>
      <c r="H9" s="3">
        <f>H8*(1+$C$14)</f>
        <v>1795.3309796152507</v>
      </c>
      <c r="I9" s="4">
        <f t="shared" si="0"/>
        <v>216177.96145580572</v>
      </c>
      <c r="J9" s="5">
        <f>+J8*(1-$C$13)</f>
        <v>16293.026411315202</v>
      </c>
      <c r="K9" s="6">
        <v>47.75</v>
      </c>
      <c r="L9" s="8">
        <f t="shared" si="1"/>
        <v>777992.01114030089</v>
      </c>
      <c r="M9" s="11">
        <f t="shared" si="2"/>
        <v>561814.0496844952</v>
      </c>
    </row>
    <row r="10" spans="2:18" ht="18.5" x14ac:dyDescent="0.45">
      <c r="B10" s="37" t="s">
        <v>8</v>
      </c>
      <c r="C10" s="38">
        <v>31970.2</v>
      </c>
      <c r="E10" s="30">
        <v>2028</v>
      </c>
      <c r="F10" s="10"/>
      <c r="G10" s="3">
        <f>G9*(1+$C$15)</f>
        <v>220814.10939047619</v>
      </c>
      <c r="H10" s="3">
        <f>H9*(1+$C$14)</f>
        <v>1885.0975285960133</v>
      </c>
      <c r="I10" s="4">
        <f t="shared" si="0"/>
        <v>222699.2069190722</v>
      </c>
      <c r="J10" s="5">
        <f>+J9*(1-$C$13)</f>
        <v>16162.682200024681</v>
      </c>
      <c r="K10" s="6">
        <v>44.05</v>
      </c>
      <c r="L10" s="8">
        <f t="shared" si="1"/>
        <v>711966.15091108717</v>
      </c>
      <c r="M10" s="11">
        <f t="shared" si="2"/>
        <v>489266.94399201497</v>
      </c>
    </row>
    <row r="11" spans="2:18" ht="18.5" x14ac:dyDescent="0.45">
      <c r="B11" s="37" t="s">
        <v>10</v>
      </c>
      <c r="C11" s="38">
        <f>88/10000</f>
        <v>8.8000000000000005E-3</v>
      </c>
      <c r="E11" s="30">
        <v>2029</v>
      </c>
      <c r="F11" s="10"/>
      <c r="G11" s="3">
        <f>G10*(1+$C$15)</f>
        <v>227438.53267219049</v>
      </c>
      <c r="H11" s="3">
        <f>H10*(1+$C$14)</f>
        <v>1979.3524050258141</v>
      </c>
      <c r="I11" s="4">
        <f t="shared" si="0"/>
        <v>229417.88507721631</v>
      </c>
      <c r="J11" s="5">
        <f>+J10*(1-$C$13)</f>
        <v>16033.380742424484</v>
      </c>
      <c r="K11" s="6">
        <v>43.05</v>
      </c>
      <c r="L11" s="8">
        <f t="shared" si="1"/>
        <v>690237.04096137395</v>
      </c>
      <c r="M11" s="11">
        <f t="shared" si="2"/>
        <v>460819.15588415763</v>
      </c>
      <c r="R11" s="2"/>
    </row>
    <row r="12" spans="2:18" ht="18.5" x14ac:dyDescent="0.45">
      <c r="B12" s="37" t="s">
        <v>24</v>
      </c>
      <c r="C12" s="39">
        <f>(440+100)*1000/1.05</f>
        <v>514285.71428571426</v>
      </c>
      <c r="E12" s="30">
        <v>2030</v>
      </c>
      <c r="F12" s="10"/>
      <c r="G12" s="3">
        <f>G11*(1+$C$15)</f>
        <v>234261.68865235621</v>
      </c>
      <c r="H12" s="3">
        <f>H11*(1+$C$14)</f>
        <v>2078.3200252771048</v>
      </c>
      <c r="I12" s="4">
        <f t="shared" si="0"/>
        <v>236340.0086776333</v>
      </c>
      <c r="J12" s="5">
        <f>+J11*(1-$C$13)</f>
        <v>15905.113696485088</v>
      </c>
      <c r="K12" s="6">
        <v>42.7</v>
      </c>
      <c r="L12" s="8">
        <f t="shared" si="1"/>
        <v>679148.35483991331</v>
      </c>
      <c r="M12" s="11">
        <f t="shared" si="2"/>
        <v>442808.34616228001</v>
      </c>
    </row>
    <row r="13" spans="2:18" ht="18.5" x14ac:dyDescent="0.45">
      <c r="B13" s="37" t="s">
        <v>21</v>
      </c>
      <c r="C13" s="40">
        <v>8.0000000000000002E-3</v>
      </c>
      <c r="E13" s="30">
        <v>2031</v>
      </c>
      <c r="F13" s="10"/>
      <c r="G13" s="3">
        <f>G12*(1+$C$15)</f>
        <v>241289.5393119269</v>
      </c>
      <c r="H13" s="3">
        <f>H12*(1+$C$14)</f>
        <v>2182.2360265409602</v>
      </c>
      <c r="I13" s="4">
        <f t="shared" si="0"/>
        <v>243471.77533846785</v>
      </c>
      <c r="J13" s="5">
        <f>+J12*(1-$C$13)</f>
        <v>15777.872786913207</v>
      </c>
      <c r="K13" s="6">
        <v>42.55</v>
      </c>
      <c r="L13" s="8">
        <f t="shared" si="1"/>
        <v>671348.48708315694</v>
      </c>
      <c r="M13" s="11">
        <f t="shared" si="2"/>
        <v>427876.71174468909</v>
      </c>
    </row>
    <row r="14" spans="2:18" ht="18.5" x14ac:dyDescent="0.45">
      <c r="B14" s="37" t="s">
        <v>11</v>
      </c>
      <c r="C14" s="36">
        <v>0.05</v>
      </c>
      <c r="E14" s="30">
        <v>2032</v>
      </c>
      <c r="F14" s="10"/>
      <c r="G14" s="3">
        <f>G13*(1+$C$15)</f>
        <v>248528.22549128471</v>
      </c>
      <c r="H14" s="3">
        <f>H13*(1+$C$14)</f>
        <v>2291.3478278680082</v>
      </c>
      <c r="I14" s="4">
        <f t="shared" si="0"/>
        <v>250819.57331915273</v>
      </c>
      <c r="J14" s="5">
        <f>+J13*(1-$C$13)</f>
        <v>15651.649804617902</v>
      </c>
      <c r="K14" s="6">
        <v>42.4</v>
      </c>
      <c r="L14" s="8">
        <f t="shared" si="1"/>
        <v>663629.95171579905</v>
      </c>
      <c r="M14" s="11">
        <f t="shared" si="2"/>
        <v>412810.37839664635</v>
      </c>
    </row>
    <row r="15" spans="2:18" ht="18.5" x14ac:dyDescent="0.45">
      <c r="B15" s="37" t="s">
        <v>12</v>
      </c>
      <c r="C15" s="36">
        <v>0.03</v>
      </c>
      <c r="E15" s="30">
        <v>2033</v>
      </c>
      <c r="F15" s="10"/>
      <c r="G15" s="3">
        <f>G14*(1+$C$15)</f>
        <v>255984.07225602327</v>
      </c>
      <c r="H15" s="3">
        <f>H14*(1+$C$14)</f>
        <v>2405.9152192614088</v>
      </c>
      <c r="I15" s="4">
        <f t="shared" si="0"/>
        <v>258389.98747528467</v>
      </c>
      <c r="J15" s="5">
        <f>+J14*(1-$C$13)</f>
        <v>15526.43660618096</v>
      </c>
      <c r="K15" s="7">
        <f>+K14*(1-$C$17)</f>
        <v>41.128</v>
      </c>
      <c r="L15" s="8">
        <f t="shared" si="1"/>
        <v>638571.2847390105</v>
      </c>
      <c r="M15" s="11">
        <f t="shared" si="2"/>
        <v>380181.29726372584</v>
      </c>
    </row>
    <row r="16" spans="2:18" ht="18.5" x14ac:dyDescent="0.45">
      <c r="B16" s="37" t="s">
        <v>14</v>
      </c>
      <c r="C16" s="36">
        <v>0.03</v>
      </c>
      <c r="E16" s="30">
        <v>2034</v>
      </c>
      <c r="F16" s="10"/>
      <c r="G16" s="3">
        <f>G15*(1+$C$15)</f>
        <v>263663.59442370397</v>
      </c>
      <c r="H16" s="3">
        <f>H15*(1+$C$14)</f>
        <v>2526.2109802244795</v>
      </c>
      <c r="I16" s="4">
        <f t="shared" si="0"/>
        <v>266189.80540392845</v>
      </c>
      <c r="J16" s="5">
        <f>+J15*(1-$C$13)</f>
        <v>15402.225113331511</v>
      </c>
      <c r="K16" s="7">
        <f>+K15*(1-$C$17)</f>
        <v>39.894159999999999</v>
      </c>
      <c r="L16" s="8">
        <f t="shared" si="1"/>
        <v>614458.83302726538</v>
      </c>
      <c r="M16" s="11">
        <f t="shared" si="2"/>
        <v>348269.02762333694</v>
      </c>
    </row>
    <row r="17" spans="2:13" ht="18.5" x14ac:dyDescent="0.45">
      <c r="B17" s="37" t="s">
        <v>13</v>
      </c>
      <c r="C17" s="36">
        <v>0.03</v>
      </c>
      <c r="E17" s="30">
        <v>2035</v>
      </c>
      <c r="F17" s="10"/>
      <c r="G17" s="3">
        <f>G16*(1+$C$15)</f>
        <v>271573.50225641509</v>
      </c>
      <c r="H17" s="3">
        <f>H16*(1+$C$14)</f>
        <v>2652.5215292357034</v>
      </c>
      <c r="I17" s="4">
        <f t="shared" si="0"/>
        <v>274226.02378565079</v>
      </c>
      <c r="J17" s="5">
        <f>+J16*(1-$C$13)</f>
        <v>15279.007312424859</v>
      </c>
      <c r="K17" s="7">
        <f>+K16*(1-$C$17)</f>
        <v>38.697335199999998</v>
      </c>
      <c r="L17" s="8">
        <f t="shared" si="1"/>
        <v>591256.86749215587</v>
      </c>
      <c r="M17" s="11">
        <f t="shared" si="2"/>
        <v>317030.84370650508</v>
      </c>
    </row>
    <row r="18" spans="2:13" ht="18.5" x14ac:dyDescent="0.45">
      <c r="E18" s="30">
        <v>2036</v>
      </c>
      <c r="F18" s="10"/>
      <c r="G18" s="3">
        <f>G17*(1+$C$15)</f>
        <v>279720.70732410753</v>
      </c>
      <c r="H18" s="3">
        <f>H17*(1+$C$14)</f>
        <v>2785.1476056974889</v>
      </c>
      <c r="I18" s="4">
        <f t="shared" si="0"/>
        <v>282505.85492980503</v>
      </c>
      <c r="J18" s="5">
        <f>+J17*(1-$C$13)</f>
        <v>15156.77525392546</v>
      </c>
      <c r="K18" s="7">
        <f>+K17*(1-$C$17)</f>
        <v>37.536415143999996</v>
      </c>
      <c r="L18" s="8">
        <f t="shared" si="1"/>
        <v>568931.00817565201</v>
      </c>
      <c r="M18" s="11">
        <f t="shared" si="2"/>
        <v>286425.15324584697</v>
      </c>
    </row>
    <row r="19" spans="2:13" ht="18.5" x14ac:dyDescent="0.45">
      <c r="E19" s="30">
        <v>2037</v>
      </c>
      <c r="F19" s="10"/>
      <c r="G19" s="3">
        <f>G18*(1+$C$15)</f>
        <v>288112.32854383078</v>
      </c>
      <c r="H19" s="3">
        <f>H18*(1+$C$14)</f>
        <v>2924.4049859823635</v>
      </c>
      <c r="I19" s="4">
        <f t="shared" si="0"/>
        <v>291036.73352981312</v>
      </c>
      <c r="J19" s="5">
        <f>+J18*(1-$C$13)</f>
        <v>15035.521051894057</v>
      </c>
      <c r="K19" s="7">
        <f>+K18*(1-$C$17)</f>
        <v>36.410322689679994</v>
      </c>
      <c r="L19" s="8">
        <f t="shared" si="1"/>
        <v>547448.17330693942</v>
      </c>
      <c r="M19" s="11">
        <f t="shared" si="2"/>
        <v>256411.4397771263</v>
      </c>
    </row>
    <row r="20" spans="2:13" ht="18.5" x14ac:dyDescent="0.45">
      <c r="E20" s="30">
        <v>2038</v>
      </c>
      <c r="F20" s="10"/>
      <c r="G20" s="3">
        <f>G19*(1+$C$15)</f>
        <v>296755.69840014569</v>
      </c>
      <c r="H20" s="3">
        <f>H19*(1+$C$14)</f>
        <v>3070.6252352814818</v>
      </c>
      <c r="I20" s="4">
        <f t="shared" si="0"/>
        <v>299826.32363542716</v>
      </c>
      <c r="J20" s="5">
        <f>+J19*(1-$C$13)</f>
        <v>14915.236883478905</v>
      </c>
      <c r="K20" s="7">
        <f>+K19*(1-$C$17)</f>
        <v>35.318013008989595</v>
      </c>
      <c r="L20" s="8">
        <f t="shared" si="1"/>
        <v>526776.53028286935</v>
      </c>
      <c r="M20" s="11">
        <f t="shared" si="2"/>
        <v>226950.20664744219</v>
      </c>
    </row>
    <row r="21" spans="2:13" ht="18.5" x14ac:dyDescent="0.45">
      <c r="E21" s="30">
        <v>2039</v>
      </c>
      <c r="F21" s="10"/>
      <c r="G21" s="3">
        <f>G20*(1+$C$15)</f>
        <v>305658.36935215007</v>
      </c>
      <c r="H21" s="3">
        <f>H20*(1+$C$14)</f>
        <v>3224.1564970455561</v>
      </c>
      <c r="I21" s="4">
        <f t="shared" si="0"/>
        <v>308882.5258491956</v>
      </c>
      <c r="J21" s="5">
        <f>+J20*(1-$C$13)</f>
        <v>14795.914988411074</v>
      </c>
      <c r="K21" s="7">
        <f>+K20*(1-$C$17)</f>
        <v>34.258472618719907</v>
      </c>
      <c r="L21" s="8">
        <f t="shared" si="1"/>
        <v>506885.44849938824</v>
      </c>
      <c r="M21" s="11">
        <f t="shared" si="2"/>
        <v>198002.92265019263</v>
      </c>
    </row>
    <row r="22" spans="2:13" ht="18.5" x14ac:dyDescent="0.45">
      <c r="E22" s="30">
        <v>2040</v>
      </c>
      <c r="F22" s="10"/>
      <c r="G22" s="3">
        <f>G21*(1+$C$15)</f>
        <v>314828.12043271458</v>
      </c>
      <c r="H22" s="3">
        <f>H21*(1+$C$14)</f>
        <v>3385.3643218978341</v>
      </c>
      <c r="I22" s="4">
        <f t="shared" si="0"/>
        <v>318213.48475461244</v>
      </c>
      <c r="J22" s="5">
        <f>+J21*(1-$C$13)</f>
        <v>14677.547668503785</v>
      </c>
      <c r="K22" s="7">
        <f>+K21*(1-$C$17)</f>
        <v>33.230718440158306</v>
      </c>
      <c r="L22" s="8">
        <f t="shared" si="1"/>
        <v>487745.45396405127</v>
      </c>
      <c r="M22" s="11">
        <f t="shared" si="2"/>
        <v>169531.96920943883</v>
      </c>
    </row>
    <row r="23" spans="2:13" ht="18.5" x14ac:dyDescent="0.45">
      <c r="E23" s="30">
        <v>2041</v>
      </c>
      <c r="F23" s="10"/>
      <c r="G23" s="3">
        <f>G22*(1+$C$15)</f>
        <v>324272.96404569602</v>
      </c>
      <c r="H23" s="3">
        <f>H22*(1+$C$14)</f>
        <v>3554.6325379927262</v>
      </c>
      <c r="I23" s="4">
        <f t="shared" si="0"/>
        <v>327827.59658368875</v>
      </c>
      <c r="J23" s="5">
        <f>+J22*(1-$C$13)</f>
        <v>14560.127287155754</v>
      </c>
      <c r="K23" s="7">
        <f>+K22*(1-$C$17)</f>
        <v>32.233796886953556</v>
      </c>
      <c r="L23" s="8">
        <f t="shared" si="1"/>
        <v>469328.18562236865</v>
      </c>
      <c r="M23" s="11">
        <f t="shared" si="2"/>
        <v>141500.5890386799</v>
      </c>
    </row>
    <row r="24" spans="2:13" ht="18.5" x14ac:dyDescent="0.45">
      <c r="E24" s="30">
        <v>2042</v>
      </c>
      <c r="F24" s="10"/>
      <c r="G24" s="3">
        <f>G23*(1+$C$15)</f>
        <v>334001.15296706691</v>
      </c>
      <c r="H24" s="3">
        <f>H23*(1+$C$14)</f>
        <v>3732.3641648923626</v>
      </c>
      <c r="I24" s="4">
        <f t="shared" si="0"/>
        <v>337733.51713195926</v>
      </c>
      <c r="J24" s="5">
        <f>+J23*(1-$C$13)</f>
        <v>14443.646268858507</v>
      </c>
      <c r="K24" s="7">
        <f>+K23*(1-$C$17)</f>
        <v>31.266782980344949</v>
      </c>
      <c r="L24" s="8">
        <f t="shared" si="1"/>
        <v>451606.35333326802</v>
      </c>
      <c r="M24" s="11">
        <f t="shared" si="2"/>
        <v>113872.83620130876</v>
      </c>
    </row>
    <row r="25" spans="2:13" ht="18.5" x14ac:dyDescent="0.45">
      <c r="E25" s="30">
        <v>2043</v>
      </c>
      <c r="F25" s="10"/>
      <c r="G25" s="3">
        <f>G24*(1+$C$15)</f>
        <v>344021.18755607895</v>
      </c>
      <c r="H25" s="3">
        <f>H24*(1+$C$14)</f>
        <v>3918.9823731369811</v>
      </c>
      <c r="I25" s="4">
        <f t="shared" si="0"/>
        <v>347940.16992921592</v>
      </c>
      <c r="J25" s="5">
        <f>+J24*(1-$C$13)</f>
        <v>14328.097098707638</v>
      </c>
      <c r="K25" s="7">
        <f>+K24*(1-$C$17)</f>
        <v>30.3287794909346</v>
      </c>
      <c r="L25" s="8">
        <f t="shared" si="1"/>
        <v>434553.69743140374</v>
      </c>
      <c r="M25" s="11">
        <f t="shared" si="2"/>
        <v>86613.527502187819</v>
      </c>
    </row>
    <row r="26" spans="2:13" ht="18.5" x14ac:dyDescent="0.45">
      <c r="E26" s="30">
        <v>2044</v>
      </c>
      <c r="F26" s="10"/>
      <c r="G26" s="3">
        <f>G25*(1+$C$15)</f>
        <v>354341.82318276132</v>
      </c>
      <c r="H26" s="3">
        <f>H25*(1+$C$14)</f>
        <v>4114.93149179383</v>
      </c>
      <c r="I26" s="4">
        <f t="shared" si="0"/>
        <v>358456.75467455515</v>
      </c>
      <c r="J26" s="5">
        <f>+J25*(1-$C$13)</f>
        <v>14213.472321917976</v>
      </c>
      <c r="K26" s="7">
        <f>+K25*(1-$C$17)</f>
        <v>29.418916106206563</v>
      </c>
      <c r="L26" s="8">
        <f t="shared" si="1"/>
        <v>418144.94981639396</v>
      </c>
      <c r="M26" s="11">
        <f t="shared" si="2"/>
        <v>59688.195141838805</v>
      </c>
    </row>
    <row r="27" spans="2:13" ht="18.5" x14ac:dyDescent="0.45">
      <c r="E27" s="30">
        <v>2045</v>
      </c>
      <c r="F27" s="10"/>
      <c r="G27" s="3">
        <f>G26*(1+$C$15)</f>
        <v>364972.07787824416</v>
      </c>
      <c r="H27" s="3">
        <f>H26*(1+$C$14)</f>
        <v>4320.6780663835216</v>
      </c>
      <c r="I27" s="4">
        <f t="shared" si="0"/>
        <v>369292.75594462769</v>
      </c>
      <c r="J27" s="5">
        <f>+J26*(1-$C$13)</f>
        <v>14099.764543342631</v>
      </c>
      <c r="K27" s="7">
        <f>+K26*(1-$C$17)</f>
        <v>28.536348623020366</v>
      </c>
      <c r="L27" s="8">
        <f t="shared" si="1"/>
        <v>402355.79651132686</v>
      </c>
      <c r="M27" s="11">
        <f t="shared" si="2"/>
        <v>33063.040566699172</v>
      </c>
    </row>
    <row r="28" spans="2:13" ht="19" thickBot="1" x14ac:dyDescent="0.5">
      <c r="E28" s="31">
        <v>2046</v>
      </c>
      <c r="F28" s="12">
        <f>C12*C6*(1+C16)^25</f>
        <v>5384000.3905394068</v>
      </c>
      <c r="G28" s="13">
        <f>G27*(1+$C$15)</f>
        <v>375921.2402145915</v>
      </c>
      <c r="H28" s="13">
        <f>H27*(1+$C$14)</f>
        <v>4536.7119697026983</v>
      </c>
      <c r="I28" s="14">
        <f t="shared" ref="I28" si="3">+SUM(F28:H28)</f>
        <v>5764458.3427237011</v>
      </c>
      <c r="J28" s="15">
        <f>+J27*(1-$C$13)</f>
        <v>13986.96642699589</v>
      </c>
      <c r="K28" s="16">
        <f>+K27*(1-$C$17)</f>
        <v>27.680258164329754</v>
      </c>
      <c r="L28" s="17">
        <f t="shared" si="1"/>
        <v>387162.84163505916</v>
      </c>
      <c r="M28" s="18">
        <f t="shared" si="2"/>
        <v>-5377295.5010886416</v>
      </c>
    </row>
    <row r="29" spans="2:13" ht="21.5" thickBot="1" x14ac:dyDescent="0.55000000000000004">
      <c r="L29" s="33" t="s">
        <v>0</v>
      </c>
      <c r="M29" s="34">
        <f>IRR(M4:M28)</f>
        <v>0.14959021652065063</v>
      </c>
    </row>
  </sheetData>
  <mergeCells count="2">
    <mergeCell ref="F2:I2"/>
    <mergeCell ref="J2:L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34610</dc:creator>
  <cp:lastModifiedBy>asiergilsedano@outlook.com</cp:lastModifiedBy>
  <dcterms:created xsi:type="dcterms:W3CDTF">2022-05-08T22:23:06Z</dcterms:created>
  <dcterms:modified xsi:type="dcterms:W3CDTF">2022-05-21T10:07:20Z</dcterms:modified>
</cp:coreProperties>
</file>