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sif Documents\Data Analyst\Data Analyst\Projects\Excel Project\Business Math &amp; Stattistics Learnig\"/>
    </mc:Choice>
  </mc:AlternateContent>
  <xr:revisionPtr revIDLastSave="0" documentId="13_ncr:1_{337E2C93-C389-4C3B-9F11-D18C8721E2DE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Table of Content" sheetId="10" r:id="rId1"/>
    <sheet name="movies" sheetId="1" r:id="rId2"/>
    <sheet name="financials" sheetId="2" r:id="rId3"/>
    <sheet name="languages" sheetId="5" r:id="rId4"/>
    <sheet name="Total, Average, % Revenue" sheetId="11" r:id="rId5"/>
    <sheet name="Marvel Financial" sheetId="6" r:id="rId6"/>
    <sheet name="Mean, Median, Mode" sheetId="7" r:id="rId7"/>
    <sheet name="Variance &amp; Std Deviation" sheetId="8" r:id="rId8"/>
    <sheet name="Correlation" sheetId="9" r:id="rId9"/>
  </sheets>
  <definedNames>
    <definedName name="juganda">'Variance &amp; Std Deviation'!$C$14</definedName>
    <definedName name="juganda_mean">'Variance &amp; Std Deviation'!$C$14</definedName>
    <definedName name="juganda_mean_income">'Variance &amp; Std Deviation'!$C$14</definedName>
    <definedName name="Karana_mean_income">'Variance &amp; Std Deviation'!$J$14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9" l="1"/>
  <c r="D22" i="8"/>
  <c r="E22" i="8"/>
  <c r="D4" i="7"/>
  <c r="C4" i="7"/>
  <c r="B4" i="7"/>
  <c r="C5" i="6"/>
  <c r="G17" i="11"/>
  <c r="C17" i="11"/>
  <c r="G16" i="11"/>
  <c r="C16" i="11"/>
  <c r="G15" i="11"/>
  <c r="C15" i="11"/>
  <c r="G14" i="11"/>
  <c r="G13" i="11"/>
  <c r="G12" i="11"/>
  <c r="G11" i="11"/>
  <c r="G10" i="11"/>
  <c r="G9" i="11"/>
  <c r="C12" i="11"/>
  <c r="C13" i="11"/>
  <c r="C14" i="11" s="1"/>
  <c r="C10" i="11"/>
  <c r="C9" i="11"/>
  <c r="C11" i="11" l="1"/>
  <c r="H3" i="1" a="1"/>
  <c r="H3" i="1" s="1"/>
  <c r="I11" i="9"/>
  <c r="C10" i="9"/>
  <c r="J14" i="8"/>
  <c r="K8" i="8" s="1"/>
  <c r="L8" i="8" s="1"/>
  <c r="C14" i="8"/>
  <c r="D6" i="8" s="1"/>
  <c r="E6" i="8" s="1"/>
  <c r="F11" i="9"/>
  <c r="H15" i="1" a="1"/>
  <c r="H15" i="1" s="1"/>
  <c r="I38" i="1" a="1"/>
  <c r="I38" i="1" s="1"/>
  <c r="K33" i="1" a="1"/>
  <c r="K33" i="1" s="1"/>
  <c r="K28" i="1" a="1"/>
  <c r="K28" i="1" s="1"/>
  <c r="K31" i="1" a="1"/>
  <c r="K31" i="1" s="1"/>
  <c r="K37" i="1" a="1"/>
  <c r="K37" i="1" s="1"/>
  <c r="K40" i="1" a="1"/>
  <c r="K40" i="1" s="1"/>
  <c r="K9" i="1" a="1"/>
  <c r="K9" i="1" s="1"/>
  <c r="K11" i="1" a="1"/>
  <c r="K11" i="1" s="1"/>
  <c r="K8" i="1" a="1"/>
  <c r="K8" i="1" s="1"/>
  <c r="K18" i="1" a="1"/>
  <c r="K18" i="1" s="1"/>
  <c r="K23" i="1" a="1"/>
  <c r="K23" i="1" s="1"/>
  <c r="K41" i="1" a="1"/>
  <c r="K41" i="1" s="1"/>
  <c r="K29" i="1" a="1"/>
  <c r="K29" i="1" s="1"/>
  <c r="K24" i="1" a="1"/>
  <c r="K24" i="1" s="1"/>
  <c r="K27" i="1" a="1"/>
  <c r="K27" i="1" s="1"/>
  <c r="K34" i="1" a="1"/>
  <c r="K34" i="1" s="1"/>
  <c r="K7" i="1" a="1"/>
  <c r="K7" i="1" s="1"/>
  <c r="K36" i="1" a="1"/>
  <c r="K36" i="1" s="1"/>
  <c r="K12" i="1" a="1"/>
  <c r="K12" i="1" s="1"/>
  <c r="K32" i="1" a="1"/>
  <c r="K32" i="1" s="1"/>
  <c r="K19" i="1" a="1"/>
  <c r="K19" i="1" s="1"/>
  <c r="K25" i="1" a="1"/>
  <c r="K25" i="1" s="1"/>
  <c r="K17" i="1" a="1"/>
  <c r="K17" i="1" s="1"/>
  <c r="K38" i="1" a="1"/>
  <c r="K38" i="1" s="1"/>
  <c r="K39" i="1" a="1"/>
  <c r="K39" i="1" s="1"/>
  <c r="K3" i="1" a="1"/>
  <c r="K3" i="1" s="1"/>
  <c r="K5" i="1" a="1"/>
  <c r="K5" i="1" s="1"/>
  <c r="K4" i="1" a="1"/>
  <c r="K4" i="1" s="1"/>
  <c r="K13" i="1" a="1"/>
  <c r="K13" i="1" s="1"/>
  <c r="K16" i="1" a="1"/>
  <c r="K16" i="1" s="1"/>
  <c r="K22" i="1" a="1"/>
  <c r="K22" i="1" s="1"/>
  <c r="K26" i="1" a="1"/>
  <c r="K26" i="1" s="1"/>
  <c r="K21" i="1" a="1"/>
  <c r="K21" i="1" s="1"/>
  <c r="K6" i="1" a="1"/>
  <c r="K6" i="1" s="1"/>
  <c r="K14" i="1" a="1"/>
  <c r="K14" i="1" s="1"/>
  <c r="K35" i="1" a="1"/>
  <c r="K35" i="1" s="1"/>
  <c r="K30" i="1" a="1"/>
  <c r="K30" i="1" s="1"/>
  <c r="K20" i="1" a="1"/>
  <c r="K20" i="1" s="1"/>
  <c r="K10" i="1" a="1"/>
  <c r="K10" i="1" s="1"/>
  <c r="J33" i="1" a="1"/>
  <c r="J33" i="1" s="1"/>
  <c r="J28" i="1" a="1"/>
  <c r="J28" i="1" s="1"/>
  <c r="J31" i="1" a="1"/>
  <c r="J31" i="1" s="1"/>
  <c r="J37" i="1" a="1"/>
  <c r="J37" i="1" s="1"/>
  <c r="J40" i="1" a="1"/>
  <c r="J40" i="1" s="1"/>
  <c r="J9" i="1" a="1"/>
  <c r="J9" i="1" s="1"/>
  <c r="J11" i="1" a="1"/>
  <c r="J11" i="1" s="1"/>
  <c r="J8" i="1" a="1"/>
  <c r="J8" i="1" s="1"/>
  <c r="J18" i="1" a="1"/>
  <c r="J18" i="1" s="1"/>
  <c r="J23" i="1" a="1"/>
  <c r="J23" i="1" s="1"/>
  <c r="J41" i="1" a="1"/>
  <c r="J41" i="1" s="1"/>
  <c r="J29" i="1" a="1"/>
  <c r="J29" i="1" s="1"/>
  <c r="J24" i="1" a="1"/>
  <c r="J24" i="1" s="1"/>
  <c r="J27" i="1" a="1"/>
  <c r="J27" i="1" s="1"/>
  <c r="J34" i="1" a="1"/>
  <c r="J34" i="1" s="1"/>
  <c r="J7" i="1" a="1"/>
  <c r="J7" i="1" s="1"/>
  <c r="J36" i="1" a="1"/>
  <c r="J36" i="1" s="1"/>
  <c r="J12" i="1" a="1"/>
  <c r="J12" i="1" s="1"/>
  <c r="J32" i="1" a="1"/>
  <c r="J32" i="1" s="1"/>
  <c r="J19" i="1" a="1"/>
  <c r="J19" i="1" s="1"/>
  <c r="J25" i="1" a="1"/>
  <c r="J25" i="1" s="1"/>
  <c r="J17" i="1" a="1"/>
  <c r="J17" i="1" s="1"/>
  <c r="J38" i="1" a="1"/>
  <c r="J38" i="1" s="1"/>
  <c r="J39" i="1" a="1"/>
  <c r="J39" i="1" s="1"/>
  <c r="J3" i="1" a="1"/>
  <c r="J3" i="1" s="1"/>
  <c r="J5" i="1" a="1"/>
  <c r="J5" i="1" s="1"/>
  <c r="J4" i="1" a="1"/>
  <c r="J4" i="1" s="1"/>
  <c r="J13" i="1" a="1"/>
  <c r="J13" i="1" s="1"/>
  <c r="J16" i="1" a="1"/>
  <c r="J16" i="1" s="1"/>
  <c r="J22" i="1" a="1"/>
  <c r="J22" i="1" s="1"/>
  <c r="J26" i="1" a="1"/>
  <c r="J26" i="1" s="1"/>
  <c r="J21" i="1" a="1"/>
  <c r="J21" i="1" s="1"/>
  <c r="J6" i="1" a="1"/>
  <c r="J6" i="1" s="1"/>
  <c r="J14" i="1" a="1"/>
  <c r="J14" i="1" s="1"/>
  <c r="J35" i="1" a="1"/>
  <c r="J35" i="1" s="1"/>
  <c r="J30" i="1" a="1"/>
  <c r="J30" i="1" s="1"/>
  <c r="J20" i="1" a="1"/>
  <c r="J20" i="1" s="1"/>
  <c r="J10" i="1" a="1"/>
  <c r="J10" i="1" s="1"/>
  <c r="I33" i="1" a="1"/>
  <c r="I33" i="1" s="1"/>
  <c r="I28" i="1" a="1"/>
  <c r="I28" i="1" s="1"/>
  <c r="I31" i="1" a="1"/>
  <c r="I31" i="1" s="1"/>
  <c r="I37" i="1" a="1"/>
  <c r="I37" i="1" s="1"/>
  <c r="I40" i="1" a="1"/>
  <c r="I40" i="1" s="1"/>
  <c r="I9" i="1" a="1"/>
  <c r="I9" i="1" s="1"/>
  <c r="I11" i="1" a="1"/>
  <c r="I11" i="1" s="1"/>
  <c r="I8" i="1" a="1"/>
  <c r="I8" i="1" s="1"/>
  <c r="I18" i="1" a="1"/>
  <c r="I18" i="1" s="1"/>
  <c r="I23" i="1" a="1"/>
  <c r="I23" i="1" s="1"/>
  <c r="I41" i="1" a="1"/>
  <c r="I41" i="1" s="1"/>
  <c r="I29" i="1" a="1"/>
  <c r="I29" i="1" s="1"/>
  <c r="I24" i="1" a="1"/>
  <c r="I24" i="1" s="1"/>
  <c r="I27" i="1" a="1"/>
  <c r="I27" i="1" s="1"/>
  <c r="I34" i="1" a="1"/>
  <c r="I34" i="1" s="1"/>
  <c r="I7" i="1" a="1"/>
  <c r="I7" i="1" s="1"/>
  <c r="I36" i="1" a="1"/>
  <c r="I36" i="1" s="1"/>
  <c r="I12" i="1" a="1"/>
  <c r="I12" i="1" s="1"/>
  <c r="I32" i="1" a="1"/>
  <c r="I32" i="1" s="1"/>
  <c r="I19" i="1" a="1"/>
  <c r="I19" i="1" s="1"/>
  <c r="I25" i="1" a="1"/>
  <c r="I25" i="1" s="1"/>
  <c r="I17" i="1" a="1"/>
  <c r="I17" i="1" s="1"/>
  <c r="I39" i="1" a="1"/>
  <c r="I39" i="1" s="1"/>
  <c r="I3" i="1" a="1"/>
  <c r="I3" i="1" s="1"/>
  <c r="I5" i="1" a="1"/>
  <c r="I5" i="1" s="1"/>
  <c r="I4" i="1" a="1"/>
  <c r="I4" i="1" s="1"/>
  <c r="I13" i="1" a="1"/>
  <c r="I13" i="1" s="1"/>
  <c r="I16" i="1" a="1"/>
  <c r="I16" i="1" s="1"/>
  <c r="I22" i="1" a="1"/>
  <c r="I22" i="1" s="1"/>
  <c r="I26" i="1" a="1"/>
  <c r="I26" i="1" s="1"/>
  <c r="I21" i="1" a="1"/>
  <c r="I21" i="1" s="1"/>
  <c r="I6" i="1" a="1"/>
  <c r="I6" i="1" s="1"/>
  <c r="I14" i="1" a="1"/>
  <c r="I14" i="1" s="1"/>
  <c r="I35" i="1" a="1"/>
  <c r="I35" i="1" s="1"/>
  <c r="I30" i="1" a="1"/>
  <c r="I30" i="1" s="1"/>
  <c r="I20" i="1" a="1"/>
  <c r="I20" i="1" s="1"/>
  <c r="I10" i="1" a="1"/>
  <c r="I10" i="1" s="1"/>
  <c r="K15" i="1" a="1"/>
  <c r="K15" i="1" s="1"/>
  <c r="J15" i="1" a="1"/>
  <c r="J15" i="1" s="1"/>
  <c r="I15" i="1" a="1"/>
  <c r="I15" i="1" s="1"/>
  <c r="H33" i="1" a="1"/>
  <c r="H33" i="1" s="1"/>
  <c r="H28" i="1" a="1"/>
  <c r="H28" i="1" s="1"/>
  <c r="H31" i="1" a="1"/>
  <c r="H31" i="1" s="1"/>
  <c r="H37" i="1" a="1"/>
  <c r="H37" i="1" s="1"/>
  <c r="H40" i="1" a="1"/>
  <c r="H40" i="1" s="1"/>
  <c r="H9" i="1" a="1"/>
  <c r="H9" i="1" s="1"/>
  <c r="H11" i="1" a="1"/>
  <c r="H11" i="1" s="1"/>
  <c r="H8" i="1" a="1"/>
  <c r="H8" i="1" s="1"/>
  <c r="H18" i="1" a="1"/>
  <c r="H18" i="1" s="1"/>
  <c r="H23" i="1" a="1"/>
  <c r="H23" i="1" s="1"/>
  <c r="H41" i="1" a="1"/>
  <c r="H41" i="1" s="1"/>
  <c r="H29" i="1" a="1"/>
  <c r="H29" i="1" s="1"/>
  <c r="H24" i="1" a="1"/>
  <c r="H24" i="1" s="1"/>
  <c r="H27" i="1" a="1"/>
  <c r="H27" i="1" s="1"/>
  <c r="H34" i="1" a="1"/>
  <c r="H34" i="1" s="1"/>
  <c r="H7" i="1" a="1"/>
  <c r="H7" i="1" s="1"/>
  <c r="H36" i="1" a="1"/>
  <c r="H36" i="1" s="1"/>
  <c r="H12" i="1" a="1"/>
  <c r="H12" i="1" s="1"/>
  <c r="H32" i="1" a="1"/>
  <c r="H32" i="1" s="1"/>
  <c r="H19" i="1" a="1"/>
  <c r="H19" i="1" s="1"/>
  <c r="H25" i="1" a="1"/>
  <c r="H25" i="1" s="1"/>
  <c r="H17" i="1" a="1"/>
  <c r="H17" i="1" s="1"/>
  <c r="H38" i="1" a="1"/>
  <c r="H38" i="1" s="1"/>
  <c r="H39" i="1" a="1"/>
  <c r="H39" i="1" s="1"/>
  <c r="H5" i="1" a="1"/>
  <c r="H5" i="1" s="1"/>
  <c r="H4" i="1" a="1"/>
  <c r="H4" i="1" s="1"/>
  <c r="H13" i="1" a="1"/>
  <c r="H13" i="1" s="1"/>
  <c r="H16" i="1" a="1"/>
  <c r="H16" i="1" s="1"/>
  <c r="H22" i="1" a="1"/>
  <c r="H22" i="1" s="1"/>
  <c r="H26" i="1" a="1"/>
  <c r="H26" i="1" s="1"/>
  <c r="H21" i="1" a="1"/>
  <c r="H21" i="1" s="1"/>
  <c r="H6" i="1" a="1"/>
  <c r="H6" i="1" s="1"/>
  <c r="H14" i="1" a="1"/>
  <c r="H14" i="1" s="1"/>
  <c r="H35" i="1" a="1"/>
  <c r="H35" i="1" s="1"/>
  <c r="H30" i="1" a="1"/>
  <c r="H30" i="1" s="1"/>
  <c r="H20" i="1" a="1"/>
  <c r="H20" i="1" s="1"/>
  <c r="H10" i="1" a="1"/>
  <c r="H10" i="1" s="1"/>
  <c r="D7" i="8" l="1"/>
  <c r="E7" i="8" s="1"/>
  <c r="D12" i="8"/>
  <c r="E12" i="8" s="1"/>
  <c r="D11" i="8"/>
  <c r="E11" i="8" s="1"/>
  <c r="D9" i="8"/>
  <c r="E9" i="8" s="1"/>
  <c r="D5" i="8"/>
  <c r="E5" i="8" s="1"/>
  <c r="D8" i="8"/>
  <c r="E8" i="8" s="1"/>
  <c r="K11" i="8"/>
  <c r="L11" i="8" s="1"/>
  <c r="K7" i="8"/>
  <c r="L7" i="8" s="1"/>
  <c r="D10" i="8"/>
  <c r="E10" i="8" s="1"/>
  <c r="K10" i="8"/>
  <c r="L10" i="8" s="1"/>
  <c r="K6" i="8"/>
  <c r="L6" i="8" s="1"/>
  <c r="K5" i="8"/>
  <c r="L5" i="8" s="1"/>
  <c r="K9" i="8"/>
  <c r="L9" i="8" s="1"/>
  <c r="K12" i="8"/>
  <c r="L12" i="8" s="1"/>
  <c r="L10" i="1"/>
  <c r="L14" i="1"/>
  <c r="L22" i="1"/>
  <c r="M6" i="1"/>
  <c r="M3" i="1"/>
  <c r="M25" i="1"/>
  <c r="L18" i="1"/>
  <c r="M33" i="1"/>
  <c r="M38" i="1"/>
  <c r="M30" i="1"/>
  <c r="M21" i="1"/>
  <c r="M13" i="1"/>
  <c r="M39" i="1"/>
  <c r="M19" i="1"/>
  <c r="M7" i="1"/>
  <c r="M29" i="1"/>
  <c r="M8" i="1"/>
  <c r="M37" i="1"/>
  <c r="L6" i="1"/>
  <c r="M10" i="1"/>
  <c r="M14" i="1"/>
  <c r="M22" i="1"/>
  <c r="M18" i="1"/>
  <c r="M35" i="1"/>
  <c r="L26" i="1"/>
  <c r="M4" i="1"/>
  <c r="M32" i="1"/>
  <c r="L34" i="1"/>
  <c r="M41" i="1"/>
  <c r="M11" i="1"/>
  <c r="M31" i="1"/>
  <c r="L38" i="1"/>
  <c r="M34" i="1"/>
  <c r="M26" i="1"/>
  <c r="L5" i="1"/>
  <c r="L17" i="1"/>
  <c r="L12" i="1"/>
  <c r="L27" i="1"/>
  <c r="L23" i="1"/>
  <c r="L9" i="1"/>
  <c r="L28" i="1"/>
  <c r="M17" i="1"/>
  <c r="M9" i="1"/>
  <c r="M5" i="1"/>
  <c r="L15" i="1"/>
  <c r="L20" i="1"/>
  <c r="L16" i="1"/>
  <c r="L25" i="1"/>
  <c r="L36" i="1"/>
  <c r="L24" i="1"/>
  <c r="L40" i="1"/>
  <c r="L33" i="1"/>
  <c r="M40" i="1"/>
  <c r="M36" i="1"/>
  <c r="M28" i="1"/>
  <c r="M24" i="1"/>
  <c r="M20" i="1"/>
  <c r="M16" i="1"/>
  <c r="M12" i="1"/>
  <c r="M27" i="1"/>
  <c r="M23" i="1"/>
  <c r="M15" i="1"/>
  <c r="L30" i="1"/>
  <c r="L41" i="1"/>
  <c r="L37" i="1"/>
  <c r="L29" i="1"/>
  <c r="L21" i="1"/>
  <c r="L13" i="1"/>
  <c r="N13" i="1" s="1"/>
  <c r="L32" i="1"/>
  <c r="L8" i="1"/>
  <c r="L4" i="1"/>
  <c r="L39" i="1"/>
  <c r="L35" i="1"/>
  <c r="L31" i="1"/>
  <c r="L19" i="1"/>
  <c r="L11" i="1"/>
  <c r="L7" i="1"/>
  <c r="L3" i="1"/>
  <c r="N26" i="1"/>
  <c r="L16" i="8" l="1"/>
  <c r="E16" i="8"/>
  <c r="E15" i="8"/>
  <c r="L15" i="8"/>
  <c r="N4" i="1"/>
  <c r="O29" i="1"/>
  <c r="O26" i="1"/>
  <c r="O30" i="1"/>
  <c r="O28" i="1"/>
  <c r="O6" i="1"/>
  <c r="O18" i="1"/>
  <c r="O33" i="1"/>
  <c r="O9" i="1"/>
  <c r="O4" i="1"/>
  <c r="O12" i="1"/>
  <c r="O35" i="1"/>
  <c r="O10" i="1"/>
  <c r="O41" i="1"/>
  <c r="O19" i="1"/>
  <c r="O36" i="1"/>
  <c r="O31" i="1"/>
  <c r="O32" i="1"/>
  <c r="O40" i="1"/>
  <c r="O23" i="1"/>
  <c r="O5" i="1"/>
  <c r="O15" i="1"/>
  <c r="O24" i="1"/>
  <c r="O34" i="1"/>
  <c r="O37" i="1"/>
  <c r="O39" i="1"/>
  <c r="O16" i="1"/>
  <c r="O11" i="1"/>
  <c r="O14" i="1"/>
  <c r="O17" i="1"/>
  <c r="O7" i="1"/>
  <c r="O3" i="1"/>
  <c r="O27" i="1"/>
  <c r="O22" i="1"/>
  <c r="O13" i="1"/>
  <c r="O25" i="1"/>
  <c r="O38" i="1"/>
  <c r="O8" i="1"/>
  <c r="O21" i="1"/>
  <c r="O20" i="1"/>
  <c r="N8" i="1"/>
  <c r="N24" i="1"/>
  <c r="N25" i="1"/>
  <c r="N15" i="1"/>
  <c r="N16" i="1"/>
  <c r="N18" i="1"/>
  <c r="N11" i="1"/>
  <c r="N30" i="1"/>
  <c r="N9" i="1"/>
  <c r="N17" i="1"/>
  <c r="N10" i="1"/>
  <c r="N38" i="1"/>
  <c r="N33" i="1"/>
  <c r="N40" i="1"/>
  <c r="N23" i="1"/>
  <c r="N5" i="1"/>
  <c r="N19" i="1"/>
  <c r="N3" i="1"/>
  <c r="N29" i="1"/>
  <c r="N27" i="1"/>
  <c r="N22" i="1"/>
  <c r="N41" i="1"/>
  <c r="N39" i="1"/>
  <c r="N6" i="1"/>
  <c r="N31" i="1"/>
  <c r="N32" i="1"/>
  <c r="N35" i="1"/>
  <c r="N7" i="1"/>
  <c r="N21" i="1"/>
  <c r="N28" i="1"/>
  <c r="N12" i="1"/>
  <c r="N14" i="1"/>
  <c r="N34" i="1"/>
  <c r="N37" i="1"/>
  <c r="N36" i="1"/>
  <c r="N20" i="1"/>
  <c r="L17" i="8" l="1"/>
  <c r="L18" i="8" s="1"/>
  <c r="E17" i="8"/>
  <c r="E18" i="8" s="1"/>
  <c r="C4" i="11"/>
  <c r="G4" i="11"/>
  <c r="C10" i="6"/>
  <c r="C4" i="6"/>
  <c r="C8" i="6" s="1"/>
  <c r="E5" i="6"/>
  <c r="F5" i="6" s="1"/>
  <c r="E4" i="6" l="1"/>
  <c r="F4" i="6" s="1"/>
  <c r="C6" i="6"/>
  <c r="C7" i="6" s="1"/>
  <c r="E8" i="6"/>
  <c r="F8" i="6" s="1"/>
  <c r="E7" i="6" l="1"/>
  <c r="F7" i="6" s="1"/>
  <c r="E6" i="6"/>
  <c r="F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<sst xmlns="http://schemas.openxmlformats.org/spreadsheetml/2006/main" count="333" uniqueCount="172">
  <si>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</si>
  <si>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</si>
  <si>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</si>
  <si>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</si>
  <si>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</si>
  <si>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</si>
  <si>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</si>
  <si>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</si>
  <si>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</si>
  <si>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</si>
  <si>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</si>
  <si>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</si>
  <si>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</si>
  <si>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</si>
  <si>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</si>
  <si>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</si>
  <si>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</si>
  <si>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</si>
  <si>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</si>
  <si>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</si>
  <si>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</si>
  <si>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</si>
  <si>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</si>
  <si>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</si>
  <si>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</si>
  <si>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</si>
  <si>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</si>
  <si>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</si>
  <si>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</si>
  <si>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</si>
  <si>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</si>
  <si>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</si>
  <si>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</si>
  <si>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</si>
  <si>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</si>
  <si>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name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</si>
  <si>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</si>
  <si>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</si>
  <si>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</si>
  <si>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</si>
  <si>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</si>
  <si>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</si>
  <si>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</si>
  <si>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</si>
  <si>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</si>
  <si>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</si>
  <si>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</si>
  <si>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</si>
  <si>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</si>
  <si>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</si>
  <si>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</si>
  <si>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</si>
  <si>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</si>
  <si>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</si>
  <si>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</si>
  <si>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</si>
  <si>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</si>
  <si>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</si>
  <si>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</si>
  <si>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</si>
  <si>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</si>
  <si>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</si>
  <si>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</si>
  <si>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</si>
  <si>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</si>
  <si>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</si>
  <si>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</si>
  <si>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</si>
  <si>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</si>
  <si>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</si>
  <si>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</si>
  <si>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</si>
  <si>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</si>
  <si>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</si>
  <si>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</si>
  <si>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</si>
  <si>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</si>
  <si>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</si>
  <si>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</si>
  <si>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</si>
  <si>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</si>
  <si>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</si>
  <si>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</si>
  <si>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</si>
  <si>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</si>
  <si>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</si>
  <si>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</si>
  <si>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</si>
  <si>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revenue(mln)</t>
  </si>
  <si>
    <t>budget(mln)</t>
  </si>
  <si>
    <t>budget USD(mln)</t>
  </si>
  <si>
    <t>revenue USD(mln)</t>
  </si>
  <si>
    <t>Total Budget USD(mln)</t>
  </si>
  <si>
    <t>Total Revenue USD(mln)</t>
  </si>
  <si>
    <t>Total movies</t>
  </si>
  <si>
    <t>Total bollywood movies</t>
  </si>
  <si>
    <t>Total %bollywood movies</t>
  </si>
  <si>
    <t>Total hollywood movies</t>
  </si>
  <si>
    <t>Total %holywood movies</t>
  </si>
  <si>
    <t>Key Matrics</t>
  </si>
  <si>
    <t>Revenue</t>
  </si>
  <si>
    <t>Profit/Loss</t>
  </si>
  <si>
    <t>Profit/Loss %</t>
  </si>
  <si>
    <t>Maevel Consolidated P &amp; L</t>
  </si>
  <si>
    <t>Budget/Expenses</t>
  </si>
  <si>
    <t>Target</t>
  </si>
  <si>
    <t>Actual - Target (Achievement after setting target)</t>
  </si>
  <si>
    <t>Mean</t>
  </si>
  <si>
    <t>Median</t>
  </si>
  <si>
    <t>Mode</t>
  </si>
  <si>
    <t>Name</t>
  </si>
  <si>
    <t>yearly income</t>
  </si>
  <si>
    <t>income - mean</t>
  </si>
  <si>
    <t>Ali</t>
  </si>
  <si>
    <t>Usman</t>
  </si>
  <si>
    <t>Muneeb</t>
  </si>
  <si>
    <t>Rabis</t>
  </si>
  <si>
    <t>Sonia</t>
  </si>
  <si>
    <t>Murtaza</t>
  </si>
  <si>
    <t>Kabeer</t>
  </si>
  <si>
    <t>Fiaz</t>
  </si>
  <si>
    <t>In Sqr</t>
  </si>
  <si>
    <t>Total</t>
  </si>
  <si>
    <t>Count</t>
  </si>
  <si>
    <t>Variance</t>
  </si>
  <si>
    <t>in sqr</t>
  </si>
  <si>
    <t>Std Deviation</t>
  </si>
  <si>
    <t>Square ft</t>
  </si>
  <si>
    <t>Correlation</t>
  </si>
  <si>
    <t>Height cm()</t>
  </si>
  <si>
    <t>Blood Sugar (mg/dl)</t>
  </si>
  <si>
    <t>Correlaton</t>
  </si>
  <si>
    <t>not good</t>
  </si>
  <si>
    <t>Market Share %</t>
  </si>
  <si>
    <t>Total Hollywood Revenue</t>
  </si>
  <si>
    <t>Target / Actual (%)</t>
  </si>
  <si>
    <t>Human Height and Blood Shugar</t>
  </si>
  <si>
    <t>Commute Time (minutes)</t>
  </si>
  <si>
    <t>Happuness Index (1 to 10)</t>
  </si>
  <si>
    <t>Employee Happiness Correlation</t>
  </si>
  <si>
    <t>Business Math &amp; Statistics for Data Analysis</t>
  </si>
  <si>
    <t>Total, Average, % Revenue</t>
  </si>
  <si>
    <t>Profit &amp; Loss</t>
  </si>
  <si>
    <t>Market Share</t>
  </si>
  <si>
    <t>Mean, Median, Mod</t>
  </si>
  <si>
    <t>Variance and Standard Deviation</t>
  </si>
  <si>
    <t>Quick Analysis</t>
  </si>
  <si>
    <t>Topics</t>
  </si>
  <si>
    <t>MOVIES DATA SET</t>
  </si>
  <si>
    <t>Profit/Loss (mln) USD</t>
  </si>
  <si>
    <t>Analysis (Bollywood)</t>
  </si>
  <si>
    <t>Analysis (Hollywood)</t>
  </si>
  <si>
    <t>Marvel Financial Analysis</t>
  </si>
  <si>
    <t>Total bollywood budget USD (mln)</t>
  </si>
  <si>
    <t>Total bollywood revenue USD (mln)</t>
  </si>
  <si>
    <t>Profit/Loss USD (mln)</t>
  </si>
  <si>
    <t>Profit/Loss % USD (mln)</t>
  </si>
  <si>
    <t>Avg bollywood revenue USD (mln)</t>
  </si>
  <si>
    <t>% bollywood revenue USD (mln)</t>
  </si>
  <si>
    <t>Total hollywood budget USD (mln)</t>
  </si>
  <si>
    <t>Total hollywood revenue USD (mln)</t>
  </si>
  <si>
    <t>Avg hollywood revenue USD (mln)</t>
  </si>
  <si>
    <t>% hollywood revenue USD (mln)</t>
  </si>
  <si>
    <t>Mean - Median - Mode</t>
  </si>
  <si>
    <t>imdb-rating</t>
  </si>
  <si>
    <t>Variance &amp; Std Deviation</t>
  </si>
  <si>
    <t>Multan Income Levels (In thousands $ )</t>
  </si>
  <si>
    <t>Islamabad  Income Levels (In thousands $ )</t>
  </si>
  <si>
    <t>Movies imdb-rating</t>
  </si>
  <si>
    <t>Property Prices in Pakistan, Islamabad</t>
  </si>
  <si>
    <t>Price (Rupees Cr)</t>
  </si>
  <si>
    <t>imdb_rating &amp;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</si>
</sst>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6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44" fontId="0" fillId="0" borderId="0" xfId="1" applyFont="1"/>
    <xf numFmtId="9" fontId="0" fillId="0" borderId="0" xfId="2" applyFont="1"/>
    <xf numFmtId="2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3" fillId="5" borderId="0" xfId="0" applyFont="1" applyFill="1"/>
    <xf numFmtId="0" fontId="3" fillId="5" borderId="0" xfId="2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1" fontId="3" fillId="5" borderId="0" xfId="2" applyNumberFormat="1" applyFont="1" applyFill="1"/>
    <xf numFmtId="0" fontId="3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1" applyNumberFormat="1" applyFont="1"/>
    <xf numFmtId="0" fontId="11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4" fontId="4" fillId="0" borderId="0" xfId="1" applyFont="1" applyAlignment="1">
      <alignment horizontal="center" vertical="center"/>
    </xf>
    <xf numFmtId="44" fontId="0" fillId="0" borderId="0" xfId="0" applyNumberFormat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14" fillId="0" borderId="1" xfId="0" applyFont="1" applyBorder="1"/>
    <xf numFmtId="0" fontId="14" fillId="0" borderId="0" xfId="0" applyFont="1"/>
    <xf numFmtId="9" fontId="14" fillId="0" borderId="1" xfId="2" applyFont="1" applyBorder="1"/>
    <xf numFmtId="44" fontId="14" fillId="0" borderId="1" xfId="1" applyFont="1" applyBorder="1"/>
    <xf numFmtId="44" fontId="14" fillId="0" borderId="1" xfId="0" applyNumberFormat="1" applyFont="1" applyBorder="1"/>
    <xf numFmtId="0" fontId="10" fillId="6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4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center" vertical="center"/>
    </xf>
    <xf numFmtId="0" fontId="3" fillId="8" borderId="0" xfId="0" applyFont="1" applyFill="1"/>
    <xf numFmtId="0" fontId="10" fillId="11" borderId="0" xfId="0" applyFont="1" applyFill="1"/>
    <xf numFmtId="0" fontId="15" fillId="8" borderId="0" xfId="0" applyFont="1" applyFill="1" applyAlignment="1">
      <alignment horizontal="center" vertical="center"/>
    </xf>
    <xf numFmtId="0" fontId="15" fillId="10" borderId="0" xfId="0" applyFont="1" applyFill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6" fillId="0" borderId="1" xfId="3" applyFont="1" applyBorder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Price ( Rupees Cr 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Correlation!$C$3</c:f>
              <c:strCache>
                <c:ptCount val="1"/>
                <c:pt idx="0">
                  <c:v>Price (Rupees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Correlation!$B$4:$B$8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Correlation!$C$4:$C$8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1-4BFA-BE43-F57A02EBC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072064"/>
        <c:axId val="1790076384"/>
      </c:scatterChart>
      <c:valAx>
        <c:axId val="179007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6384"/>
        <c:crosses val="autoZero"/>
        <c:crossBetween val="midCat"/>
      </c:valAx>
      <c:valAx>
        <c:axId val="17900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07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Correlation!$F$3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Correlation!$E$4:$E$10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Correlation!$F$4:$F$10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9-4EF0-ADA9-8D6181245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054416"/>
        <c:axId val="1802051056"/>
      </c:scatterChart>
      <c:valAx>
        <c:axId val="180205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51056"/>
        <c:crosses val="autoZero"/>
        <c:crossBetween val="midCat"/>
      </c:valAx>
      <c:valAx>
        <c:axId val="1802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05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Employee Happiness Index</a:t>
            </a:r>
          </a:p>
          <a:p>
            <a:pPr algn="ctr" rtl="0">
              <a:defRPr lang="en-US"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(1 to 10)</a:t>
            </a:r>
          </a:p>
        </c:rich>
      </c:tx>
      <c:layout>
        <c:manualLayout>
          <c:xMode val="edge"/>
          <c:yMode val="edge"/>
          <c:x val="0.1928960920701239"/>
          <c:y val="3.8004741116391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Correlation!$H$4:$H$9</c:f>
              <c:numCache>
                <c:formatCode>General</c:formatCode>
                <c:ptCount val="6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</c:numCache>
            </c:numRef>
          </c:xVal>
          <c:yVal>
            <c:numRef>
              <c:f>Correlation!$I$4:$I$9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A-49FF-8D3E-F8320AA60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17488"/>
        <c:axId val="503518448"/>
      </c:scatterChart>
      <c:valAx>
        <c:axId val="50351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18448"/>
        <c:crosses val="autoZero"/>
        <c:crossBetween val="midCat"/>
      </c:valAx>
      <c:valAx>
        <c:axId val="5035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1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10</xdr:row>
      <xdr:rowOff>38100</xdr:rowOff>
    </xdr:from>
    <xdr:to>
      <xdr:col>3</xdr:col>
      <xdr:colOff>19051</xdr:colOff>
      <xdr:row>21</xdr:row>
      <xdr:rowOff>90486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B72375-ACE5-C5BB-271E-6D7DC8D59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333376</xdr:colOff>
      <xdr:row>11</xdr:row>
      <xdr:rowOff>57150</xdr:rowOff>
    </xdr:from>
    <xdr:to>
      <xdr:col>6</xdr:col>
      <xdr:colOff>66675</xdr:colOff>
      <xdr:row>21</xdr:row>
      <xdr:rowOff>66676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8FCF36-0DA3-89EC-F2A9-25347BE9E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</xdr:colOff>
      <xdr:row>11</xdr:row>
      <xdr:rowOff>42862</xdr:rowOff>
    </xdr:from>
    <xdr:to>
      <xdr:col>9</xdr:col>
      <xdr:colOff>85725</xdr:colOff>
      <xdr:row>21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23ED43-EAF1-9521-B863-1FEF1BFD3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0.24424</cdr:x>
      <cdr:y>0.26553</cdr:y>
    </cdr:from>
    <cdr:to>
      <cdr:x>0.79954</cdr:x>
      <cdr:y>0.77944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554F0A0-DE67-6A5C-0F6D-37A8A1BC7F78}"/>
            </a:ext>
          </a:extLst>
        </cdr:cNvPr>
        <cdr:cNvCxnSpPr/>
      </cdr:nvCxnSpPr>
      <cdr:spPr>
        <a:xfrm xmlns:a="http://schemas.openxmlformats.org/drawingml/2006/main" flipV="1">
          <a:off x="1009650" y="590551"/>
          <a:ext cx="2295525" cy="1143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0.52506</cdr:x>
      <cdr:y>0.30068</cdr:y>
    </cdr:from>
    <cdr:to>
      <cdr:x>0.91885</cdr:x>
      <cdr:y>0.72893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87DD4C9-B8BC-7A58-E75E-239F05A61189}"/>
            </a:ext>
          </a:extLst>
        </cdr:cNvPr>
        <cdr:cNvCxnSpPr/>
      </cdr:nvCxnSpPr>
      <cdr:spPr>
        <a:xfrm xmlns:a="http://schemas.openxmlformats.org/drawingml/2006/main" flipV="1">
          <a:off x="2095500" y="628651"/>
          <a:ext cx="1571625" cy="895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0.09913</cdr:x>
      <cdr:y>0.41568</cdr:y>
    </cdr:from>
    <cdr:to>
      <cdr:x>0.81667</cdr:x>
      <cdr:y>0.7691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BD4404A-B941-52C2-BF3E-A70EC1AFAA00}"/>
            </a:ext>
          </a:extLst>
        </cdr:cNvPr>
        <cdr:cNvCxnSpPr/>
      </cdr:nvCxnSpPr>
      <cdr:spPr>
        <a:xfrm xmlns:a="http://schemas.openxmlformats.org/drawingml/2006/main">
          <a:off x="323850" y="833438"/>
          <a:ext cx="2344261" cy="70861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2:O42" totalsRowCount="1" headerRowDxfId="15">
  <autoFilter ref="A2:O41" xr:uid="{6A7FE39D-5614-4A7F-89B7-C167ABC0A251}"/>
  <sortState xmlns:xlrd2="http://schemas.microsoft.com/office/spreadsheetml/2017/richdata2" ref="A3:O41">
    <sortCondition ref="N2:N41"/>
  </sortState>
  <tableColumns count="15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4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13ED0EE6-CCC2-4E55-8CAA-3E5CBDB71CD7}" name="budget(mln)" dataDxfId="11">
      <calculatedColumnFormula>IF(Movies[[#This Row],[unit]]="Billions",Movies[[#This Row],[budget]]*1000,Movies[[#This Row],[budget]])</calculatedColumnFormula>
    </tableColumn>
    <tableColumn id="9" xr3:uid="{A1003C8E-734D-4573-8C3D-CB39FA4171A6}" name="revenue(mln)" dataDxfId="10">
      <calculatedColumnFormula>IF(Movies[[#This Row],[unit]]="Billions",Movies[[#This Row],[revenue]]*1000,Movies[[#This Row],[revenue]])</calculatedColumnFormula>
    </tableColumn>
    <tableColumn id="12" xr3:uid="{5BA89D20-DBBE-4F12-99DA-4E5C0E942956}" name="budget USD(mln)" dataDxfId="9">
      <calculatedColumnFormula>IF(Movies[[#This Row],[currency]]="INR",Movies[[#This Row],[budget(mln)]]/80,Movies[[#This Row],[budget(mln)]])</calculatedColumnFormula>
    </tableColumn>
    <tableColumn id="13" xr3:uid="{107C50BF-CE1E-4F94-AAE9-016CD8F5EE7E}" name="revenue USD(mln)" dataDxfId="8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F0D-4F5E-455E-B8A8-2174C7C9B194}">
  <dimension ref="A1:F17"/>
  <sheetViews>
    <sheetView showGridLines="0" workbookViewId="0">
      <selection activeCell="J18" sqref="J18"/>
    </sheetView>
  </sheetViews>
  <sheetFormatPr defaultRowHeight="15" x14ac:dyDescent="0.25"/>
  <cols>
    <col min="2" max="2" width="18.140625" customWidth="1"/>
    <col min="3" max="3" width="49.140625" bestFit="1" customWidth="1"/>
    <col min="4" max="4" width="13.7109375" customWidth="1"/>
    <col min="6" max="6" width="18.85546875" customWidth="1"/>
  </cols>
  <sheetData>
    <row r="1" spans="1:6" x14ac:dyDescent="0.25">
      <c r="A1" s="48" t="s">
        <v>140</v>
      </c>
      <c r="B1" s="48"/>
      <c r="C1" s="48"/>
      <c r="D1" s="48"/>
      <c r="E1" s="48"/>
      <c r="F1" s="48"/>
    </row>
    <row r="2" spans="1:6" x14ac:dyDescent="0.25">
      <c r="A2" s="48"/>
      <c r="B2" s="48"/>
      <c r="C2" s="48"/>
      <c r="D2" s="48"/>
      <c r="E2" s="48"/>
      <c r="F2" s="48"/>
    </row>
    <row r="3" spans="1:6" x14ac:dyDescent="0.25">
      <c r="A3" s="48"/>
      <c r="B3" s="48"/>
      <c r="C3" s="48"/>
      <c r="D3" s="48"/>
      <c r="E3" s="48"/>
      <c r="F3" s="48"/>
    </row>
    <row r="6" spans="1:6" ht="23.25" x14ac:dyDescent="0.25">
      <c r="C6" s="49" t="s">
        <v>147</v>
      </c>
    </row>
    <row r="7" spans="1:6" s="46" customFormat="1" ht="21" customHeight="1" x14ac:dyDescent="0.25">
      <c r="A7" s="45"/>
      <c r="C7" s="47" t="s">
        <v>141</v>
      </c>
    </row>
    <row r="8" spans="1:6" s="46" customFormat="1" ht="21" customHeight="1" x14ac:dyDescent="0.25">
      <c r="A8" s="45"/>
      <c r="C8" s="47" t="s">
        <v>142</v>
      </c>
    </row>
    <row r="9" spans="1:6" s="46" customFormat="1" ht="21" customHeight="1" x14ac:dyDescent="0.25">
      <c r="A9" s="45"/>
      <c r="C9" s="47" t="s">
        <v>143</v>
      </c>
    </row>
    <row r="10" spans="1:6" s="46" customFormat="1" ht="21" customHeight="1" x14ac:dyDescent="0.25">
      <c r="A10" s="45"/>
      <c r="C10" s="47" t="s">
        <v>144</v>
      </c>
    </row>
    <row r="11" spans="1:6" s="46" customFormat="1" ht="21" customHeight="1" x14ac:dyDescent="0.25">
      <c r="A11" s="45"/>
      <c r="C11" s="47" t="s">
        <v>145</v>
      </c>
    </row>
    <row r="12" spans="1:6" s="46" customFormat="1" ht="21" customHeight="1" x14ac:dyDescent="0.25">
      <c r="A12" s="45"/>
      <c r="C12" s="47" t="s">
        <v>128</v>
      </c>
    </row>
    <row r="13" spans="1:6" x14ac:dyDescent="0.25">
      <c r="A13" s="17"/>
    </row>
    <row r="14" spans="1:6" x14ac:dyDescent="0.25">
      <c r="A14" s="17"/>
    </row>
    <row r="15" spans="1:6" x14ac:dyDescent="0.25">
      <c r="A15" s="17"/>
    </row>
    <row r="16" spans="1:6" x14ac:dyDescent="0.25">
      <c r="A16" s="17"/>
    </row>
    <row r="17" spans="1:1" x14ac:dyDescent="0.25">
      <c r="A17" s="17"/>
    </row>
  </sheetData>
  <mergeCells count="1">
    <mergeCell ref="A1:F3"/>
  </mergeCells>
  <hyperlinks>
    <hyperlink ref="C7" location="'Total, Average, % Revenue'!A1" display="Total, Average, % Revenue" xr:uid="{E04B251A-2D81-4FC4-ADA6-08C2B1B56246}"/>
    <hyperlink ref="C8" location="'Marvel Financial'!A1" display="Profit &amp; Loss" xr:uid="{30E3F9FA-2C16-414C-9094-319AC66872A8}"/>
    <hyperlink ref="C9" location="'Marvel Financial'!A1" display="Market Share" xr:uid="{546E0302-B7A8-4EAF-8124-1B2F98D3FD50}"/>
    <hyperlink ref="C10" location="'Mean, Median, Mode'!A1" display="Mean, Median, Mod" xr:uid="{716D7029-115C-4219-B2DB-06DE67C3214F}"/>
    <hyperlink ref="C11" location="'Variance &amp; Std Deviation'!A1" display="Variance and Standard Deviation" xr:uid="{3D5B667B-3B0A-4283-B4F8-86E7E47352AD}"/>
    <hyperlink ref="C12" location="Correlation!A1" display="Correlation" xr:uid="{19FD114D-34E9-4D2D-A76E-D795F3D28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Normal="100" workbookViewId="0">
      <selection activeCell="E2" sqref="E2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8.7109375" customWidth="1"/>
    <col min="5" max="5" width="13.140625" customWidth="1"/>
    <col min="6" max="6" width="22" customWidth="1"/>
    <col min="7" max="7" width="6.28515625" customWidth="1"/>
    <col min="8" max="9" width="16.7109375" customWidth="1"/>
    <col min="10" max="10" width="13.140625" customWidth="1"/>
    <col min="11" max="11" width="13.28515625" customWidth="1"/>
    <col min="12" max="12" width="15.28515625" customWidth="1"/>
    <col min="13" max="13" width="33.140625" customWidth="1"/>
    <col min="14" max="14" width="19.7109375" customWidth="1"/>
    <col min="15" max="15" width="20" customWidth="1"/>
    <col min="16" max="16" width="23.28515625" customWidth="1"/>
    <col min="17" max="17" width="20.28515625" customWidth="1"/>
  </cols>
  <sheetData>
    <row r="1" spans="1:15" ht="39.75" customHeight="1" x14ac:dyDescent="0.25">
      <c r="A1" s="34" t="s">
        <v>148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x14ac:dyDescent="0.25">
      <c r="A2" s="1" t="s">
        <v>0</v>
      </c>
      <c r="B2" s="1" t="s">
        <v>87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27</v>
      </c>
      <c r="I2" s="1" t="s">
        <v>28</v>
      </c>
      <c r="J2" s="1" t="s">
        <v>29</v>
      </c>
      <c r="K2" s="1" t="s">
        <v>30</v>
      </c>
      <c r="L2" s="7" t="s">
        <v>89</v>
      </c>
      <c r="M2" s="7" t="s">
        <v>88</v>
      </c>
      <c r="N2" s="7" t="s">
        <v>90</v>
      </c>
      <c r="O2" s="7" t="s">
        <v>91</v>
      </c>
    </row>
    <row r="3" spans="1:15" x14ac:dyDescent="0.25">
      <c r="A3">
        <v>127</v>
      </c>
      <c r="B3" t="s">
        <v>73</v>
      </c>
      <c r="C3" t="s">
        <v>6</v>
      </c>
      <c r="D3">
        <v>1955</v>
      </c>
      <c r="E3">
        <v>8.3000000000000007</v>
      </c>
      <c r="F3" t="s">
        <v>47</v>
      </c>
      <c r="G3">
        <v>7</v>
      </c>
      <c r="H3" cm="1">
        <f t="array" ref="H3">_xlfn.XLOOKUP(Movies[[#This Row],[movie_id]:[movie_id]],Financials[[#All],[movie_id]:[movie_id]],Financials[[#All],[budget]],"Not Available",0)</f>
        <v>70</v>
      </c>
      <c r="I3" cm="1">
        <f t="array" ref="I3">_xlfn.XLOOKUP(Movies[[#This Row],[movie_id]:[movie_id]],Financials[[#All],[movie_id]:[movie_id]],Financials[[#All],[revenue]],"Not Available",0)</f>
        <v>100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INR</v>
      </c>
      <c r="L3">
        <f>IF(Movies[[#This Row],[unit]]="Billions",Movies[[#This Row],[budget]]*1000,Movies[[#This Row],[budget]])</f>
        <v>70</v>
      </c>
      <c r="M3">
        <f>IF(Movies[[#This Row],[unit]]="Billions",Movies[[#This Row],[revenue]]*1000,Movies[[#This Row],[revenue]])</f>
        <v>100</v>
      </c>
      <c r="N3">
        <f>IF(Movies[[#This Row],[currency]]="INR",Movies[[#This Row],[budget(mln)]]/80,Movies[[#This Row],[budget(mln)]])</f>
        <v>0.875</v>
      </c>
      <c r="O3">
        <f>IF(Movies[[#This Row],[currency]]="INR",Movies[[#This Row],[revenue(mln)]]/80,Movies[[#This Row],[revenue(mln)]])</f>
        <v>1.25</v>
      </c>
    </row>
    <row r="4" spans="1:15" x14ac:dyDescent="0.25">
      <c r="A4">
        <v>129</v>
      </c>
      <c r="B4" t="s">
        <v>75</v>
      </c>
      <c r="C4" t="s">
        <v>6</v>
      </c>
      <c r="D4">
        <v>2003</v>
      </c>
      <c r="E4">
        <v>8.1</v>
      </c>
      <c r="F4" t="s">
        <v>21</v>
      </c>
      <c r="G4">
        <v>1</v>
      </c>
      <c r="H4" cm="1">
        <f t="array" ref="H4">_xlfn.XLOOKUP(Movies[[#This Row],[movie_id]:[movie_id]],Financials[[#All],[movie_id]:[movie_id]],Financials[[#All],[budget]],"Not Available",0)</f>
        <v>100</v>
      </c>
      <c r="I4" cm="1">
        <f t="array" ref="I4">_xlfn.XLOOKUP(Movies[[#This Row],[movie_id]:[movie_id]],Financials[[#All],[movie_id]:[movie_id]],Financials[[#All],[revenue]],"Not Available",0)</f>
        <v>410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INR</v>
      </c>
      <c r="L4">
        <f>IF(Movies[[#This Row],[unit]]="Billions",Movies[[#This Row],[budget]]*1000,Movies[[#This Row],[budget]])</f>
        <v>100</v>
      </c>
      <c r="M4">
        <f>IF(Movies[[#This Row],[unit]]="Billions",Movies[[#This Row],[revenue]]*1000,Movies[[#This Row],[revenue]])</f>
        <v>410</v>
      </c>
      <c r="N4">
        <f>IF(Movies[[#This Row],[currency]]="INR",Movies[[#This Row],[budget(mln)]]/80,Movies[[#This Row],[budget(mln)]])</f>
        <v>1.25</v>
      </c>
      <c r="O4">
        <f>IF(Movies[[#This Row],[currency]]="INR",Movies[[#This Row],[revenue(mln)]]/80,Movies[[#This Row],[revenue(mln)]])</f>
        <v>5.125</v>
      </c>
    </row>
    <row r="5" spans="1:15" x14ac:dyDescent="0.25">
      <c r="A5">
        <v>128</v>
      </c>
      <c r="B5" t="s">
        <v>74</v>
      </c>
      <c r="C5" t="s">
        <v>6</v>
      </c>
      <c r="D5">
        <v>2007</v>
      </c>
      <c r="E5">
        <v>8.3000000000000007</v>
      </c>
      <c r="F5" t="s">
        <v>45</v>
      </c>
      <c r="G5">
        <v>1</v>
      </c>
      <c r="H5" cm="1">
        <f t="array" ref="H5">_xlfn.XLOOKUP(Movies[[#This Row],[movie_id]:[movie_id]],Financials[[#All],[movie_id]:[movie_id]],Financials[[#All],[budget]],"Not Available",0)</f>
        <v>120</v>
      </c>
      <c r="I5" cm="1">
        <f t="array" ref="I5">_xlfn.XLOOKUP(Movies[[#This Row],[movie_id]:[movie_id]],Financials[[#All],[movie_id]:[movie_id]],Financials[[#All],[revenue]],"Not Available",0)</f>
        <v>1350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INR</v>
      </c>
      <c r="L5">
        <f>IF(Movies[[#This Row],[unit]]="Billions",Movies[[#This Row],[budget]]*1000,Movies[[#This Row],[budget]])</f>
        <v>120</v>
      </c>
      <c r="M5">
        <f>IF(Movies[[#This Row],[unit]]="Billions",Movies[[#This Row],[revenue]]*1000,Movies[[#This Row],[revenue]])</f>
        <v>1350</v>
      </c>
      <c r="N5">
        <f>IF(Movies[[#This Row],[currency]]="INR",Movies[[#This Row],[budget(mln)]]/80,Movies[[#This Row],[budget(mln)]])</f>
        <v>1.5</v>
      </c>
      <c r="O5">
        <f>IF(Movies[[#This Row],[currency]]="INR",Movies[[#This Row],[revenue(mln)]]/80,Movies[[#This Row],[revenue(mln)]])</f>
        <v>16.875</v>
      </c>
    </row>
    <row r="6" spans="1:15" x14ac:dyDescent="0.25">
      <c r="A6">
        <v>135</v>
      </c>
      <c r="B6" t="s">
        <v>81</v>
      </c>
      <c r="C6" t="s">
        <v>6</v>
      </c>
      <c r="D6">
        <v>2022</v>
      </c>
      <c r="E6">
        <v>8.3000000000000007</v>
      </c>
      <c r="F6" t="s">
        <v>25</v>
      </c>
      <c r="G6">
        <v>1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3409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INR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3409</v>
      </c>
      <c r="N6">
        <f>IF(Movies[[#This Row],[currency]]="INR",Movies[[#This Row],[budget(mln)]]/80,Movies[[#This Row],[budget(mln)]])</f>
        <v>3.125</v>
      </c>
      <c r="O6">
        <f>IF(Movies[[#This Row],[currency]]="INR",Movies[[#This Row],[revenue(mln)]]/80,Movies[[#This Row],[revenue(mln)]])</f>
        <v>42.612499999999997</v>
      </c>
    </row>
    <row r="7" spans="1:15" x14ac:dyDescent="0.25">
      <c r="A7">
        <v>118</v>
      </c>
      <c r="B7" t="s">
        <v>64</v>
      </c>
      <c r="C7" t="s">
        <v>7</v>
      </c>
      <c r="D7">
        <v>1946</v>
      </c>
      <c r="E7">
        <v>8.6</v>
      </c>
      <c r="F7" t="s">
        <v>17</v>
      </c>
      <c r="G7">
        <v>5</v>
      </c>
      <c r="H7" cm="1">
        <f t="array" ref="H7">_xlfn.XLOOKUP(Movies[[#This Row],[movie_id]:[movie_id]],Financials[[#All],[movie_id]:[movie_id]],Financials[[#All],[budget]],"Not Available",0)</f>
        <v>3.18</v>
      </c>
      <c r="I7" cm="1">
        <f t="array" ref="I7">_xlfn.XLOOKUP(Movies[[#This Row],[movie_id]:[movie_id]],Financials[[#All],[movie_id]:[movie_id]],Financials[[#All],[revenue]],"Not Available",0)</f>
        <v>3.3</v>
      </c>
      <c r="J7" t="str" cm="1">
        <f t="array" ref="J7">_xlfn.XLOOKUP(Movies[[#This Row],[movie_id]:[movie_id]],Financials[[#All],[movie_id]:[movie_id]],Financials[[#All],[unit]],"Not Available",0)</f>
        <v>Millions</v>
      </c>
      <c r="K7" t="str" cm="1">
        <f t="array" ref="K7">_xlfn.XLOOKUP(Movies[[#This Row],[movie_id]:[movie_id]],Financials[[#All],[movie_id]:[movie_id]],Financials[[#All],[currency]],"Not Available",0)</f>
        <v>USD</v>
      </c>
      <c r="L7">
        <f>IF(Movies[[#This Row],[unit]]="Billions",Movies[[#This Row],[budget]]*1000,Movies[[#This Row],[budget]])</f>
        <v>3.18</v>
      </c>
      <c r="M7">
        <f>IF(Movies[[#This Row],[unit]]="Billions",Movies[[#This Row],[revenue]]*1000,Movies[[#This Row],[revenue]])</f>
        <v>3.3</v>
      </c>
      <c r="N7">
        <f>IF(Movies[[#This Row],[currency]]="INR",Movies[[#This Row],[budget(mln)]]/80,Movies[[#This Row],[budget(mln)]])</f>
        <v>3.18</v>
      </c>
      <c r="O7">
        <f>IF(Movies[[#This Row],[currency]]="INR",Movies[[#This Row],[revenue(mln)]]/80,Movies[[#This Row],[revenue(mln)]])</f>
        <v>3.3</v>
      </c>
    </row>
    <row r="8" spans="1:15" x14ac:dyDescent="0.25">
      <c r="A8">
        <v>109</v>
      </c>
      <c r="B8" t="s">
        <v>56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390</v>
      </c>
      <c r="M8">
        <f>IF(Movies[[#This Row],[unit]]="Billions",Movies[[#This Row],[revenue]]*1000,Movies[[#This Row],[revenue]])</f>
        <v>1360</v>
      </c>
      <c r="N8">
        <f>IF(Movies[[#This Row],[currency]]="INR",Movies[[#This Row],[budget(mln)]]/80,Movies[[#This Row],[budget(mln)]])</f>
        <v>4.875</v>
      </c>
      <c r="O8">
        <f>IF(Movies[[#This Row],[currency]]="INR",Movies[[#This Row],[revenue(mln)]]/80,Movies[[#This Row],[revenue(mln)]])</f>
        <v>17</v>
      </c>
    </row>
    <row r="9" spans="1:15" x14ac:dyDescent="0.25">
      <c r="A9">
        <v>107</v>
      </c>
      <c r="B9" t="s">
        <v>54</v>
      </c>
      <c r="C9" t="s">
        <v>6</v>
      </c>
      <c r="D9">
        <v>1995</v>
      </c>
      <c r="E9">
        <v>8</v>
      </c>
      <c r="F9" t="s">
        <v>10</v>
      </c>
      <c r="G9">
        <v>1</v>
      </c>
      <c r="H9" cm="1">
        <f t="array" ref="H9">_xlfn.XLOOKUP(Movies[[#This Row],[movie_id]:[movie_id]],Financials[[#All],[movie_id]:[movie_id]],Financials[[#All],[budget]],"Not Available",0)</f>
        <v>400</v>
      </c>
      <c r="I9" cm="1">
        <f t="array" ref="I9">_xlfn.XLOOKUP(Movies[[#This Row],[movie_id]:[movie_id]],Financials[[#All],[movie_id]:[movie_id]],Financials[[#All],[revenue]],"Not Available",0)</f>
        <v>2000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400</v>
      </c>
      <c r="M9">
        <f>IF(Movies[[#This Row],[unit]]="Billions",Movies[[#This Row],[revenue]]*1000,Movies[[#This Row],[revenue]])</f>
        <v>2000</v>
      </c>
      <c r="N9">
        <f>IF(Movies[[#This Row],[currency]]="INR",Movies[[#This Row],[budget(mln)]]/80,Movies[[#This Row],[budget(mln)]])</f>
        <v>5</v>
      </c>
      <c r="O9">
        <f>IF(Movies[[#This Row],[currency]]="INR",Movies[[#This Row],[revenue(mln)]]/80,Movies[[#This Row],[revenue(mln)]])</f>
        <v>25</v>
      </c>
    </row>
    <row r="10" spans="1:15" x14ac:dyDescent="0.25">
      <c r="A10">
        <v>140</v>
      </c>
      <c r="B10" t="s">
        <v>86</v>
      </c>
      <c r="C10" t="s">
        <v>6</v>
      </c>
      <c r="D10">
        <v>2021</v>
      </c>
      <c r="E10">
        <v>8.4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500</v>
      </c>
      <c r="I10" cm="1">
        <f t="array" ref="I10">_xlfn.XLOOKUP(Movies[[#This Row],[movie_id]:[movie_id]],Financials[[#All],[movie_id]:[movie_id]],Financials[[#All],[revenue]],"Not Available",0)</f>
        <v>950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500</v>
      </c>
      <c r="M10">
        <f>IF(Movies[[#This Row],[unit]]="Billions",Movies[[#This Row],[revenue]]*1000,Movies[[#This Row],[revenue]])</f>
        <v>950</v>
      </c>
      <c r="N10">
        <f>IF(Movies[[#This Row],[currency]]="INR",Movies[[#This Row],[budget(mln)]]/80,Movies[[#This Row],[budget(mln)]])</f>
        <v>6.25</v>
      </c>
      <c r="O10">
        <f>IF(Movies[[#This Row],[currency]]="INR",Movies[[#This Row],[revenue(mln)]]/80,Movies[[#This Row],[revenue(mln)]])</f>
        <v>11.875</v>
      </c>
    </row>
    <row r="11" spans="1:15" x14ac:dyDescent="0.25">
      <c r="A11">
        <v>108</v>
      </c>
      <c r="B11" t="s">
        <v>55</v>
      </c>
      <c r="C11" t="s">
        <v>6</v>
      </c>
      <c r="D11">
        <v>2009</v>
      </c>
      <c r="E11">
        <v>8.4</v>
      </c>
      <c r="F11" t="s">
        <v>11</v>
      </c>
      <c r="G11">
        <v>1</v>
      </c>
      <c r="H11" cm="1">
        <f t="array" ref="H11">_xlfn.XLOOKUP(Movies[[#This Row],[movie_id]:[movie_id]],Financials[[#All],[movie_id]:[movie_id]],Financials[[#All],[budget]],"Not Available",0)</f>
        <v>550</v>
      </c>
      <c r="I11" cm="1">
        <f t="array" ref="I11">_xlfn.XLOOKUP(Movies[[#This Row],[movie_id]:[movie_id]],Financials[[#All],[movie_id]:[movie_id]],Financials[[#All],[revenue]],"Not Available",0)</f>
        <v>4000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550</v>
      </c>
      <c r="M11">
        <f>IF(Movies[[#This Row],[unit]]="Billions",Movies[[#This Row],[revenue]]*1000,Movies[[#This Row],[revenue]])</f>
        <v>4000</v>
      </c>
      <c r="N11">
        <f>IF(Movies[[#This Row],[currency]]="INR",Movies[[#This Row],[budget(mln)]]/80,Movies[[#This Row],[budget(mln)]])</f>
        <v>6.875</v>
      </c>
      <c r="O11">
        <f>IF(Movies[[#This Row],[currency]]="INR",Movies[[#This Row],[revenue(mln)]]/80,Movies[[#This Row],[revenue(mln)]])</f>
        <v>50</v>
      </c>
    </row>
    <row r="12" spans="1:15" x14ac:dyDescent="0.25">
      <c r="A12">
        <v>120</v>
      </c>
      <c r="B12" t="s">
        <v>66</v>
      </c>
      <c r="C12" t="s">
        <v>7</v>
      </c>
      <c r="D12">
        <v>1972</v>
      </c>
      <c r="E12">
        <v>9.1999999999999993</v>
      </c>
      <c r="F12" t="s">
        <v>16</v>
      </c>
      <c r="G12">
        <v>5</v>
      </c>
      <c r="H12" cm="1">
        <f t="array" ref="H12">_xlfn.XLOOKUP(Movies[[#This Row],[movie_id]:[movie_id]],Financials[[#All],[movie_id]:[movie_id]],Financials[[#All],[budget]],"Not Available",0)</f>
        <v>7.2</v>
      </c>
      <c r="I12" cm="1">
        <f t="array" ref="I12">_xlfn.XLOOKUP(Movies[[#This Row],[movie_id]:[movie_id]],Financials[[#All],[movie_id]:[movie_id]],Financials[[#All],[revenue]],"Not Available",0)</f>
        <v>291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7.2</v>
      </c>
      <c r="M12">
        <f>IF(Movies[[#This Row],[unit]]="Billions",Movies[[#This Row],[revenue]]*1000,Movies[[#This Row],[revenue]])</f>
        <v>291</v>
      </c>
      <c r="N12">
        <f>IF(Movies[[#This Row],[currency]]="INR",Movies[[#This Row],[budget(mln)]]/80,Movies[[#This Row],[budget(mln)]])</f>
        <v>7.2</v>
      </c>
      <c r="O12">
        <f>IF(Movies[[#This Row],[currency]]="INR",Movies[[#This Row],[revenue(mln)]]/80,Movies[[#This Row],[revenue(mln)]])</f>
        <v>291</v>
      </c>
    </row>
    <row r="13" spans="1:15" x14ac:dyDescent="0.25">
      <c r="A13">
        <v>130</v>
      </c>
      <c r="B13" t="s">
        <v>76</v>
      </c>
      <c r="C13" t="s">
        <v>6</v>
      </c>
      <c r="D13">
        <v>2014</v>
      </c>
      <c r="E13">
        <v>8.1</v>
      </c>
      <c r="F13" t="s">
        <v>11</v>
      </c>
      <c r="G13">
        <v>1</v>
      </c>
      <c r="H13" cm="1">
        <f t="array" ref="H13">_xlfn.XLOOKUP(Movies[[#This Row],[movie_id]:[movie_id]],Financials[[#All],[movie_id]:[movie_id]],Financials[[#All],[budget]],"Not Available",0)</f>
        <v>850</v>
      </c>
      <c r="I13" cm="1">
        <f t="array" ref="I13">_xlfn.XLOOKUP(Movies[[#This Row],[movie_id]:[movie_id]],Financials[[#All],[movie_id]:[movie_id]],Financials[[#All],[revenue]],"Not Available",0)</f>
        <v>8540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INR</v>
      </c>
      <c r="L13">
        <f>IF(Movies[[#This Row],[unit]]="Billions",Movies[[#This Row],[budget]]*1000,Movies[[#This Row],[budget]])</f>
        <v>850</v>
      </c>
      <c r="M13">
        <f>IF(Movies[[#This Row],[unit]]="Billions",Movies[[#This Row],[revenue]]*1000,Movies[[#This Row],[revenue]])</f>
        <v>8540</v>
      </c>
      <c r="N13">
        <f>IF(Movies[[#This Row],[currency]]="INR",Movies[[#This Row],[budget(mln)]]/80,Movies[[#This Row],[budget(mln)]])</f>
        <v>10.625</v>
      </c>
      <c r="O13">
        <f>IF(Movies[[#This Row],[currency]]="INR",Movies[[#This Row],[revenue(mln)]]/80,Movies[[#This Row],[revenue(mln)]])</f>
        <v>106.75</v>
      </c>
    </row>
    <row r="14" spans="1:15" x14ac:dyDescent="0.25">
      <c r="A14">
        <v>136</v>
      </c>
      <c r="B14" t="s">
        <v>82</v>
      </c>
      <c r="C14" t="s">
        <v>6</v>
      </c>
      <c r="D14">
        <v>2015</v>
      </c>
      <c r="E14">
        <v>8.1</v>
      </c>
      <c r="F14" t="s">
        <v>26</v>
      </c>
      <c r="G14">
        <v>1</v>
      </c>
      <c r="H14" cm="1">
        <f t="array" ref="H14">_xlfn.XLOOKUP(Movies[[#This Row],[movie_id]:[movie_id]],Financials[[#All],[movie_id]:[movie_id]],Financials[[#All],[budget]],"Not Available",0)</f>
        <v>900</v>
      </c>
      <c r="I14" cm="1">
        <f t="array" ref="I14">_xlfn.XLOOKUP(Movies[[#This Row],[movie_id]:[movie_id]],Financials[[#All],[movie_id]:[movie_id]],Financials[[#All],[revenue]],"Not Available",0)</f>
        <v>11690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Row],[budget]]*1000,Movies[[#This Row],[budget]])</f>
        <v>900</v>
      </c>
      <c r="M14">
        <f>IF(Movies[[#This Row],[unit]]="Billions",Movies[[#This Row],[revenue]]*1000,Movies[[#This Row],[revenue]])</f>
        <v>11690</v>
      </c>
      <c r="N14">
        <f>IF(Movies[[#This Row],[currency]]="INR",Movies[[#This Row],[budget(mln)]]/80,Movies[[#This Row],[budget(mln)]])</f>
        <v>11.25</v>
      </c>
      <c r="O14">
        <f>IF(Movies[[#This Row],[currency]]="INR",Movies[[#This Row],[revenue(mln)]]/80,Movies[[#This Row],[revenue(mln)]])</f>
        <v>146.125</v>
      </c>
    </row>
    <row r="15" spans="1:15" x14ac:dyDescent="0.25">
      <c r="A15">
        <v>101</v>
      </c>
      <c r="B15" t="s">
        <v>48</v>
      </c>
      <c r="C15" t="s">
        <v>6</v>
      </c>
      <c r="D15">
        <v>2022</v>
      </c>
      <c r="E15">
        <v>8.4</v>
      </c>
      <c r="F15" t="s">
        <v>46</v>
      </c>
      <c r="G15">
        <v>3</v>
      </c>
      <c r="H15" cm="1">
        <f t="array" ref="H15">_xlfn.XLOOKUP(Movies[[#This Row],[movie_id]:[movie_id]],Financials[[#All],[movie_id]:[movie_id]],Financials[[#All],[budget]],"Not Available",0)</f>
        <v>1</v>
      </c>
      <c r="I15" cm="1">
        <f t="array" ref="I15">_xlfn.XLOOKUP(Movies[[#This Row],[movie_id]:[movie_id]],Financials[[#All],[movie_id]:[movie_id]],Financials[[#All],[revenue]],"Not Available",0)</f>
        <v>12.5</v>
      </c>
      <c r="J15" t="str" cm="1">
        <f t="array" ref="J15">_xlfn.XLOOKUP(Movies[[#This Row],[movie_id]:[movie_id]],Financials[[#All],[movie_id]:[movie_id]],Financials[[#All],[unit]],"Not Available",0)</f>
        <v>Billions</v>
      </c>
      <c r="K15" t="str" cm="1">
        <f t="array" ref="K15">_xlfn.XLOOKUP(Movies[[#This Row],[movie_id]:[movie_id]],Financials[[#All],[movie_id]:[movie_id]],Financials[[#All],[currency]],"Not Available",0)</f>
        <v>INR</v>
      </c>
      <c r="L15">
        <f>IF(Movies[[#This Row],[unit]]="Billions",Movies[[#This Row],[budget]]*1000,Movies[[#This Row],[budget]])</f>
        <v>1000</v>
      </c>
      <c r="M15">
        <f>IF(Movies[[#This Row],[unit]]="Billions",Movies[[#This Row],[revenue]]*1000,Movies[[#This Row],[revenue]])</f>
        <v>12500</v>
      </c>
      <c r="N15">
        <f>IF(Movies[[#This Row],[currency]]="INR",Movies[[#This Row],[budget(mln)]]/80,Movies[[#This Row],[budget(mln)]])</f>
        <v>12.5</v>
      </c>
      <c r="O15">
        <f>IF(Movies[[#This Row],[currency]]="INR",Movies[[#This Row],[revenue(mln)]]/80,Movies[[#This Row],[revenue(mln)]])</f>
        <v>156.25</v>
      </c>
    </row>
    <row r="16" spans="1:15" x14ac:dyDescent="0.25">
      <c r="A16">
        <v>131</v>
      </c>
      <c r="B16" t="s">
        <v>77</v>
      </c>
      <c r="C16" t="s">
        <v>6</v>
      </c>
      <c r="D16">
        <v>2018</v>
      </c>
      <c r="E16" t="s">
        <v>44</v>
      </c>
      <c r="F16" t="s">
        <v>11</v>
      </c>
      <c r="G16">
        <v>1</v>
      </c>
      <c r="H16" cm="1">
        <f t="array" ref="H16">_xlfn.XLOOKUP(Movies[[#This Row],[movie_id]:[movie_id]],Financials[[#All],[movie_id]:[movie_id]],Financials[[#All],[budget]],"Not Available",0)</f>
        <v>1</v>
      </c>
      <c r="I16" cm="1">
        <f t="array" ref="I16">_xlfn.XLOOKUP(Movies[[#This Row],[movie_id]:[movie_id]],Financials[[#All],[movie_id]:[movie_id]],Financials[[#All],[revenue]],"Not Available",0)</f>
        <v>5.9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Row],[budget]]*1000,Movies[[#This Row],[budget]])</f>
        <v>1000</v>
      </c>
      <c r="M16">
        <f>IF(Movies[[#This Row],[unit]]="Billions",Movies[[#This Row],[revenue]]*1000,Movies[[#This Row],[revenue]])</f>
        <v>5900</v>
      </c>
      <c r="N16">
        <f>IF(Movies[[#This Row],[currency]]="INR",Movies[[#This Row],[budget(mln)]]/80,Movies[[#This Row],[budget(mln)]])</f>
        <v>12.5</v>
      </c>
      <c r="O16">
        <f>IF(Movies[[#This Row],[currency]]="INR",Movies[[#This Row],[revenue(mln)]]/80,Movies[[#This Row],[revenue(mln)]])</f>
        <v>73.75</v>
      </c>
    </row>
    <row r="17" spans="1:15" x14ac:dyDescent="0.25">
      <c r="A17">
        <v>124</v>
      </c>
      <c r="B17" t="s">
        <v>70</v>
      </c>
      <c r="C17" t="s">
        <v>7</v>
      </c>
      <c r="D17">
        <v>2019</v>
      </c>
      <c r="E17">
        <v>8.5</v>
      </c>
      <c r="F17" t="s">
        <v>45</v>
      </c>
      <c r="G17">
        <v>5</v>
      </c>
      <c r="H17" cm="1">
        <f t="array" ref="H17">_xlfn.XLOOKUP(Movies[[#This Row],[movie_id]:[movie_id]],Financials[[#All],[movie_id]:[movie_id]],Financials[[#All],[budget]],"Not Available",0)</f>
        <v>15.5</v>
      </c>
      <c r="I17" cm="1">
        <f t="array" ref="I17">_xlfn.XLOOKUP(Movies[[#This Row],[movie_id]:[movie_id]],Financials[[#All],[movie_id]:[movie_id]],Financials[[#All],[revenue]],"Not Available",0)</f>
        <v>263.10000000000002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15.5</v>
      </c>
      <c r="M17">
        <f>IF(Movies[[#This Row],[unit]]="Billions",Movies[[#This Row],[revenue]]*1000,Movies[[#This Row],[revenue]])</f>
        <v>263.10000000000002</v>
      </c>
      <c r="N17">
        <f>IF(Movies[[#This Row],[currency]]="INR",Movies[[#This Row],[budget(mln)]]/80,Movies[[#This Row],[budget(mln)]])</f>
        <v>15.5</v>
      </c>
      <c r="O17">
        <f>IF(Movies[[#This Row],[currency]]="INR",Movies[[#This Row],[revenue(mln)]]/80,Movies[[#This Row],[revenue(mln)]])</f>
        <v>263.10000000000002</v>
      </c>
    </row>
    <row r="18" spans="1:15" x14ac:dyDescent="0.25">
      <c r="A18">
        <v>110</v>
      </c>
      <c r="B18" t="s">
        <v>57</v>
      </c>
      <c r="C18" t="s">
        <v>6</v>
      </c>
      <c r="D18">
        <v>2015</v>
      </c>
      <c r="E18">
        <v>7.2</v>
      </c>
      <c r="F18" t="s">
        <v>45</v>
      </c>
      <c r="G18">
        <v>1</v>
      </c>
      <c r="H18" cm="1">
        <f t="array" ref="H18">_xlfn.XLOOKUP(Movies[[#This Row],[movie_id]:[movie_id]],Financials[[#All],[movie_id]:[movie_id]],Financials[[#All],[budget]],"Not Available",0)</f>
        <v>1.4</v>
      </c>
      <c r="I18" cm="1">
        <f t="array" ref="I18">_xlfn.XLOOKUP(Movies[[#This Row],[movie_id]:[movie_id]],Financials[[#All],[movie_id]:[movie_id]],Financials[[#All],[revenue]],"Not Available",0)</f>
        <v>3.5</v>
      </c>
      <c r="J18" t="str" cm="1">
        <f t="array" ref="J18">_xlfn.XLOOKUP(Movies[[#This Row],[movie_id]:[movie_id]],Financials[[#All],[movie_id]:[movie_id]],Financials[[#All],[unit]],"Not Available",0)</f>
        <v>Billions</v>
      </c>
      <c r="K18" t="str" cm="1">
        <f t="array" ref="K18">_xlfn.XLOOKUP(Movies[[#This Row],[movie_id]:[movie_id]],Financials[[#All],[movie_id]:[movie_id]],Financials[[#All],[currency]],"Not Available",0)</f>
        <v>INR</v>
      </c>
      <c r="L18">
        <f>IF(Movies[[#This Row],[unit]]="Billions",Movies[[#This Row],[budget]]*1000,Movies[[#This Row],[budget]])</f>
        <v>1400</v>
      </c>
      <c r="M18">
        <f>IF(Movies[[#This Row],[unit]]="Billions",Movies[[#This Row],[revenue]]*1000,Movies[[#This Row],[revenue]])</f>
        <v>3500</v>
      </c>
      <c r="N18">
        <f>IF(Movies[[#This Row],[currency]]="INR",Movies[[#This Row],[budget(mln)]]/80,Movies[[#This Row],[budget(mln)]])</f>
        <v>17.5</v>
      </c>
      <c r="O18">
        <f>IF(Movies[[#This Row],[currency]]="INR",Movies[[#This Row],[revenue(mln)]]/80,Movies[[#This Row],[revenue(mln)]])</f>
        <v>43.75</v>
      </c>
    </row>
    <row r="19" spans="1:15" x14ac:dyDescent="0.25">
      <c r="A19">
        <v>122</v>
      </c>
      <c r="B19" t="s">
        <v>68</v>
      </c>
      <c r="C19" t="s">
        <v>7</v>
      </c>
      <c r="D19">
        <v>1993</v>
      </c>
      <c r="E19">
        <v>9</v>
      </c>
      <c r="F19" t="s">
        <v>20</v>
      </c>
      <c r="G19">
        <v>5</v>
      </c>
      <c r="H19" cm="1">
        <f t="array" ref="H19">_xlfn.XLOOKUP(Movies[[#This Row],[movie_id]:[movie_id]],Financials[[#All],[movie_id]:[movie_id]],Financials[[#All],[budget]],"Not Available",0)</f>
        <v>22</v>
      </c>
      <c r="I19" cm="1">
        <f t="array" ref="I19">_xlfn.XLOOKUP(Movies[[#This Row],[movie_id]:[movie_id]],Financials[[#All],[movie_id]:[movie_id]],Financials[[#All],[revenue]],"Not Available",0)</f>
        <v>322.2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22</v>
      </c>
      <c r="M19">
        <f>IF(Movies[[#This Row],[unit]]="Billions",Movies[[#This Row],[revenue]]*1000,Movies[[#This Row],[revenue]])</f>
        <v>322.2</v>
      </c>
      <c r="N19">
        <f>IF(Movies[[#This Row],[currency]]="INR",Movies[[#This Row],[budget(mln)]]/80,Movies[[#This Row],[budget(mln)]])</f>
        <v>22</v>
      </c>
      <c r="O19">
        <f>IF(Movies[[#This Row],[currency]]="INR",Movies[[#This Row],[revenue(mln)]]/80,Movies[[#This Row],[revenue(mln)]])</f>
        <v>322.2</v>
      </c>
    </row>
    <row r="20" spans="1:15" x14ac:dyDescent="0.25">
      <c r="A20">
        <v>139</v>
      </c>
      <c r="B20" t="s">
        <v>85</v>
      </c>
      <c r="C20" t="s">
        <v>6</v>
      </c>
      <c r="D20">
        <v>2018</v>
      </c>
      <c r="E20">
        <v>1.9</v>
      </c>
      <c r="F20" t="s">
        <v>26</v>
      </c>
      <c r="G20">
        <v>1</v>
      </c>
      <c r="H20" cm="1">
        <f t="array" ref="H20">_xlfn.XLOOKUP(Movies[[#This Row],[movie_id]:[movie_id]],Financials[[#All],[movie_id]:[movie_id]],Financials[[#All],[budget]],"Not Available",0)</f>
        <v>1.8</v>
      </c>
      <c r="I20" cm="1">
        <f t="array" ref="I20">_xlfn.XLOOKUP(Movies[[#This Row],[movie_id]:[movie_id]],Financials[[#All],[movie_id]:[movie_id]],Financials[[#All],[revenue]],"Not Available",0)</f>
        <v>3.1</v>
      </c>
      <c r="J20" t="str" cm="1">
        <f t="array" ref="J20">_xlfn.XLOOKUP(Movies[[#This Row],[movie_id]:[movie_id]],Financials[[#All],[movie_id]:[movie_id]],Financials[[#All],[unit]],"Not Available",0)</f>
        <v>Billions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Row],[budget]]*1000,Movies[[#This Row],[budget]])</f>
        <v>1800</v>
      </c>
      <c r="M20">
        <f>IF(Movies[[#This Row],[unit]]="Billions",Movies[[#This Row],[revenue]]*1000,Movies[[#This Row],[revenue]])</f>
        <v>3100</v>
      </c>
      <c r="N20">
        <f>IF(Movies[[#This Row],[currency]]="INR",Movies[[#This Row],[budget(mln)]]/80,Movies[[#This Row],[budget(mln)]])</f>
        <v>22.5</v>
      </c>
      <c r="O20">
        <f>IF(Movies[[#This Row],[currency]]="INR",Movies[[#This Row],[revenue(mln)]]/80,Movies[[#This Row],[revenue(mln)]])</f>
        <v>38.75</v>
      </c>
    </row>
    <row r="21" spans="1:15" x14ac:dyDescent="0.25">
      <c r="A21">
        <v>134</v>
      </c>
      <c r="B21" t="s">
        <v>80</v>
      </c>
      <c r="C21" t="s">
        <v>6</v>
      </c>
      <c r="D21">
        <v>2015</v>
      </c>
      <c r="E21">
        <v>8</v>
      </c>
      <c r="F21" t="s">
        <v>24</v>
      </c>
      <c r="G21">
        <v>2</v>
      </c>
      <c r="H21" cm="1">
        <f t="array" ref="H21">_xlfn.XLOOKUP(Movies[[#This Row],[movie_id]:[movie_id]],Financials[[#All],[movie_id]:[movie_id]],Financials[[#All],[budget]],"Not Available",0)</f>
        <v>1.8</v>
      </c>
      <c r="I21" cm="1">
        <f t="array" ref="I21">_xlfn.XLOOKUP(Movies[[#This Row],[movie_id]:[movie_id]],Financials[[#All],[movie_id]:[movie_id]],Financials[[#All],[revenue]],"Not Available",0)</f>
        <v>6.5</v>
      </c>
      <c r="J21" t="str" cm="1">
        <f t="array" ref="J21">_xlfn.XLOOKUP(Movies[[#This Row],[movie_id]:[movie_id]],Financials[[#All],[movie_id]:[movie_id]],Financials[[#All],[unit]],"Not Available",0)</f>
        <v>Billions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Row],[budget]]*1000,Movies[[#This Row],[budget]])</f>
        <v>1800</v>
      </c>
      <c r="M21">
        <f>IF(Movies[[#This Row],[unit]]="Billions",Movies[[#This Row],[revenue]]*1000,Movies[[#This Row],[revenue]])</f>
        <v>6500</v>
      </c>
      <c r="N21">
        <f>IF(Movies[[#This Row],[currency]]="INR",Movies[[#This Row],[budget(mln)]]/80,Movies[[#This Row],[budget(mln)]])</f>
        <v>22.5</v>
      </c>
      <c r="O21">
        <f>IF(Movies[[#This Row],[currency]]="INR",Movies[[#This Row],[revenue(mln)]]/80,Movies[[#This Row],[revenue(mln)]])</f>
        <v>81.25</v>
      </c>
    </row>
    <row r="22" spans="1:15" x14ac:dyDescent="0.25">
      <c r="A22">
        <v>132</v>
      </c>
      <c r="B22" t="s">
        <v>78</v>
      </c>
      <c r="C22" t="s">
        <v>6</v>
      </c>
      <c r="D22">
        <v>2021</v>
      </c>
      <c r="E22">
        <v>7.6</v>
      </c>
      <c r="F22" t="s">
        <v>22</v>
      </c>
      <c r="G22">
        <v>2</v>
      </c>
      <c r="H22" cm="1">
        <f t="array" ref="H22">_xlfn.XLOOKUP(Movies[[#This Row],[movie_id]:[movie_id]],Financials[[#All],[movie_id]:[movie_id]],Financials[[#All],[budget]],"Not Available",0)</f>
        <v>2</v>
      </c>
      <c r="I22" cm="1">
        <f t="array" ref="I22">_xlfn.XLOOKUP(Movies[[#This Row],[movie_id]:[movie_id]],Financials[[#All],[movie_id]:[movie_id]],Financials[[#All],[revenue]],"Not Available",0)</f>
        <v>3.6</v>
      </c>
      <c r="J22" t="str" cm="1">
        <f t="array" ref="J22">_xlfn.XLOOKUP(Movies[[#This Row],[movie_id]:[movie_id]],Financials[[#All],[movie_id]:[movie_id]],Financials[[#All],[unit]],"Not Available",0)</f>
        <v>Billions</v>
      </c>
      <c r="K22" t="str" cm="1">
        <f t="array" ref="K22">_xlfn.XLOOKUP(Movies[[#This Row],[movie_id]:[movie_id]],Financials[[#All],[movie_id]:[movie_id]],Financials[[#All],[currency]],"Not Available",0)</f>
        <v>INR</v>
      </c>
      <c r="L22">
        <f>IF(Movies[[#This Row],[unit]]="Billions",Movies[[#This Row],[budget]]*1000,Movies[[#This Row],[budget]])</f>
        <v>2000</v>
      </c>
      <c r="M22">
        <f>IF(Movies[[#This Row],[unit]]="Billions",Movies[[#This Row],[revenue]]*1000,Movies[[#This Row],[revenue]])</f>
        <v>3600</v>
      </c>
      <c r="N22">
        <f>IF(Movies[[#This Row],[currency]]="INR",Movies[[#This Row],[budget(mln)]]/80,Movies[[#This Row],[budget(mln)]])</f>
        <v>25</v>
      </c>
      <c r="O22">
        <f>IF(Movies[[#This Row],[currency]]="INR",Movies[[#This Row],[revenue(mln)]]/80,Movies[[#This Row],[revenue(mln)]])</f>
        <v>45</v>
      </c>
    </row>
    <row r="23" spans="1:15" x14ac:dyDescent="0.25">
      <c r="A23">
        <v>111</v>
      </c>
      <c r="B23" t="s">
        <v>58</v>
      </c>
      <c r="C23" t="s">
        <v>7</v>
      </c>
      <c r="D23">
        <v>1994</v>
      </c>
      <c r="E23">
        <v>9.3000000000000007</v>
      </c>
      <c r="F23" t="s">
        <v>13</v>
      </c>
      <c r="G23">
        <v>5</v>
      </c>
      <c r="H23" cm="1">
        <f t="array" ref="H23">_xlfn.XLOOKUP(Movies[[#This Row],[movie_id]:[movie_id]],Financials[[#All],[movie_id]:[movie_id]],Financials[[#All],[budget]],"Not Available",0)</f>
        <v>25</v>
      </c>
      <c r="I23" cm="1">
        <f t="array" ref="I23">_xlfn.XLOOKUP(Movies[[#This Row],[movie_id]:[movie_id]],Financials[[#All],[movie_id]:[movie_id]],Financials[[#All],[revenue]],"Not Available",0)</f>
        <v>73.3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25</v>
      </c>
      <c r="M23">
        <f>IF(Movies[[#This Row],[unit]]="Billions",Movies[[#This Row],[revenue]]*1000,Movies[[#This Row],[revenue]])</f>
        <v>73.3</v>
      </c>
      <c r="N23">
        <f>IF(Movies[[#This Row],[currency]]="INR",Movies[[#This Row],[budget(mln)]]/80,Movies[[#This Row],[budget(mln)]])</f>
        <v>25</v>
      </c>
      <c r="O23">
        <f>IF(Movies[[#This Row],[currency]]="INR",Movies[[#This Row],[revenue(mln)]]/80,Movies[[#This Row],[revenue(mln)]])</f>
        <v>73.3</v>
      </c>
    </row>
    <row r="24" spans="1:15" x14ac:dyDescent="0.25">
      <c r="A24">
        <v>115</v>
      </c>
      <c r="B24" t="s">
        <v>61</v>
      </c>
      <c r="C24" t="s">
        <v>7</v>
      </c>
      <c r="D24">
        <v>2006</v>
      </c>
      <c r="E24">
        <v>8</v>
      </c>
      <c r="F24" t="s">
        <v>15</v>
      </c>
      <c r="G24">
        <v>5</v>
      </c>
      <c r="H24" cm="1">
        <f t="array" ref="H24">_xlfn.XLOOKUP(Movies[[#This Row],[movie_id]:[movie_id]],Financials[[#All],[movie_id]:[movie_id]],Financials[[#All],[budget]],"Not Available",0)</f>
        <v>55</v>
      </c>
      <c r="I24" cm="1">
        <f t="array" ref="I24">_xlfn.XLOOKUP(Movies[[#This Row],[movie_id]:[movie_id]],Financials[[#All],[movie_id]:[movie_id]],Financials[[#All],[revenue]],"Not Available",0)</f>
        <v>307.10000000000002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55</v>
      </c>
      <c r="M24">
        <f>IF(Movies[[#This Row],[unit]]="Billions",Movies[[#This Row],[revenue]]*1000,Movies[[#This Row],[revenue]])</f>
        <v>307.10000000000002</v>
      </c>
      <c r="N24">
        <f>IF(Movies[[#This Row],[currency]]="INR",Movies[[#This Row],[budget(mln)]]/80,Movies[[#This Row],[budget(mln)]])</f>
        <v>55</v>
      </c>
      <c r="O24">
        <f>IF(Movies[[#This Row],[currency]]="INR",Movies[[#This Row],[revenue(mln)]]/80,Movies[[#This Row],[revenue(mln)]])</f>
        <v>307.10000000000002</v>
      </c>
    </row>
    <row r="25" spans="1:15" x14ac:dyDescent="0.25">
      <c r="A25">
        <v>123</v>
      </c>
      <c r="B25" t="s">
        <v>69</v>
      </c>
      <c r="C25" t="s">
        <v>7</v>
      </c>
      <c r="D25">
        <v>1993</v>
      </c>
      <c r="E25">
        <v>8.1999999999999993</v>
      </c>
      <c r="F25" t="s">
        <v>20</v>
      </c>
      <c r="G25">
        <v>5</v>
      </c>
      <c r="H25" cm="1">
        <f t="array" ref="H25">_xlfn.XLOOKUP(Movies[[#This Row],[movie_id]:[movie_id]],Financials[[#All],[movie_id]:[movie_id]],Financials[[#All],[budget]],"Not Available",0)</f>
        <v>63</v>
      </c>
      <c r="I25" cm="1">
        <f t="array" ref="I25">_xlfn.XLOOKUP(Movies[[#This Row],[movie_id]:[movie_id]],Financials[[#All],[movie_id]:[movie_id]],Financials[[#All],[revenue]],"Not Available",0)</f>
        <v>1046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63</v>
      </c>
      <c r="M25">
        <f>IF(Movies[[#This Row],[unit]]="Billions",Movies[[#This Row],[revenue]]*1000,Movies[[#This Row],[revenue]])</f>
        <v>1046</v>
      </c>
      <c r="N25">
        <f>IF(Movies[[#This Row],[currency]]="INR",Movies[[#This Row],[budget(mln)]]/80,Movies[[#This Row],[budget(mln)]])</f>
        <v>63</v>
      </c>
      <c r="O25">
        <f>IF(Movies[[#This Row],[currency]]="INR",Movies[[#This Row],[revenue(mln)]]/80,Movies[[#This Row],[revenue(mln)]])</f>
        <v>1046</v>
      </c>
    </row>
    <row r="26" spans="1:15" x14ac:dyDescent="0.25">
      <c r="A26">
        <v>133</v>
      </c>
      <c r="B26" t="s">
        <v>79</v>
      </c>
      <c r="C26" t="s">
        <v>6</v>
      </c>
      <c r="D26">
        <v>2022</v>
      </c>
      <c r="E26">
        <v>8</v>
      </c>
      <c r="F26" t="s">
        <v>23</v>
      </c>
      <c r="G26">
        <v>2</v>
      </c>
      <c r="H26" cm="1">
        <f t="array" ref="H26">_xlfn.XLOOKUP(Movies[[#This Row],[movie_id]:[movie_id]],Financials[[#All],[movie_id]:[movie_id]],Financials[[#All],[budget]],"Not Available",0)</f>
        <v>5.5</v>
      </c>
      <c r="I26" cm="1">
        <f t="array" ref="I26">_xlfn.XLOOKUP(Movies[[#This Row],[movie_id]:[movie_id]],Financials[[#All],[movie_id]:[movie_id]],Financials[[#All],[revenue]],"Not Available",0)</f>
        <v>12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Row],[budget]]*1000,Movies[[#This Row],[budget]])</f>
        <v>5500</v>
      </c>
      <c r="M26">
        <f>IF(Movies[[#This Row],[unit]]="Billions",Movies[[#This Row],[revenue]]*1000,Movies[[#This Row],[revenue]])</f>
        <v>12000</v>
      </c>
      <c r="N26">
        <f>IF(Movies[[#This Row],[currency]]="INR",Movies[[#This Row],[budget(mln)]]/80,Movies[[#This Row],[budget(mln)]])</f>
        <v>68.75</v>
      </c>
      <c r="O26">
        <f>IF(Movies[[#This Row],[currency]]="INR",Movies[[#This Row],[revenue(mln)]]/80,Movies[[#This Row],[revenue(mln)]])</f>
        <v>150</v>
      </c>
    </row>
    <row r="27" spans="1:15" x14ac:dyDescent="0.25">
      <c r="A27">
        <v>116</v>
      </c>
      <c r="B27" t="s">
        <v>62</v>
      </c>
      <c r="C27" t="s">
        <v>7</v>
      </c>
      <c r="D27">
        <v>2000</v>
      </c>
      <c r="E27">
        <v>8.5</v>
      </c>
      <c r="F27" t="s">
        <v>20</v>
      </c>
      <c r="G27">
        <v>5</v>
      </c>
      <c r="H27" cm="1">
        <f t="array" ref="H27">_xlfn.XLOOKUP(Movies[[#This Row],[movie_id]:[movie_id]],Financials[[#All],[movie_id]:[movie_id]],Financials[[#All],[budget]],"Not Available",0)</f>
        <v>103</v>
      </c>
      <c r="I27" cm="1">
        <f t="array" ref="I27">_xlfn.XLOOKUP(Movies[[#This Row],[movie_id]:[movie_id]],Financials[[#All],[movie_id]:[movie_id]],Financials[[#All],[revenue]],"Not Available",0)</f>
        <v>460.5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USD</v>
      </c>
      <c r="L27">
        <f>IF(Movies[[#This Row],[unit]]="Billions",Movies[[#This Row],[budget]]*1000,Movies[[#This Row],[budget]])</f>
        <v>103</v>
      </c>
      <c r="M27">
        <f>IF(Movies[[#This Row],[unit]]="Billions",Movies[[#This Row],[revenue]]*1000,Movies[[#This Row],[revenue]])</f>
        <v>460.5</v>
      </c>
      <c r="N27">
        <f>IF(Movies[[#This Row],[currency]]="INR",Movies[[#This Row],[budget(mln)]]/80,Movies[[#This Row],[budget(mln)]])</f>
        <v>103</v>
      </c>
      <c r="O27">
        <f>IF(Movies[[#This Row],[currency]]="INR",Movies[[#This Row],[revenue(mln)]]/80,Movies[[#This Row],[revenue(mln)]])</f>
        <v>460.5</v>
      </c>
    </row>
    <row r="28" spans="1:15" x14ac:dyDescent="0.25">
      <c r="A28">
        <v>103</v>
      </c>
      <c r="B28" t="s">
        <v>50</v>
      </c>
      <c r="C28" t="s">
        <v>7</v>
      </c>
      <c r="D28">
        <v>2013</v>
      </c>
      <c r="E28">
        <v>6.8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165</v>
      </c>
      <c r="I28" cm="1">
        <f t="array" ref="I28">_xlfn.XLOOKUP(Movies[[#This Row],[movie_id]:[movie_id]],Financials[[#All],[movie_id]:[movie_id]],Financials[[#All],[revenue]],"Not Available",0)</f>
        <v>644.79999999999995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Row],[budget]]*1000,Movies[[#This Row],[budget]])</f>
        <v>165</v>
      </c>
      <c r="M28">
        <f>IF(Movies[[#This Row],[unit]]="Billions",Movies[[#This Row],[revenue]]*1000,Movies[[#This Row],[revenue]])</f>
        <v>644.79999999999995</v>
      </c>
      <c r="N28">
        <f>IF(Movies[[#This Row],[currency]]="INR",Movies[[#This Row],[budget(mln)]]/80,Movies[[#This Row],[budget(mln)]])</f>
        <v>165</v>
      </c>
      <c r="O28">
        <f>IF(Movies[[#This Row],[currency]]="INR",Movies[[#This Row],[revenue(mln)]]/80,Movies[[#This Row],[revenue(mln)]])</f>
        <v>644.79999999999995</v>
      </c>
    </row>
    <row r="29" spans="1:15" x14ac:dyDescent="0.25">
      <c r="A29">
        <v>113</v>
      </c>
      <c r="B29" t="s">
        <v>60</v>
      </c>
      <c r="C29" t="s">
        <v>7</v>
      </c>
      <c r="D29">
        <v>2014</v>
      </c>
      <c r="E29">
        <v>8.6</v>
      </c>
      <c r="F29" t="s">
        <v>14</v>
      </c>
      <c r="G29">
        <v>5</v>
      </c>
      <c r="H29" cm="1">
        <f t="array" ref="H29">_xlfn.XLOOKUP(Movies[[#This Row],[movie_id]:[movie_id]],Financials[[#All],[movie_id]:[movie_id]],Financials[[#All],[budget]],"Not Available",0)</f>
        <v>165</v>
      </c>
      <c r="I29" cm="1">
        <f t="array" ref="I29">_xlfn.XLOOKUP(Movies[[#This Row],[movie_id]:[movie_id]],Financials[[#All],[movie_id]:[movie_id]],Financials[[#All],[revenue]],"Not Available",0)</f>
        <v>701.8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Row],[budget]]*1000,Movies[[#This Row],[budget]])</f>
        <v>165</v>
      </c>
      <c r="M29">
        <f>IF(Movies[[#This Row],[unit]]="Billions",Movies[[#This Row],[revenue]]*1000,Movies[[#This Row],[revenue]])</f>
        <v>701.8</v>
      </c>
      <c r="N29">
        <f>IF(Movies[[#This Row],[currency]]="INR",Movies[[#This Row],[budget(mln)]]/80,Movies[[#This Row],[budget(mln)]])</f>
        <v>165</v>
      </c>
      <c r="O29">
        <f>IF(Movies[[#This Row],[currency]]="INR",Movies[[#This Row],[revenue(mln)]]/80,Movies[[#This Row],[revenue(mln)]])</f>
        <v>701.8</v>
      </c>
    </row>
    <row r="30" spans="1:15" x14ac:dyDescent="0.25">
      <c r="A30">
        <v>138</v>
      </c>
      <c r="B30" t="s">
        <v>84</v>
      </c>
      <c r="C30" t="s">
        <v>7</v>
      </c>
      <c r="D30">
        <v>2014</v>
      </c>
      <c r="E30">
        <v>7.8</v>
      </c>
      <c r="F30" t="s">
        <v>8</v>
      </c>
      <c r="G30">
        <v>5</v>
      </c>
      <c r="H30" cm="1">
        <f t="array" ref="H30">_xlfn.XLOOKUP(Movies[[#This Row],[movie_id]:[movie_id]],Financials[[#All],[movie_id]:[movie_id]],Financials[[#All],[budget]],"Not Available",0)</f>
        <v>177</v>
      </c>
      <c r="I30" cm="1">
        <f t="array" ref="I30">_xlfn.XLOOKUP(Movies[[#This Row],[movie_id]:[movie_id]],Financials[[#All],[movie_id]:[movie_id]],Financials[[#All],[revenue]],"Not Available",0)</f>
        <v>714.4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USD</v>
      </c>
      <c r="L30">
        <f>IF(Movies[[#This Row],[unit]]="Billions",Movies[[#This Row],[budget]]*1000,Movies[[#This Row],[budget]])</f>
        <v>177</v>
      </c>
      <c r="M30">
        <f>IF(Movies[[#This Row],[unit]]="Billions",Movies[[#This Row],[revenue]]*1000,Movies[[#This Row],[revenue]])</f>
        <v>714.4</v>
      </c>
      <c r="N30">
        <f>IF(Movies[[#This Row],[currency]]="INR",Movies[[#This Row],[budget(mln)]]/80,Movies[[#This Row],[budget(mln)]])</f>
        <v>177</v>
      </c>
      <c r="O30">
        <f>IF(Movies[[#This Row],[currency]]="INR",Movies[[#This Row],[revenue(mln)]]/80,Movies[[#This Row],[revenue(mln)]])</f>
        <v>714.4</v>
      </c>
    </row>
    <row r="31" spans="1:15" x14ac:dyDescent="0.25">
      <c r="A31">
        <v>104</v>
      </c>
      <c r="B31" t="s">
        <v>51</v>
      </c>
      <c r="C31" t="s">
        <v>7</v>
      </c>
      <c r="D31">
        <v>2017</v>
      </c>
      <c r="E31">
        <v>7.9</v>
      </c>
      <c r="F31" t="s">
        <v>8</v>
      </c>
      <c r="G31">
        <v>5</v>
      </c>
      <c r="H31" cm="1">
        <f t="array" ref="H31">_xlfn.XLOOKUP(Movies[[#This Row],[movie_id]:[movie_id]],Financials[[#All],[movie_id]:[movie_id]],Financials[[#All],[budget]],"Not Available",0)</f>
        <v>180</v>
      </c>
      <c r="I31" cm="1">
        <f t="array" ref="I31">_xlfn.XLOOKUP(Movies[[#This Row],[movie_id]:[movie_id]],Financials[[#All],[movie_id]:[movie_id]],Financials[[#All],[revenue]],"Not Available",0)</f>
        <v>854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Row],[budget]]*1000,Movies[[#This Row],[budget]])</f>
        <v>180</v>
      </c>
      <c r="M31">
        <f>IF(Movies[[#This Row],[unit]]="Billions",Movies[[#This Row],[revenue]]*1000,Movies[[#This Row],[revenue]])</f>
        <v>854</v>
      </c>
      <c r="N31">
        <f>IF(Movies[[#This Row],[currency]]="INR",Movies[[#This Row],[budget(mln)]]/80,Movies[[#This Row],[budget(mln)]])</f>
        <v>180</v>
      </c>
      <c r="O31">
        <f>IF(Movies[[#This Row],[currency]]="INR",Movies[[#This Row],[revenue(mln)]]/80,Movies[[#This Row],[revenue(mln)]])</f>
        <v>854</v>
      </c>
    </row>
    <row r="32" spans="1:15" x14ac:dyDescent="0.25">
      <c r="A32">
        <v>121</v>
      </c>
      <c r="B32" t="s">
        <v>67</v>
      </c>
      <c r="C32" t="s">
        <v>7</v>
      </c>
      <c r="D32">
        <v>2008</v>
      </c>
      <c r="E32">
        <v>9</v>
      </c>
      <c r="F32" t="s">
        <v>19</v>
      </c>
      <c r="G32">
        <v>5</v>
      </c>
      <c r="H32" cm="1">
        <f t="array" ref="H32">_xlfn.XLOOKUP(Movies[[#This Row],[movie_id]:[movie_id]],Financials[[#All],[movie_id]:[movie_id]],Financials[[#All],[budget]],"Not Available",0)</f>
        <v>185</v>
      </c>
      <c r="I32" cm="1">
        <f t="array" ref="I32">_xlfn.XLOOKUP(Movies[[#This Row],[movie_id]:[movie_id]],Financials[[#All],[movie_id]:[movie_id]],Financials[[#All],[revenue]],"Not Available",0)</f>
        <v>1006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Row],[budget]]*1000,Movies[[#This Row],[budget]])</f>
        <v>185</v>
      </c>
      <c r="M32">
        <f>IF(Movies[[#This Row],[unit]]="Billions",Movies[[#This Row],[revenue]]*1000,Movies[[#This Row],[revenue]])</f>
        <v>1006</v>
      </c>
      <c r="N32">
        <f>IF(Movies[[#This Row],[currency]]="INR",Movies[[#This Row],[budget(mln)]]/80,Movies[[#This Row],[budget(mln)]])</f>
        <v>185</v>
      </c>
      <c r="O32">
        <f>IF(Movies[[#This Row],[currency]]="INR",Movies[[#This Row],[revenue(mln)]]/80,Movies[[#This Row],[revenue(mln)]])</f>
        <v>1006</v>
      </c>
    </row>
    <row r="33" spans="1:15" x14ac:dyDescent="0.25">
      <c r="A33">
        <v>102</v>
      </c>
      <c r="B33" t="s">
        <v>49</v>
      </c>
      <c r="C33" t="s">
        <v>7</v>
      </c>
      <c r="D33">
        <v>2022</v>
      </c>
      <c r="E33">
        <v>7</v>
      </c>
      <c r="F33" t="s">
        <v>8</v>
      </c>
      <c r="G33">
        <v>5</v>
      </c>
      <c r="H33" cm="1">
        <f t="array" ref="H33">_xlfn.XLOOKUP(Movies[[#This Row],[movie_id]:[movie_id]],Financials[[#All],[movie_id]:[movie_id]],Financials[[#All],[budget]],"Not Available",0)</f>
        <v>200</v>
      </c>
      <c r="I33" cm="1">
        <f t="array" ref="I33">_xlfn.XLOOKUP(Movies[[#This Row],[movie_id]:[movie_id]],Financials[[#All],[movie_id]:[movie_id]],Financials[[#All],[revenue]],"Not Available",0)</f>
        <v>954.8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Row],[budget]]*1000,Movies[[#This Row],[budget]])</f>
        <v>200</v>
      </c>
      <c r="M33">
        <f>IF(Movies[[#This Row],[unit]]="Billions",Movies[[#This Row],[revenue]]*1000,Movies[[#This Row],[revenue]])</f>
        <v>954.8</v>
      </c>
      <c r="N33">
        <f>IF(Movies[[#This Row],[currency]]="INR",Movies[[#This Row],[budget(mln)]]/80,Movies[[#This Row],[budget(mln)]])</f>
        <v>200</v>
      </c>
      <c r="O33">
        <f>IF(Movies[[#This Row],[currency]]="INR",Movies[[#This Row],[revenue(mln)]]/80,Movies[[#This Row],[revenue(mln)]])</f>
        <v>954.8</v>
      </c>
    </row>
    <row r="34" spans="1:15" x14ac:dyDescent="0.25">
      <c r="A34">
        <v>117</v>
      </c>
      <c r="B34" t="s">
        <v>63</v>
      </c>
      <c r="C34" t="s">
        <v>7</v>
      </c>
      <c r="D34">
        <v>1997</v>
      </c>
      <c r="E34">
        <v>7.9</v>
      </c>
      <c r="F34" t="s">
        <v>16</v>
      </c>
      <c r="G34">
        <v>5</v>
      </c>
      <c r="H34" cm="1">
        <f t="array" ref="H34">_xlfn.XLOOKUP(Movies[[#This Row],[movie_id]:[movie_id]],Financials[[#All],[movie_id]:[movie_id]],Financials[[#All],[budget]],"Not Available",0)</f>
        <v>200</v>
      </c>
      <c r="I34" cm="1">
        <f t="array" ref="I34">_xlfn.XLOOKUP(Movies[[#This Row],[movie_id]:[movie_id]],Financials[[#All],[movie_id]:[movie_id]],Financials[[#All],[revenue]],"Not Available",0)</f>
        <v>2202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Row],[budget]]*1000,Movies[[#This Row],[budget]])</f>
        <v>200</v>
      </c>
      <c r="M34">
        <f>IF(Movies[[#This Row],[unit]]="Billions",Movies[[#This Row],[revenue]]*1000,Movies[[#This Row],[revenue]])</f>
        <v>2202</v>
      </c>
      <c r="N34">
        <f>IF(Movies[[#This Row],[currency]]="INR",Movies[[#This Row],[budget(mln)]]/80,Movies[[#This Row],[budget(mln)]])</f>
        <v>200</v>
      </c>
      <c r="O34">
        <f>IF(Movies[[#This Row],[currency]]="INR",Movies[[#This Row],[revenue(mln)]]/80,Movies[[#This Row],[revenue(mln)]])</f>
        <v>2202</v>
      </c>
    </row>
    <row r="35" spans="1:15" x14ac:dyDescent="0.25">
      <c r="A35">
        <v>137</v>
      </c>
      <c r="B35" t="s">
        <v>83</v>
      </c>
      <c r="C35" t="s">
        <v>7</v>
      </c>
      <c r="D35">
        <v>2011</v>
      </c>
      <c r="E35">
        <v>6.9</v>
      </c>
      <c r="F35" t="s">
        <v>8</v>
      </c>
      <c r="G35">
        <v>5</v>
      </c>
      <c r="H35" cm="1">
        <f t="array" ref="H35">_xlfn.XLOOKUP(Movies[[#This Row],[movie_id]:[movie_id]],Financials[[#All],[movie_id]:[movie_id]],Financials[[#All],[budget]],"Not Available",0)</f>
        <v>216.7</v>
      </c>
      <c r="I35" cm="1">
        <f t="array" ref="I35">_xlfn.XLOOKUP(Movies[[#This Row],[movie_id]:[movie_id]],Financials[[#All],[movie_id]:[movie_id]],Financials[[#All],[revenue]],"Not Available",0)</f>
        <v>370.6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USD</v>
      </c>
      <c r="L35">
        <f>IF(Movies[[#This Row],[unit]]="Billions",Movies[[#This Row],[budget]]*1000,Movies[[#This Row],[budget]])</f>
        <v>216.7</v>
      </c>
      <c r="M35">
        <f>IF(Movies[[#This Row],[unit]]="Billions",Movies[[#This Row],[revenue]]*1000,Movies[[#This Row],[revenue]])</f>
        <v>370.6</v>
      </c>
      <c r="N35">
        <f>IF(Movies[[#This Row],[currency]]="INR",Movies[[#This Row],[budget(mln)]]/80,Movies[[#This Row],[budget(mln)]])</f>
        <v>216.7</v>
      </c>
      <c r="O35">
        <f>IF(Movies[[#This Row],[currency]]="INR",Movies[[#This Row],[revenue(mln)]]/80,Movies[[#This Row],[revenue(mln)]])</f>
        <v>370.6</v>
      </c>
    </row>
    <row r="36" spans="1:15" x14ac:dyDescent="0.25">
      <c r="A36">
        <v>119</v>
      </c>
      <c r="B36" t="s">
        <v>65</v>
      </c>
      <c r="C36" t="s">
        <v>7</v>
      </c>
      <c r="D36">
        <v>2009</v>
      </c>
      <c r="E36">
        <v>7.8</v>
      </c>
      <c r="F36" t="s">
        <v>18</v>
      </c>
      <c r="G36">
        <v>5</v>
      </c>
      <c r="H36" cm="1">
        <f t="array" ref="H36">_xlfn.XLOOKUP(Movies[[#This Row],[movie_id]:[movie_id]],Financials[[#All],[movie_id]:[movie_id]],Financials[[#All],[budget]],"Not Available",0)</f>
        <v>237</v>
      </c>
      <c r="I36" cm="1">
        <f t="array" ref="I36">_xlfn.XLOOKUP(Movies[[#This Row],[movie_id]:[movie_id]],Financials[[#All],[movie_id]:[movie_id]],Financials[[#All],[revenue]],"Not Available",0)</f>
        <v>2847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Row],[budget]]*1000,Movies[[#This Row],[budget]])</f>
        <v>237</v>
      </c>
      <c r="M36">
        <f>IF(Movies[[#This Row],[unit]]="Billions",Movies[[#This Row],[revenue]]*1000,Movies[[#This Row],[revenue]])</f>
        <v>2847</v>
      </c>
      <c r="N36">
        <f>IF(Movies[[#This Row],[currency]]="INR",Movies[[#This Row],[budget(mln)]]/80,Movies[[#This Row],[budget(mln)]])</f>
        <v>237</v>
      </c>
      <c r="O36">
        <f>IF(Movies[[#This Row],[currency]]="INR",Movies[[#This Row],[revenue(mln)]]/80,Movies[[#This Row],[revenue(mln)]])</f>
        <v>2847</v>
      </c>
    </row>
    <row r="37" spans="1:15" x14ac:dyDescent="0.25">
      <c r="A37">
        <v>105</v>
      </c>
      <c r="B37" t="s">
        <v>52</v>
      </c>
      <c r="C37" t="s">
        <v>7</v>
      </c>
      <c r="D37">
        <v>2022</v>
      </c>
      <c r="E37">
        <v>6.8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250</v>
      </c>
      <c r="I37" cm="1">
        <f t="array" ref="I37">_xlfn.XLOOKUP(Movies[[#This Row],[movie_id]:[movie_id]],Financials[[#All],[movie_id]:[movie_id]],Financials[[#All],[revenue]],"Not Available",0)</f>
        <v>670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250</v>
      </c>
      <c r="M37">
        <f>IF(Movies[[#This Row],[unit]]="Billions",Movies[[#This Row],[revenue]]*1000,Movies[[#This Row],[revenue]])</f>
        <v>670</v>
      </c>
      <c r="N37">
        <f>IF(Movies[[#This Row],[currency]]="INR",Movies[[#This Row],[budget(mln)]]/80,Movies[[#This Row],[budget(mln)]])</f>
        <v>250</v>
      </c>
      <c r="O37">
        <f>IF(Movies[[#This Row],[currency]]="INR",Movies[[#This Row],[revenue(mln)]]/80,Movies[[#This Row],[revenue(mln)]])</f>
        <v>670</v>
      </c>
    </row>
    <row r="38" spans="1:15" x14ac:dyDescent="0.25">
      <c r="A38">
        <v>125</v>
      </c>
      <c r="B38" t="s">
        <v>71</v>
      </c>
      <c r="C38" t="s">
        <v>7</v>
      </c>
      <c r="D38">
        <v>2019</v>
      </c>
      <c r="E38">
        <v>8.4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400</v>
      </c>
      <c r="I38" cm="1">
        <f t="array" ref="I38">_xlfn.XLOOKUP(Movies[[#This Row],[movie_id]:[movie_id]],Financials[[#All],[movie_id]:[movie_id]],Financials[[#All],[revenue]],"Not Available",0)</f>
        <v>2798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400</v>
      </c>
      <c r="M38">
        <f>IF(Movies[[#This Row],[unit]]="Billions",Movies[[#This Row],[revenue]]*1000,Movies[[#This Row],[revenue]])</f>
        <v>2798</v>
      </c>
      <c r="N38">
        <f>IF(Movies[[#This Row],[currency]]="INR",Movies[[#This Row],[budget(mln)]]/80,Movies[[#This Row],[budget(mln)]])</f>
        <v>400</v>
      </c>
      <c r="O38">
        <f>IF(Movies[[#This Row],[currency]]="INR",Movies[[#This Row],[revenue(mln)]]/80,Movies[[#This Row],[revenue(mln)]])</f>
        <v>2798</v>
      </c>
    </row>
    <row r="39" spans="1:15" x14ac:dyDescent="0.25">
      <c r="A39">
        <v>126</v>
      </c>
      <c r="B39" t="s">
        <v>72</v>
      </c>
      <c r="C39" t="s">
        <v>7</v>
      </c>
      <c r="D39">
        <v>2018</v>
      </c>
      <c r="E39">
        <v>8.4</v>
      </c>
      <c r="F39" t="s">
        <v>8</v>
      </c>
      <c r="G39">
        <v>5</v>
      </c>
      <c r="H39" cm="1">
        <f t="array" ref="H39">_xlfn.XLOOKUP(Movies[[#This Row],[movie_id]:[movie_id]],Financials[[#All],[movie_id]:[movie_id]],Financials[[#All],[budget]],"Not Available",0)</f>
        <v>400</v>
      </c>
      <c r="I39" cm="1">
        <f t="array" ref="I39">_xlfn.XLOOKUP(Movies[[#This Row],[movie_id]:[movie_id]],Financials[[#All],[movie_id]:[movie_id]],Financials[[#All],[revenue]],"Not Available",0)</f>
        <v>2048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Row],[budget]]*1000,Movies[[#This Row],[budget]])</f>
        <v>400</v>
      </c>
      <c r="M39">
        <f>IF(Movies[[#This Row],[unit]]="Billions",Movies[[#This Row],[revenue]]*1000,Movies[[#This Row],[revenue]])</f>
        <v>2048</v>
      </c>
      <c r="N39">
        <f>IF(Movies[[#This Row],[currency]]="INR",Movies[[#This Row],[budget(mln)]]/80,Movies[[#This Row],[budget(mln)]])</f>
        <v>400</v>
      </c>
      <c r="O39">
        <f>IF(Movies[[#This Row],[currency]]="INR",Movies[[#This Row],[revenue(mln)]]/80,Movies[[#This Row],[revenue(mln)]])</f>
        <v>2048</v>
      </c>
    </row>
    <row r="40" spans="1:15" x14ac:dyDescent="0.25">
      <c r="A40">
        <v>106</v>
      </c>
      <c r="B40" t="s">
        <v>53</v>
      </c>
      <c r="C40" t="s">
        <v>6</v>
      </c>
      <c r="D40">
        <v>1975</v>
      </c>
      <c r="E40">
        <v>8.1</v>
      </c>
      <c r="F40" t="s">
        <v>9</v>
      </c>
      <c r="G40">
        <v>1</v>
      </c>
      <c r="H40" t="str" cm="1">
        <f t="array" ref="H40">_xlfn.XLOOKUP(Movies[[#This Row],[movie_id]:[movie_id]],Financials[[#All],[movie_id]:[movie_id]],Financials[[#All],[budget]],"Not Available",0)</f>
        <v>Not Available</v>
      </c>
      <c r="I40" t="str" cm="1">
        <f t="array" ref="I40">_xlfn.XLOOKUP(Movies[[#This Row],[movie_id]:[movie_id]],Financials[[#All],[movie_id]:[movie_id]],Financials[[#All],[revenue]],"Not Available",0)</f>
        <v>Not Available</v>
      </c>
      <c r="J40" t="str" cm="1">
        <f t="array" ref="J40">_xlfn.XLOOKUP(Movies[[#This Row],[movie_id]:[movie_id]],Financials[[#All],[movie_id]:[movie_id]],Financials[[#All],[unit]],"Not Available",0)</f>
        <v>Not Available</v>
      </c>
      <c r="K40" t="str" cm="1">
        <f t="array" ref="K40">_xlfn.XLOOKUP(Movies[[#This Row],[movie_id]:[movie_id]],Financials[[#All],[movie_id]:[movie_id]],Financials[[#All],[currency]],"Not Available",0)</f>
        <v>Not Available</v>
      </c>
      <c r="L40" t="str">
        <f>IF(Movies[[#This Row],[unit]]="Billions",Movies[[#This Row],[budget]]*1000,Movies[[#This Row],[budget]])</f>
        <v>Not Available</v>
      </c>
      <c r="M40" t="str">
        <f>IF(Movies[[#This Row],[unit]]="Billions",Movies[[#This Row],[revenue]]*1000,Movies[[#This Row],[revenue]])</f>
        <v>Not Available</v>
      </c>
      <c r="N40" t="str">
        <f>IF(Movies[[#This Row],[currency]]="INR",Movies[[#This Row],[budget(mln)]]/80,Movies[[#This Row],[budget(mln)]])</f>
        <v>Not Available</v>
      </c>
      <c r="O40" t="str">
        <f>IF(Movies[[#This Row],[currency]]="INR",Movies[[#This Row],[revenue(mln)]]/80,Movies[[#This Row],[revenue(mln)]])</f>
        <v>Not Available</v>
      </c>
    </row>
    <row r="41" spans="1:15" x14ac:dyDescent="0.25">
      <c r="A41">
        <v>112</v>
      </c>
      <c r="B41" t="s">
        <v>59</v>
      </c>
      <c r="C41" t="s">
        <v>7</v>
      </c>
      <c r="D41">
        <v>2010</v>
      </c>
      <c r="E41">
        <v>8.8000000000000007</v>
      </c>
      <c r="F41" t="s">
        <v>14</v>
      </c>
      <c r="G41">
        <v>5</v>
      </c>
      <c r="H41" t="str" cm="1">
        <f t="array" ref="H41">_xlfn.XLOOKUP(Movies[[#This Row],[movie_id]:[movie_id]],Financials[[#All],[movie_id]:[movie_id]],Financials[[#All],[budget]],"Not Available",0)</f>
        <v>Not Available</v>
      </c>
      <c r="I41" t="str" cm="1">
        <f t="array" ref="I41">_xlfn.XLOOKUP(Movies[[#This Row],[movie_id]:[movie_id]],Financials[[#All],[movie_id]:[movie_id]],Financials[[#All],[revenue]],"Not Available",0)</f>
        <v>Not Available</v>
      </c>
      <c r="J41" t="str" cm="1">
        <f t="array" ref="J41">_xlfn.XLOOKUP(Movies[[#This Row],[movie_id]:[movie_id]],Financials[[#All],[movie_id]:[movie_id]],Financials[[#All],[unit]],"Not Available",0)</f>
        <v>Not Available</v>
      </c>
      <c r="K41" t="str" cm="1">
        <f t="array" ref="K41">_xlfn.XLOOKUP(Movies[[#This Row],[movie_id]:[movie_id]],Financials[[#All],[movie_id]:[movie_id]],Financials[[#All],[currency]],"Not Available",0)</f>
        <v>Not Available</v>
      </c>
      <c r="L41" t="str">
        <f>IF(Movies[[#This Row],[unit]]="Billions",Movies[[#This Row],[budget]]*1000,Movies[[#This Row],[budget]])</f>
        <v>Not Available</v>
      </c>
      <c r="M41" t="str">
        <f>IF(Movies[[#This Row],[unit]]="Billions",Movies[[#This Row],[revenue]]*1000,Movies[[#This Row],[revenue]])</f>
        <v>Not Available</v>
      </c>
      <c r="N41" t="str">
        <f>IF(Movies[[#This Row],[currency]]="INR",Movies[[#This Row],[budget(mln)]]/80,Movies[[#This Row],[budget(mln)]])</f>
        <v>Not Available</v>
      </c>
      <c r="O41" t="str">
        <f>IF(Movies[[#This Row],[currency]]="INR",Movies[[#This Row],[revenue(mln)]]/80,Movies[[#This Row],[revenue(mln)]])</f>
        <v>Not Available</v>
      </c>
    </row>
  </sheetData>
  <mergeCells count="1">
    <mergeCell ref="A1:O1"/>
  </mergeCells>
  <conditionalFormatting sqref="A2:B2">
    <cfRule type="duplicateValues" dxfId="5" priority="5"/>
    <cfRule type="duplicateValues" dxfId="4" priority="6"/>
  </conditionalFormatting>
  <conditionalFormatting sqref="A3:B41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>
      <selection activeCell="D4" sqref="D4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Normal="100" workbookViewId="0">
      <selection activeCell="A2" sqref="A2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CE8-65ED-4397-95D6-13431DBD2412}">
  <dimension ref="A1:I19"/>
  <sheetViews>
    <sheetView showGridLines="0" workbookViewId="0">
      <selection activeCell="K15" sqref="K15"/>
    </sheetView>
  </sheetViews>
  <sheetFormatPr defaultRowHeight="15" x14ac:dyDescent="0.25"/>
  <cols>
    <col min="2" max="2" width="33.140625" customWidth="1"/>
    <col min="3" max="3" width="14" customWidth="1"/>
    <col min="4" max="5" width="4.7109375" customWidth="1"/>
    <col min="6" max="6" width="33.140625" customWidth="1"/>
    <col min="7" max="7" width="14" customWidth="1"/>
    <col min="8" max="8" width="7.28515625" customWidth="1"/>
    <col min="9" max="9" width="10.5703125" bestFit="1" customWidth="1"/>
  </cols>
  <sheetData>
    <row r="1" spans="1:9" x14ac:dyDescent="0.25">
      <c r="A1" s="36" t="s">
        <v>146</v>
      </c>
      <c r="B1" s="36"/>
      <c r="C1" s="36"/>
      <c r="D1" s="36"/>
      <c r="E1" s="36"/>
      <c r="F1" s="36"/>
      <c r="G1" s="36"/>
      <c r="H1" s="36"/>
    </row>
    <row r="2" spans="1:9" ht="21.75" customHeight="1" x14ac:dyDescent="0.25">
      <c r="A2" s="36"/>
      <c r="B2" s="36"/>
      <c r="C2" s="36"/>
      <c r="D2" s="36"/>
      <c r="E2" s="36"/>
      <c r="F2" s="36"/>
      <c r="G2" s="36"/>
      <c r="H2" s="36"/>
    </row>
    <row r="3" spans="1:9" ht="15" customHeight="1" x14ac:dyDescent="0.25"/>
    <row r="4" spans="1:9" ht="24" customHeight="1" x14ac:dyDescent="0.25">
      <c r="B4" s="19" t="s">
        <v>92</v>
      </c>
      <c r="C4" s="21">
        <f>SUM(Movies[budget USD(mln)])</f>
        <v>3302.4549999999999</v>
      </c>
      <c r="D4" s="3"/>
      <c r="F4" s="20" t="s">
        <v>93</v>
      </c>
      <c r="G4" s="21">
        <f>SUM(Movies[revenue USD(mln)])</f>
        <v>19589.262500000001</v>
      </c>
    </row>
    <row r="7" spans="1:9" ht="15" customHeight="1" x14ac:dyDescent="0.25">
      <c r="B7" s="35" t="s">
        <v>150</v>
      </c>
      <c r="C7" s="35"/>
      <c r="F7" s="35" t="s">
        <v>151</v>
      </c>
      <c r="G7" s="35"/>
    </row>
    <row r="8" spans="1:9" ht="15" customHeight="1" x14ac:dyDescent="0.25">
      <c r="B8" s="35"/>
      <c r="C8" s="35"/>
      <c r="F8" s="35"/>
      <c r="G8" s="35"/>
    </row>
    <row r="9" spans="1:9" ht="15.75" x14ac:dyDescent="0.25">
      <c r="B9" s="26" t="s">
        <v>94</v>
      </c>
      <c r="C9" s="26">
        <f>COUNT(Movies[movie_id])</f>
        <v>39</v>
      </c>
      <c r="D9" s="27"/>
      <c r="E9" s="27"/>
      <c r="F9" s="26" t="s">
        <v>94</v>
      </c>
      <c r="G9" s="26">
        <f>COUNT(Movies[movie_id])</f>
        <v>39</v>
      </c>
    </row>
    <row r="10" spans="1:9" ht="15.75" x14ac:dyDescent="0.25">
      <c r="B10" s="26" t="s">
        <v>95</v>
      </c>
      <c r="C10" s="26">
        <f>COUNTIF(Movies[industry],"Bollywood")</f>
        <v>18</v>
      </c>
      <c r="D10" s="27"/>
      <c r="E10" s="27"/>
      <c r="F10" s="26" t="s">
        <v>97</v>
      </c>
      <c r="G10" s="26">
        <f>COUNTIF(Movies[industry],"hollywood")</f>
        <v>21</v>
      </c>
    </row>
    <row r="11" spans="1:9" ht="15.75" x14ac:dyDescent="0.25">
      <c r="B11" s="26" t="s">
        <v>96</v>
      </c>
      <c r="C11" s="28">
        <f>C10/C9</f>
        <v>0.46153846153846156</v>
      </c>
      <c r="D11" s="27"/>
      <c r="E11" s="27"/>
      <c r="F11" s="26" t="s">
        <v>98</v>
      </c>
      <c r="G11" s="28">
        <f>G10/G9</f>
        <v>0.53846153846153844</v>
      </c>
    </row>
    <row r="12" spans="1:9" ht="15.75" x14ac:dyDescent="0.25">
      <c r="B12" s="26" t="s">
        <v>153</v>
      </c>
      <c r="C12" s="29">
        <f>SUMIF(Movies[industry],"bollywood",Movies[budget USD(mln)])</f>
        <v>232.875</v>
      </c>
      <c r="D12" s="27"/>
      <c r="E12" s="27"/>
      <c r="F12" s="26" t="s">
        <v>159</v>
      </c>
      <c r="G12" s="29">
        <f>SUMIF(Movies[industry],"hollywood",Movies[budget USD(mln)])</f>
        <v>3069.58</v>
      </c>
      <c r="I12" s="22"/>
    </row>
    <row r="13" spans="1:9" ht="15.75" x14ac:dyDescent="0.25">
      <c r="B13" s="26" t="s">
        <v>154</v>
      </c>
      <c r="C13" s="29">
        <f>SUMIF(Movies[industry],"bollywood",Movies[revenue USD(mln)])</f>
        <v>1011.3625</v>
      </c>
      <c r="D13" s="27"/>
      <c r="E13" s="27"/>
      <c r="F13" s="26" t="s">
        <v>160</v>
      </c>
      <c r="G13" s="29">
        <f>SUMIF(Movies[industry],"hollywood",Movies[revenue USD(mln)])</f>
        <v>18577.900000000001</v>
      </c>
    </row>
    <row r="14" spans="1:9" ht="15.75" x14ac:dyDescent="0.25">
      <c r="B14" s="26" t="s">
        <v>155</v>
      </c>
      <c r="C14" s="29">
        <f>C13-C12</f>
        <v>778.48749999999995</v>
      </c>
      <c r="D14" s="27"/>
      <c r="E14" s="27"/>
      <c r="F14" s="26" t="s">
        <v>149</v>
      </c>
      <c r="G14" s="30">
        <f>G13-G12</f>
        <v>15508.320000000002</v>
      </c>
    </row>
    <row r="15" spans="1:9" ht="15.75" x14ac:dyDescent="0.25">
      <c r="B15" s="26" t="s">
        <v>156</v>
      </c>
      <c r="C15" s="28">
        <f>C14/C12</f>
        <v>3.3429414922168545</v>
      </c>
      <c r="D15" s="27"/>
      <c r="E15" s="27"/>
      <c r="F15" s="26" t="s">
        <v>156</v>
      </c>
      <c r="G15" s="28">
        <f>G14/G12</f>
        <v>5.0522612214048834</v>
      </c>
    </row>
    <row r="16" spans="1:9" ht="15.75" x14ac:dyDescent="0.25">
      <c r="B16" s="26" t="s">
        <v>157</v>
      </c>
      <c r="C16" s="29">
        <f>C13/C10</f>
        <v>56.186805555555551</v>
      </c>
      <c r="D16" s="27"/>
      <c r="E16" s="27"/>
      <c r="F16" s="26" t="s">
        <v>161</v>
      </c>
      <c r="G16" s="30">
        <f>G13/G10</f>
        <v>884.66190476190479</v>
      </c>
    </row>
    <row r="17" spans="2:7" ht="15.75" x14ac:dyDescent="0.25">
      <c r="B17" s="26" t="s">
        <v>158</v>
      </c>
      <c r="C17" s="28">
        <f>C13/G4</f>
        <v>5.1628411227834632E-2</v>
      </c>
      <c r="D17" s="27"/>
      <c r="E17" s="27"/>
      <c r="F17" s="26" t="s">
        <v>162</v>
      </c>
      <c r="G17" s="28">
        <f>G13/G4</f>
        <v>0.94837158877216543</v>
      </c>
    </row>
    <row r="19" spans="2:7" x14ac:dyDescent="0.25">
      <c r="C19" s="4"/>
    </row>
  </sheetData>
  <mergeCells count="3">
    <mergeCell ref="F7:G8"/>
    <mergeCell ref="B7:C8"/>
    <mergeCell ref="A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6990-5A34-451F-B032-7A94A5866E86}">
  <dimension ref="B1:G15"/>
  <sheetViews>
    <sheetView showGridLines="0" workbookViewId="0">
      <selection activeCell="E18" sqref="E18"/>
    </sheetView>
  </sheetViews>
  <sheetFormatPr defaultRowHeight="15" x14ac:dyDescent="0.25"/>
  <cols>
    <col min="1" max="1" width="2" customWidth="1"/>
    <col min="2" max="2" width="26.140625" customWidth="1"/>
    <col min="3" max="3" width="29.140625" customWidth="1"/>
    <col min="4" max="4" width="20.28515625" customWidth="1"/>
    <col min="5" max="5" width="50.85546875" bestFit="1" customWidth="1"/>
    <col min="6" max="6" width="24.42578125" bestFit="1" customWidth="1"/>
  </cols>
  <sheetData>
    <row r="1" spans="2:7" ht="36" x14ac:dyDescent="0.25">
      <c r="B1" s="36" t="s">
        <v>152</v>
      </c>
      <c r="C1" s="36"/>
      <c r="D1" s="36"/>
      <c r="E1" s="36"/>
      <c r="F1" s="36"/>
    </row>
    <row r="2" spans="2:7" ht="21" customHeight="1" x14ac:dyDescent="0.25"/>
    <row r="3" spans="2:7" ht="18.75" customHeight="1" x14ac:dyDescent="0.25">
      <c r="B3" s="31" t="s">
        <v>99</v>
      </c>
      <c r="C3" s="31" t="s">
        <v>103</v>
      </c>
      <c r="D3" s="31" t="s">
        <v>105</v>
      </c>
      <c r="E3" s="31" t="s">
        <v>106</v>
      </c>
      <c r="F3" s="31" t="s">
        <v>135</v>
      </c>
      <c r="G3" s="4"/>
    </row>
    <row r="4" spans="2:7" x14ac:dyDescent="0.25">
      <c r="B4" s="23" t="s">
        <v>100</v>
      </c>
      <c r="C4" s="25">
        <f>SUMIF(Movies[studio],"Marvel Studios",Movies[revenue USD(mln)])</f>
        <v>9054.6</v>
      </c>
      <c r="D4" s="25">
        <v>8000</v>
      </c>
      <c r="E4" s="25">
        <f>C4-D4</f>
        <v>1054.6000000000004</v>
      </c>
      <c r="F4" s="24">
        <f>E4/C4</f>
        <v>0.11647118591655074</v>
      </c>
    </row>
    <row r="5" spans="2:7" x14ac:dyDescent="0.25">
      <c r="B5" s="23" t="s">
        <v>104</v>
      </c>
      <c r="C5" s="25">
        <f>SUMIF(Movies[studio],"Marvel Studios",Movies[budget USD(mln)])</f>
        <v>1988.7</v>
      </c>
      <c r="D5" s="25">
        <v>2000</v>
      </c>
      <c r="E5" s="25">
        <f>C5-D5</f>
        <v>-11.299999999999955</v>
      </c>
      <c r="F5" s="24">
        <f>E5/C5</f>
        <v>-5.6821038869613082E-3</v>
      </c>
    </row>
    <row r="6" spans="2:7" x14ac:dyDescent="0.25">
      <c r="B6" s="23" t="s">
        <v>101</v>
      </c>
      <c r="C6" s="25">
        <f>C4-C5</f>
        <v>7065.9000000000005</v>
      </c>
      <c r="D6" s="25">
        <v>5500</v>
      </c>
      <c r="E6" s="25">
        <f>C6-D6</f>
        <v>1565.9000000000005</v>
      </c>
      <c r="F6" s="24">
        <f>E6/C6</f>
        <v>0.22161366563353577</v>
      </c>
    </row>
    <row r="7" spans="2:7" x14ac:dyDescent="0.25">
      <c r="B7" s="23" t="s">
        <v>102</v>
      </c>
      <c r="C7" s="24">
        <f>C6/C5</f>
        <v>3.5530245889274403</v>
      </c>
      <c r="D7" s="24">
        <v>2.75</v>
      </c>
      <c r="E7" s="24">
        <f>C7-D7</f>
        <v>0.80302458892744033</v>
      </c>
      <c r="F7" s="24">
        <f>E7/C7</f>
        <v>0.22601154842270629</v>
      </c>
    </row>
    <row r="8" spans="2:7" x14ac:dyDescent="0.25">
      <c r="B8" s="23" t="s">
        <v>133</v>
      </c>
      <c r="C8" s="24">
        <f>C4/C10</f>
        <v>0.48738554949698293</v>
      </c>
      <c r="D8" s="24">
        <v>0.55000000000000004</v>
      </c>
      <c r="E8" s="24">
        <f>C8-D8</f>
        <v>-6.2614450503017116E-2</v>
      </c>
      <c r="F8" s="24">
        <f>E8/C8</f>
        <v>-0.12847005941731293</v>
      </c>
    </row>
    <row r="9" spans="2:7" x14ac:dyDescent="0.25">
      <c r="G9" s="4"/>
    </row>
    <row r="10" spans="2:7" ht="15.75" x14ac:dyDescent="0.25">
      <c r="B10" s="32" t="s">
        <v>134</v>
      </c>
      <c r="C10" s="25">
        <f>SUMIF(Movies[industry],"Hollywood",Movies[revenue USD(mln)])</f>
        <v>18577.900000000001</v>
      </c>
    </row>
    <row r="12" spans="2:7" x14ac:dyDescent="0.25">
      <c r="C12" s="3"/>
      <c r="D12" s="3"/>
    </row>
    <row r="13" spans="2:7" x14ac:dyDescent="0.25">
      <c r="C13" s="3"/>
      <c r="D13" s="3"/>
    </row>
    <row r="14" spans="2:7" x14ac:dyDescent="0.25">
      <c r="C14" s="4"/>
      <c r="D14" s="4"/>
    </row>
    <row r="15" spans="2:7" x14ac:dyDescent="0.25">
      <c r="C15" s="4"/>
      <c r="D15" s="4"/>
    </row>
  </sheetData>
  <mergeCells count="1">
    <mergeCell ref="B1:F1"/>
  </mergeCells>
  <conditionalFormatting sqref="F4:F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ADA2-A671-4C2F-8F8F-106008046A7E}">
  <dimension ref="A1:E4"/>
  <sheetViews>
    <sheetView showGridLines="0" workbookViewId="0">
      <selection activeCell="F13" sqref="F13"/>
    </sheetView>
  </sheetViews>
  <sheetFormatPr defaultRowHeight="15" x14ac:dyDescent="0.25"/>
  <cols>
    <col min="1" max="1" width="36.7109375" customWidth="1"/>
    <col min="2" max="2" width="14" customWidth="1"/>
    <col min="3" max="3" width="20.5703125" customWidth="1"/>
    <col min="4" max="4" width="16" customWidth="1"/>
  </cols>
  <sheetData>
    <row r="1" spans="1:5" ht="36" x14ac:dyDescent="0.25">
      <c r="A1" s="36" t="s">
        <v>163</v>
      </c>
      <c r="B1" s="36"/>
      <c r="C1" s="36"/>
      <c r="D1" s="36"/>
      <c r="E1" s="36"/>
    </row>
    <row r="3" spans="1:5" ht="18.75" x14ac:dyDescent="0.25">
      <c r="B3" s="19" t="s">
        <v>107</v>
      </c>
      <c r="C3" s="19" t="s">
        <v>108</v>
      </c>
      <c r="D3" s="19" t="s">
        <v>109</v>
      </c>
    </row>
    <row r="4" spans="1:5" ht="15.75" x14ac:dyDescent="0.25">
      <c r="A4" s="33" t="s">
        <v>164</v>
      </c>
      <c r="B4" s="6">
        <f>AVERAGE(Movies[imdb_rating])</f>
        <v>7.9473684210526327</v>
      </c>
      <c r="C4" s="18">
        <f>MEDIAN(Movies[imdb_rating])</f>
        <v>8.1</v>
      </c>
      <c r="D4" s="6">
        <f>MODE(Movies[imdb_rating])</f>
        <v>8.4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038E-0112-41FB-B19B-81F223DE7D22}">
  <dimension ref="B1:L22"/>
  <sheetViews>
    <sheetView showGridLines="0" zoomScaleNormal="100" workbookViewId="0">
      <selection activeCell="O6" sqref="O6"/>
    </sheetView>
  </sheetViews>
  <sheetFormatPr defaultRowHeight="15" x14ac:dyDescent="0.25"/>
  <cols>
    <col min="1" max="1" width="3" customWidth="1"/>
    <col min="2" max="2" width="14.7109375" customWidth="1"/>
    <col min="3" max="3" width="20.42578125" bestFit="1" customWidth="1"/>
    <col min="4" max="4" width="16.28515625" customWidth="1"/>
    <col min="5" max="5" width="14.7109375" customWidth="1"/>
    <col min="6" max="6" width="5.85546875" customWidth="1"/>
    <col min="7" max="7" width="5.42578125" customWidth="1"/>
    <col min="8" max="8" width="5.5703125" customWidth="1"/>
    <col min="9" max="10" width="14.140625" customWidth="1"/>
    <col min="11" max="11" width="18.7109375" customWidth="1"/>
    <col min="12" max="12" width="14.140625" customWidth="1"/>
  </cols>
  <sheetData>
    <row r="1" spans="2:12" ht="36" x14ac:dyDescent="0.25">
      <c r="B1" s="36" t="s">
        <v>165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3" spans="2:12" ht="19.5" customHeight="1" x14ac:dyDescent="0.25">
      <c r="B3" s="39" t="s">
        <v>167</v>
      </c>
      <c r="C3" s="39"/>
      <c r="D3" s="39"/>
      <c r="E3" s="39"/>
      <c r="I3" s="39" t="s">
        <v>166</v>
      </c>
      <c r="J3" s="39"/>
      <c r="K3" s="39"/>
      <c r="L3" s="39"/>
    </row>
    <row r="4" spans="2:12" ht="15.75" x14ac:dyDescent="0.25">
      <c r="B4" s="38" t="s">
        <v>110</v>
      </c>
      <c r="C4" s="37" t="s">
        <v>111</v>
      </c>
      <c r="D4" s="37" t="s">
        <v>112</v>
      </c>
      <c r="E4" s="37" t="s">
        <v>121</v>
      </c>
      <c r="I4" s="38" t="s">
        <v>110</v>
      </c>
      <c r="J4" s="37" t="s">
        <v>111</v>
      </c>
      <c r="K4" s="37" t="s">
        <v>112</v>
      </c>
      <c r="L4" s="37" t="s">
        <v>125</v>
      </c>
    </row>
    <row r="5" spans="2:12" x14ac:dyDescent="0.25">
      <c r="B5" t="s">
        <v>113</v>
      </c>
      <c r="C5">
        <v>71</v>
      </c>
      <c r="D5">
        <f t="shared" ref="D5:D12" si="0">C5-juganda</f>
        <v>9</v>
      </c>
      <c r="E5">
        <f>D5*D5</f>
        <v>81</v>
      </c>
      <c r="I5" t="s">
        <v>113</v>
      </c>
      <c r="J5">
        <v>99</v>
      </c>
      <c r="K5">
        <f t="shared" ref="K5:K12" si="1">J5-Karana_mean_income</f>
        <v>37</v>
      </c>
      <c r="L5">
        <f>K5*K5</f>
        <v>1369</v>
      </c>
    </row>
    <row r="6" spans="2:12" x14ac:dyDescent="0.25">
      <c r="B6" t="s">
        <v>114</v>
      </c>
      <c r="C6">
        <v>62</v>
      </c>
      <c r="D6">
        <f t="shared" si="0"/>
        <v>0</v>
      </c>
      <c r="E6">
        <f t="shared" ref="E6:E12" si="2">D6*D6</f>
        <v>0</v>
      </c>
      <c r="I6" t="s">
        <v>114</v>
      </c>
      <c r="J6">
        <v>14</v>
      </c>
      <c r="K6">
        <f t="shared" si="1"/>
        <v>-48</v>
      </c>
      <c r="L6">
        <f t="shared" ref="L6:L12" si="3">K6*K6</f>
        <v>2304</v>
      </c>
    </row>
    <row r="7" spans="2:12" x14ac:dyDescent="0.25">
      <c r="B7" t="s">
        <v>115</v>
      </c>
      <c r="C7">
        <v>66</v>
      </c>
      <c r="D7">
        <f t="shared" si="0"/>
        <v>4</v>
      </c>
      <c r="E7">
        <f t="shared" si="2"/>
        <v>16</v>
      </c>
      <c r="I7" t="s">
        <v>115</v>
      </c>
      <c r="J7">
        <v>75</v>
      </c>
      <c r="K7">
        <f t="shared" si="1"/>
        <v>13</v>
      </c>
      <c r="L7">
        <f t="shared" si="3"/>
        <v>169</v>
      </c>
    </row>
    <row r="8" spans="2:12" x14ac:dyDescent="0.25">
      <c r="B8" t="s">
        <v>116</v>
      </c>
      <c r="C8">
        <v>61</v>
      </c>
      <c r="D8">
        <f t="shared" si="0"/>
        <v>-1</v>
      </c>
      <c r="E8">
        <f t="shared" si="2"/>
        <v>1</v>
      </c>
      <c r="I8" t="s">
        <v>116</v>
      </c>
      <c r="J8">
        <v>84</v>
      </c>
      <c r="K8">
        <f t="shared" si="1"/>
        <v>22</v>
      </c>
      <c r="L8">
        <f t="shared" si="3"/>
        <v>484</v>
      </c>
    </row>
    <row r="9" spans="2:12" x14ac:dyDescent="0.25">
      <c r="B9" t="s">
        <v>117</v>
      </c>
      <c r="C9">
        <v>54</v>
      </c>
      <c r="D9">
        <f t="shared" si="0"/>
        <v>-8</v>
      </c>
      <c r="E9">
        <f t="shared" si="2"/>
        <v>64</v>
      </c>
      <c r="I9" t="s">
        <v>117</v>
      </c>
      <c r="J9">
        <v>44</v>
      </c>
      <c r="K9">
        <f t="shared" si="1"/>
        <v>-18</v>
      </c>
      <c r="L9">
        <f t="shared" si="3"/>
        <v>324</v>
      </c>
    </row>
    <row r="10" spans="2:12" x14ac:dyDescent="0.25">
      <c r="B10" t="s">
        <v>118</v>
      </c>
      <c r="C10">
        <v>67</v>
      </c>
      <c r="D10">
        <f t="shared" si="0"/>
        <v>5</v>
      </c>
      <c r="E10">
        <f t="shared" si="2"/>
        <v>25</v>
      </c>
      <c r="I10" t="s">
        <v>118</v>
      </c>
      <c r="J10">
        <v>54</v>
      </c>
      <c r="K10">
        <f t="shared" si="1"/>
        <v>-8</v>
      </c>
      <c r="L10">
        <f t="shared" si="3"/>
        <v>64</v>
      </c>
    </row>
    <row r="11" spans="2:12" x14ac:dyDescent="0.25">
      <c r="B11" t="s">
        <v>119</v>
      </c>
      <c r="C11">
        <v>55</v>
      </c>
      <c r="D11">
        <f t="shared" si="0"/>
        <v>-7</v>
      </c>
      <c r="E11">
        <f t="shared" si="2"/>
        <v>49</v>
      </c>
      <c r="I11" t="s">
        <v>119</v>
      </c>
      <c r="J11">
        <v>98</v>
      </c>
      <c r="K11">
        <f t="shared" si="1"/>
        <v>36</v>
      </c>
      <c r="L11">
        <f t="shared" si="3"/>
        <v>1296</v>
      </c>
    </row>
    <row r="12" spans="2:12" x14ac:dyDescent="0.25">
      <c r="B12" t="s">
        <v>120</v>
      </c>
      <c r="C12">
        <v>60</v>
      </c>
      <c r="D12">
        <f t="shared" si="0"/>
        <v>-2</v>
      </c>
      <c r="E12">
        <f t="shared" si="2"/>
        <v>4</v>
      </c>
      <c r="I12" t="s">
        <v>120</v>
      </c>
      <c r="J12">
        <v>28</v>
      </c>
      <c r="K12">
        <f t="shared" si="1"/>
        <v>-34</v>
      </c>
      <c r="L12">
        <f t="shared" si="3"/>
        <v>1156</v>
      </c>
    </row>
    <row r="14" spans="2:12" x14ac:dyDescent="0.25">
      <c r="B14" t="s">
        <v>107</v>
      </c>
      <c r="C14">
        <f>AVERAGE(C5:C12)</f>
        <v>62</v>
      </c>
      <c r="I14" t="s">
        <v>107</v>
      </c>
      <c r="J14">
        <f>AVERAGE(J5:J12)</f>
        <v>62</v>
      </c>
    </row>
    <row r="15" spans="2:12" x14ac:dyDescent="0.25">
      <c r="D15" t="s">
        <v>122</v>
      </c>
      <c r="E15">
        <f>SUM(E5:E12)</f>
        <v>240</v>
      </c>
      <c r="K15" t="s">
        <v>122</v>
      </c>
      <c r="L15">
        <f>SUM(L5:L12)</f>
        <v>7166</v>
      </c>
    </row>
    <row r="16" spans="2:12" x14ac:dyDescent="0.25">
      <c r="D16" t="s">
        <v>123</v>
      </c>
      <c r="E16">
        <f>COUNT(E5:E12)</f>
        <v>8</v>
      </c>
      <c r="K16" t="s">
        <v>123</v>
      </c>
      <c r="L16">
        <f>COUNT(L5:L12)</f>
        <v>8</v>
      </c>
    </row>
    <row r="17" spans="3:12" x14ac:dyDescent="0.25">
      <c r="D17" s="8" t="s">
        <v>124</v>
      </c>
      <c r="E17" s="14">
        <f>E15/E16</f>
        <v>30</v>
      </c>
      <c r="K17" s="9" t="s">
        <v>124</v>
      </c>
      <c r="L17" s="9">
        <f>L15/L16</f>
        <v>895.75</v>
      </c>
    </row>
    <row r="18" spans="3:12" x14ac:dyDescent="0.25">
      <c r="D18" s="10" t="s">
        <v>126</v>
      </c>
      <c r="E18" s="11">
        <f>SQRT(E17)</f>
        <v>5.4772255750516612</v>
      </c>
      <c r="F18" s="6"/>
      <c r="K18" s="10" t="s">
        <v>126</v>
      </c>
      <c r="L18" s="11">
        <f>SQRT(L17)</f>
        <v>29.929082845954369</v>
      </c>
    </row>
    <row r="21" spans="3:12" x14ac:dyDescent="0.25">
      <c r="D21" s="40" t="s">
        <v>124</v>
      </c>
      <c r="E21" s="40" t="s">
        <v>126</v>
      </c>
    </row>
    <row r="22" spans="3:12" ht="15.75" x14ac:dyDescent="0.25">
      <c r="C22" s="41" t="s">
        <v>168</v>
      </c>
      <c r="D22" s="6">
        <f>_xlfn.VAR.P(Movies[imdb_rating])</f>
        <v>1.3577562326869645</v>
      </c>
      <c r="E22" s="5">
        <f>_xlfn.STDEV.P(Movies[imdb_rating])</f>
        <v>1.165227974555608</v>
      </c>
    </row>
  </sheetData>
  <mergeCells count="3">
    <mergeCell ref="B3:E3"/>
    <mergeCell ref="I3:L3"/>
    <mergeCell ref="B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D36B-2267-429E-8863-03D43C333AD4}">
  <dimension ref="A1:I25"/>
  <sheetViews>
    <sheetView showGridLines="0" tabSelected="1" topLeftCell="A7" zoomScale="90" zoomScaleNormal="90" workbookViewId="0">
      <selection activeCell="K12" sqref="K12"/>
    </sheetView>
  </sheetViews>
  <sheetFormatPr defaultRowHeight="15" x14ac:dyDescent="0.25"/>
  <cols>
    <col min="1" max="1" width="6" customWidth="1"/>
    <col min="2" max="2" width="27.28515625" customWidth="1"/>
    <col min="3" max="3" width="21.7109375" customWidth="1"/>
    <col min="4" max="4" width="8.5703125" customWidth="1"/>
    <col min="5" max="5" width="23.85546875" customWidth="1"/>
    <col min="6" max="6" width="28" customWidth="1"/>
    <col min="7" max="7" width="5.28515625" customWidth="1"/>
    <col min="8" max="9" width="24.140625" bestFit="1" customWidth="1"/>
    <col min="10" max="10" width="21.5703125" customWidth="1"/>
  </cols>
  <sheetData>
    <row r="1" spans="1:9" ht="36" x14ac:dyDescent="0.25">
      <c r="A1" s="36" t="s">
        <v>128</v>
      </c>
      <c r="B1" s="36"/>
      <c r="C1" s="36"/>
      <c r="D1" s="36"/>
      <c r="E1" s="36"/>
      <c r="F1" s="36"/>
      <c r="G1" s="36"/>
      <c r="H1" s="36"/>
      <c r="I1" s="36"/>
    </row>
    <row r="2" spans="1:9" ht="27.75" customHeight="1" x14ac:dyDescent="0.25">
      <c r="B2" s="44" t="s">
        <v>169</v>
      </c>
      <c r="C2" s="44"/>
      <c r="E2" s="44" t="s">
        <v>136</v>
      </c>
      <c r="F2" s="44"/>
      <c r="H2" s="44" t="s">
        <v>139</v>
      </c>
      <c r="I2" s="44"/>
    </row>
    <row r="3" spans="1:9" x14ac:dyDescent="0.25">
      <c r="B3" s="15" t="s">
        <v>127</v>
      </c>
      <c r="C3" s="15" t="s">
        <v>170</v>
      </c>
      <c r="E3" s="16" t="s">
        <v>129</v>
      </c>
      <c r="F3" s="16" t="s">
        <v>130</v>
      </c>
      <c r="H3" s="13" t="s">
        <v>137</v>
      </c>
      <c r="I3" s="13" t="s">
        <v>138</v>
      </c>
    </row>
    <row r="4" spans="1:9" x14ac:dyDescent="0.25">
      <c r="B4">
        <v>1760</v>
      </c>
      <c r="C4">
        <v>2.64</v>
      </c>
      <c r="E4">
        <v>180</v>
      </c>
      <c r="F4">
        <v>80</v>
      </c>
      <c r="H4">
        <v>10</v>
      </c>
      <c r="I4">
        <v>8</v>
      </c>
    </row>
    <row r="5" spans="1:9" x14ac:dyDescent="0.25">
      <c r="B5">
        <v>1943</v>
      </c>
      <c r="C5">
        <v>2.98</v>
      </c>
      <c r="E5">
        <v>175</v>
      </c>
      <c r="F5">
        <v>176</v>
      </c>
      <c r="H5">
        <v>60</v>
      </c>
      <c r="I5">
        <v>4</v>
      </c>
    </row>
    <row r="6" spans="1:9" x14ac:dyDescent="0.25">
      <c r="B6">
        <v>1914</v>
      </c>
      <c r="C6">
        <v>3.13</v>
      </c>
      <c r="E6">
        <v>130</v>
      </c>
      <c r="F6">
        <v>78</v>
      </c>
      <c r="H6">
        <v>0</v>
      </c>
      <c r="I6">
        <v>9</v>
      </c>
    </row>
    <row r="7" spans="1:9" x14ac:dyDescent="0.25">
      <c r="B7">
        <v>1618</v>
      </c>
      <c r="C7">
        <v>1.76</v>
      </c>
      <c r="E7">
        <v>156</v>
      </c>
      <c r="F7">
        <v>200</v>
      </c>
      <c r="H7">
        <v>120</v>
      </c>
      <c r="I7">
        <v>2</v>
      </c>
    </row>
    <row r="8" spans="1:9" x14ac:dyDescent="0.25">
      <c r="B8">
        <v>1369</v>
      </c>
      <c r="C8">
        <v>1.99</v>
      </c>
      <c r="E8">
        <v>162</v>
      </c>
      <c r="F8">
        <v>91</v>
      </c>
      <c r="H8">
        <v>30</v>
      </c>
      <c r="I8">
        <v>7</v>
      </c>
    </row>
    <row r="9" spans="1:9" x14ac:dyDescent="0.25">
      <c r="E9">
        <v>163</v>
      </c>
      <c r="F9">
        <v>175</v>
      </c>
      <c r="H9">
        <v>25</v>
      </c>
      <c r="I9">
        <v>7</v>
      </c>
    </row>
    <row r="10" spans="1:9" x14ac:dyDescent="0.25">
      <c r="B10" s="12" t="s">
        <v>128</v>
      </c>
      <c r="C10" s="12">
        <f>CORREL(B4:B8,C4:C8)</f>
        <v>0.86003793983378041</v>
      </c>
      <c r="E10">
        <v>160</v>
      </c>
      <c r="F10">
        <v>88</v>
      </c>
      <c r="H10">
        <v>5</v>
      </c>
      <c r="I10">
        <v>9</v>
      </c>
    </row>
    <row r="11" spans="1:9" x14ac:dyDescent="0.25">
      <c r="E11" s="16" t="s">
        <v>131</v>
      </c>
      <c r="F11" s="16">
        <f>CORREL(E4:E10,F4:F10)</f>
        <v>0.2011101110427804</v>
      </c>
      <c r="H11" s="13" t="s">
        <v>128</v>
      </c>
      <c r="I11" s="13">
        <f>CORREL(H4:H8,I4:I8)</f>
        <v>-0.97704659328154353</v>
      </c>
    </row>
    <row r="24" spans="2:4" ht="15.75" x14ac:dyDescent="0.25">
      <c r="C24" s="42" t="s">
        <v>128</v>
      </c>
    </row>
    <row r="25" spans="2:4" ht="15.75" x14ac:dyDescent="0.25">
      <c r="B25" s="43" t="s">
        <v>171</v>
      </c>
      <c r="C25">
        <f>CORREL(Movies[imdb_rating],Movies[revenue USD(mln)])</f>
        <v>6.6129647375118131E-2</v>
      </c>
      <c r="D25" s="8" t="s">
        <v>132</v>
      </c>
    </row>
  </sheetData>
  <mergeCells count="4">
    <mergeCell ref="B2:C2"/>
    <mergeCell ref="E2:F2"/>
    <mergeCell ref="H2:I2"/>
    <mergeCell ref="A1:I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Table of Content</vt:lpstr>
      <vt:lpstr>movies</vt:lpstr>
      <vt:lpstr>financials</vt:lpstr>
      <vt:lpstr>languages</vt:lpstr>
      <vt:lpstr>Total, Average, % Revenue</vt:lpstr>
      <vt:lpstr>Marvel Financial</vt:lpstr>
      <vt:lpstr>Mean, Median, Mode</vt:lpstr>
      <vt:lpstr>Variance &amp; Std Deviation</vt:lpstr>
      <vt:lpstr>Correlation</vt:lpstr>
      <vt:lpstr>juganda</vt:lpstr>
      <vt:lpstr>juganda_mean</vt:lpstr>
      <vt:lpstr>juganda_mean_income</vt:lpstr>
      <vt:lpstr>Karana_mean_income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 M  COMPUTER</cp:lastModifiedBy>
  <dcterms:created xsi:type="dcterms:W3CDTF">2015-06-05T18:17:20Z</dcterms:created>
  <dcterms:modified xsi:type="dcterms:W3CDTF">2025-01-09T06:28:00Z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