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h/Downloads/208w-project/"/>
    </mc:Choice>
  </mc:AlternateContent>
  <xr:revisionPtr revIDLastSave="0" documentId="13_ncr:1_{4D79FE93-DBF7-BF44-9658-790770D7105D}" xr6:coauthVersionLast="47" xr6:coauthVersionMax="47" xr10:uidLastSave="{00000000-0000-0000-0000-000000000000}"/>
  <bookViews>
    <workbookView xWindow="0" yWindow="500" windowWidth="28800" windowHeight="15880" activeTab="2" xr2:uid="{92405E1C-4ADC-1940-9C9A-9D52193FAA70}"/>
  </bookViews>
  <sheets>
    <sheet name="Data 1 " sheetId="3" r:id="rId1"/>
    <sheet name="Data 2" sheetId="2" r:id="rId2"/>
    <sheet name="Model 1" sheetId="4" r:id="rId3"/>
  </sheets>
  <definedNames>
    <definedName name="Addarg1">#REF!</definedName>
    <definedName name="Addarg2">#REF!</definedName>
    <definedName name="Addarg3">#REF!</definedName>
    <definedName name="Addfunc">#REF!</definedName>
    <definedName name="anscount" hidden="1">6</definedName>
    <definedName name="answer_opt1">#REF!</definedName>
    <definedName name="answer_opt10">#REF!</definedName>
    <definedName name="answer_opt11">#REF!</definedName>
    <definedName name="answer_opt12">#REF!</definedName>
    <definedName name="answer_opt13">#REF!</definedName>
    <definedName name="answer_opt14">#REF!</definedName>
    <definedName name="answer_opt15">#REF!</definedName>
    <definedName name="answer_opt16">#REF!</definedName>
    <definedName name="answer_opt17">#REF!</definedName>
    <definedName name="answer_opt18">#REF!</definedName>
    <definedName name="answer_opt19">#REF!</definedName>
    <definedName name="answer_opt2">#REF!</definedName>
    <definedName name="answer_opt3">#REF!</definedName>
    <definedName name="answer_opt4">#REF!</definedName>
    <definedName name="answer_opt5">#REF!</definedName>
    <definedName name="answer_opt6">#REF!</definedName>
    <definedName name="answer_opt7">#REF!</definedName>
    <definedName name="answer_opt8">#REF!</definedName>
    <definedName name="answer_opt9">#REF!</definedName>
    <definedName name="Delfunc">#REF!</definedName>
    <definedName name="Help1_Click">[0]!Help1_Click</definedName>
    <definedName name="Help2_Click">[0]!Help2_Click</definedName>
    <definedName name="LabelName">#REF!</definedName>
    <definedName name="Loadarg1">#REF!</definedName>
    <definedName name="Loadarg2">#REF!</definedName>
    <definedName name="Loadfunc">#REF!</definedName>
    <definedName name="msg_branch">#REF!</definedName>
    <definedName name="msg_done">#REF!</definedName>
    <definedName name="msg_feasible">#REF!</definedName>
    <definedName name="msg_fpsetup">#REF!</definedName>
    <definedName name="msg_incumb">#REF!</definedName>
    <definedName name="msg_limits">#REF!</definedName>
    <definedName name="msg_setcell">#REF!</definedName>
    <definedName name="msg_setup">#REF!</definedName>
    <definedName name="msg_trial">#REF!</definedName>
    <definedName name="OKarg1">#REF!</definedName>
    <definedName name="OKarg2">#REF!</definedName>
    <definedName name="OKarg3">#REF!</definedName>
    <definedName name="Okarg4">#REF!</definedName>
    <definedName name="Okarg5">#REF!</definedName>
    <definedName name="Okarg6">#REF!</definedName>
    <definedName name="OkFunc">#REF!</definedName>
    <definedName name="Optarg1">#REF!</definedName>
    <definedName name="Optarg10">#REF!</definedName>
    <definedName name="Optarg11">#REF!</definedName>
    <definedName name="Optarg12">#REF!</definedName>
    <definedName name="Optarg13">#REF!</definedName>
    <definedName name="Optarg14">#REF!</definedName>
    <definedName name="Optarg15">#REF!</definedName>
    <definedName name="Optarg16">#REF!</definedName>
    <definedName name="Optarg17">#REF!</definedName>
    <definedName name="Optarg18">#REF!</definedName>
    <definedName name="Optarg19">#REF!</definedName>
    <definedName name="Optarg2">#REF!</definedName>
    <definedName name="Optarg20">#REF!</definedName>
    <definedName name="Optarg21">#REF!</definedName>
    <definedName name="Optarg22">#REF!</definedName>
    <definedName name="Optarg23">#REF!</definedName>
    <definedName name="Optarg24">#REF!</definedName>
    <definedName name="Optarg25">#REF!</definedName>
    <definedName name="Optarg26">#REF!</definedName>
    <definedName name="Optarg27">#REF!</definedName>
    <definedName name="Optarg28">#REF!</definedName>
    <definedName name="Optarg29">#REF!</definedName>
    <definedName name="Optarg3">#REF!</definedName>
    <definedName name="OptArg30">#REF!</definedName>
    <definedName name="Optarg4">#REF!</definedName>
    <definedName name="Optarg5">#REF!</definedName>
    <definedName name="Optarg6">#REF!</definedName>
    <definedName name="Optarg7">#REF!</definedName>
    <definedName name="Optarg8">#REF!</definedName>
    <definedName name="Optarg9">#REF!</definedName>
    <definedName name="Optionsfunc">#REF!</definedName>
    <definedName name="Resetfunc">#REF!</definedName>
    <definedName name="Savearg1">#REF!</definedName>
    <definedName name="Savefunc">#REF!</definedName>
    <definedName name="Show">#REF!</definedName>
    <definedName name="showmsg">#REF!</definedName>
    <definedName name="solv_dlg1_acc1">#REF!</definedName>
    <definedName name="solv_dlg1_acc2">#REF!</definedName>
    <definedName name="solv_dlg1_acc3">#REF!</definedName>
    <definedName name="solv_dlg1_acc4">#REF!</definedName>
    <definedName name="solv_dlg1_acc5">#REF!</definedName>
    <definedName name="solv_dlg1_add">#REF!</definedName>
    <definedName name="solv_dlg1_cancel">#REF!</definedName>
    <definedName name="solv_dlg1_lhs">#REF!</definedName>
    <definedName name="solv_dlg1_ok">#REF!</definedName>
    <definedName name="solv_dlg1_rhs">#REF!</definedName>
    <definedName name="solv_dlg2_acc1">#REF!</definedName>
    <definedName name="solv_dlg2_acc2">#REF!</definedName>
    <definedName name="solv_dlg2_acc3">#REF!</definedName>
    <definedName name="solv_dlg2_acc4">#REF!</definedName>
    <definedName name="solv_dlg2_acc5">#REF!</definedName>
    <definedName name="solv_dlg2_acc6">#REF!</definedName>
    <definedName name="solv_dlg2_acc7">#REF!</definedName>
    <definedName name="solv_dlg2_acc8">#REF!</definedName>
    <definedName name="solv_dlg2_acc9">#REF!</definedName>
    <definedName name="solv_dlg2_cancel">#REF!</definedName>
    <definedName name="solv_dlg2_keep">#REF!</definedName>
    <definedName name="solv_dlg2_ok">#REF!</definedName>
    <definedName name="solv_dlg2_outline">#REF!</definedName>
    <definedName name="solv_dlg2_relax">#REF!</definedName>
    <definedName name="solv_dlg2_reports">#REF!</definedName>
    <definedName name="solv_dlg2_restore">#REF!</definedName>
    <definedName name="solv_dlg2_return">#REF!</definedName>
    <definedName name="solv_dlg2_scen">#REF!</definedName>
    <definedName name="solv_dlg2_title">#REF!</definedName>
    <definedName name="solv_dlg3_acc1">#REF!</definedName>
    <definedName name="solv_dlg3_acc2">#REF!</definedName>
    <definedName name="solv_dlg3_acc3">#REF!</definedName>
    <definedName name="solv_dlg3_cont">#REF!</definedName>
    <definedName name="solv_dlg3_scen">#REF!</definedName>
    <definedName name="solv_dlg3_stop">#REF!</definedName>
    <definedName name="solv_dlg3_title">#REF!</definedName>
    <definedName name="solv_dlg4_acc1">#REF!</definedName>
    <definedName name="solv_dlg4_acc2">#REF!</definedName>
    <definedName name="solv_dlg4_acc3">#REF!</definedName>
    <definedName name="solv_dlg4_acc4">#REF!</definedName>
    <definedName name="solv_dlg4_cancel">#REF!</definedName>
    <definedName name="solv_dlg4_load">#REF!</definedName>
    <definedName name="solv_dlg4_save">#REF!</definedName>
    <definedName name="solv_dlg4_select">#REF!</definedName>
    <definedName name="solv_dlg4_select1">#REF!</definedName>
    <definedName name="solv_dlg4_select2">#REF!</definedName>
    <definedName name="solv_dlg4_title">#REF!</definedName>
    <definedName name="solv_dlg5_acc1">#REF!</definedName>
    <definedName name="solv_dlg5_acc2">#REF!</definedName>
    <definedName name="solv_dlg5_acc3">#REF!</definedName>
    <definedName name="solv_dlg5_cancel">#REF!</definedName>
    <definedName name="solv_dlg5_merge">#REF!</definedName>
    <definedName name="solv_dlg5_quest">#REF!</definedName>
    <definedName name="solv_dlg5_replace">#REF!</definedName>
    <definedName name="solv_dlg5_title">#REF!</definedName>
    <definedName name="solv_dlg6_acc1">#REF!</definedName>
    <definedName name="solv_dlg6_acc10">#REF!</definedName>
    <definedName name="solv_dlg6_acc11">#REF!</definedName>
    <definedName name="solv_dlg6_acc12">#REF!</definedName>
    <definedName name="solv_dlg6_acc13">#REF!</definedName>
    <definedName name="solv_dlg6_acc14">#REF!</definedName>
    <definedName name="solv_dlg6_acc15">#REF!</definedName>
    <definedName name="solv_dlg6_acc16">#REF!</definedName>
    <definedName name="solv_dlg6_acc17">#REF!</definedName>
    <definedName name="solv_dlg6_acc18">#REF!</definedName>
    <definedName name="solv_dlg6_acc19">#REF!</definedName>
    <definedName name="solv_dlg6_acc2">#REF!</definedName>
    <definedName name="solv_dlg6_acc20">#REF!</definedName>
    <definedName name="solv_dlg6_acc21">#REF!</definedName>
    <definedName name="solv_dlg6_acc22">#REF!</definedName>
    <definedName name="solv_dlg6_acc23">#REF!</definedName>
    <definedName name="solv_dlg6_acc24">#REF!</definedName>
    <definedName name="solv_dlg6_acc3">#REF!</definedName>
    <definedName name="solv_dlg6_acc4">#REF!</definedName>
    <definedName name="solv_dlg6_acc5">#REF!</definedName>
    <definedName name="solv_dlg6_acc6">#REF!</definedName>
    <definedName name="solv_dlg6_acc7">#REF!</definedName>
    <definedName name="solv_dlg6_acc8">#REF!</definedName>
    <definedName name="solv_dlg6_acc9">#REF!</definedName>
    <definedName name="solv_dlg6_cancel">#REF!</definedName>
    <definedName name="solv_dlg6_central">#REF!</definedName>
    <definedName name="solv_dlg6_conv">#REF!</definedName>
    <definedName name="solv_dlg6_deriv">#REF!</definedName>
    <definedName name="solv_dlg6_evobounds">#REF!</definedName>
    <definedName name="solv_dlg6_evoconv">#REF!</definedName>
    <definedName name="solv_dlg6_evol">#REF!</definedName>
    <definedName name="solv_dlg6_evolu">#REF!</definedName>
    <definedName name="solv_dlg6_evoseed">#REF!</definedName>
    <definedName name="solv_dlg6_fwd">#REF!</definedName>
    <definedName name="solv_dlg6_grg">#REF!</definedName>
    <definedName name="solv_dlg6_ignore">#REF!</definedName>
    <definedName name="solv_dlg6_iter">#REF!</definedName>
    <definedName name="solv_dlg6_iters">#REF!</definedName>
    <definedName name="solv_dlg6_limits">#REF!</definedName>
    <definedName name="solv_dlg6_maxtime">#REF!</definedName>
    <definedName name="solv_dlg6_methods">#REF!</definedName>
    <definedName name="solv_dlg6_mipgap">#REF!</definedName>
    <definedName name="solv_dlg6_multi">#REF!</definedName>
    <definedName name="solv_dlg6_muta">#REF!</definedName>
    <definedName name="solv_dlg6_ok">#REF!</definedName>
    <definedName name="solv_dlg6_pop">#REF!</definedName>
    <definedName name="solv_dlg6_popsize">#REF!</definedName>
    <definedName name="solv_dlg6_prec">#REF!</definedName>
    <definedName name="solv_dlg6_relax">#REF!</definedName>
    <definedName name="solv_dlg6_reqbounds">#REF!</definedName>
    <definedName name="solv_dlg6_scale">#REF!</definedName>
    <definedName name="solv_dlg6_secs">#REF!</definedName>
    <definedName name="solv_dlg6_seed">#REF!</definedName>
    <definedName name="solv_dlg6_sols">#REF!</definedName>
    <definedName name="solv_dlg6_subs">#REF!</definedName>
    <definedName name="solv_dlg6_title">#REF!</definedName>
    <definedName name="solv_dlg6_usemult">#REF!</definedName>
    <definedName name="solv_dlg7_acc1">#REF!</definedName>
    <definedName name="solv_dlg7_acc2">#REF!</definedName>
    <definedName name="solv_dlg7_acc3">#REF!</definedName>
    <definedName name="solv_dlg7_cancel">#REF!</definedName>
    <definedName name="solv_dlg7_ok">#REF!</definedName>
    <definedName name="solv_dlg7_scen">#REF!</definedName>
    <definedName name="solv_dlg7_title">#REF!</definedName>
    <definedName name="solv_dlg8_acc1">#REF!</definedName>
    <definedName name="solv_dlg8_acc10">#REF!</definedName>
    <definedName name="solv_dlg8_acc11">#REF!</definedName>
    <definedName name="solv_dlg8_acc12">#REF!</definedName>
    <definedName name="solv_dlg8_acc13">#REF!</definedName>
    <definedName name="solv_dlg8_acc14">#REF!</definedName>
    <definedName name="solv_dlg8_acc15">#REF!</definedName>
    <definedName name="solv_dlg8_acc16">#REF!</definedName>
    <definedName name="solv_dlg8_acc2">#REF!</definedName>
    <definedName name="solv_dlg8_acc3">#REF!</definedName>
    <definedName name="solv_dlg8_acc4">#REF!</definedName>
    <definedName name="solv_dlg8_acc5">#REF!</definedName>
    <definedName name="solv_dlg8_acc6">#REF!</definedName>
    <definedName name="solv_dlg8_acc7">#REF!</definedName>
    <definedName name="solv_dlg8_acc8">#REF!</definedName>
    <definedName name="solv_dlg8_acc9">#REF!</definedName>
    <definedName name="solv_dlg8_add">#REF!</definedName>
    <definedName name="solv_dlg8_change">#REF!</definedName>
    <definedName name="solv_dlg8_close">#REF!</definedName>
    <definedName name="solv_dlg8_cons">#REF!</definedName>
    <definedName name="solv_dlg8_delete">#REF!</definedName>
    <definedName name="solv_dlg8_load">#REF!</definedName>
    <definedName name="solv_dlg8_max">#REF!</definedName>
    <definedName name="solv_dlg8_method">#REF!</definedName>
    <definedName name="solv_dlg8_min">#REF!</definedName>
    <definedName name="solv_dlg8_nonneg">#REF!</definedName>
    <definedName name="solv_dlg8_obj">#REF!</definedName>
    <definedName name="solv_dlg8_options">#REF!</definedName>
    <definedName name="solv_dlg8_reset">#REF!</definedName>
    <definedName name="solv_dlg8_solve">#REF!</definedName>
    <definedName name="solv_dlg8_title">#REF!</definedName>
    <definedName name="solv_dlg8_to">#REF!</definedName>
    <definedName name="solv_dlg8_val">#REF!</definedName>
    <definedName name="solv_dlg8_vars">#REF!</definedName>
    <definedName name="Solvefunc">#REF!</definedName>
    <definedName name="solver_adj" localSheetId="2" hidden="1">'Model 1'!$C$3:$E$27</definedName>
    <definedName name="solver_ans_bin">#REF!</definedName>
    <definedName name="solver_ans_cont">#REF!</definedName>
    <definedName name="solver_ans_diff">#REF!</definedName>
    <definedName name="solver_ans_integer">#REF!</definedName>
    <definedName name="Solver_bin">#REF!</definedName>
    <definedName name="solver_callback_ret">#REF!</definedName>
    <definedName name="solver_callback_ret_flag">#REF!</definedName>
    <definedName name="Solver_cns">#REF!</definedName>
    <definedName name="solver_crs_eng">#REF!</definedName>
    <definedName name="solver_crs_msg">#REF!</definedName>
    <definedName name="solver_cvg" localSheetId="2" hidden="1">0.0001</definedName>
    <definedName name="solver_dif">#REF!</definedName>
    <definedName name="solver_drv" localSheetId="2" hidden="1">1</definedName>
    <definedName name="solver_eng" localSheetId="2" hidden="1">2</definedName>
    <definedName name="Solver_err_msg">#REF!</definedName>
    <definedName name="Solver_exp_1">#REF!</definedName>
    <definedName name="Solver_exp0">#REF!</definedName>
    <definedName name="Solver_exp1">#REF!</definedName>
    <definedName name="Solver_exp10">#REF!</definedName>
    <definedName name="Solver_exp11">#REF!</definedName>
    <definedName name="Solver_exp12">#REF!</definedName>
    <definedName name="Solver_exp13">#REF!</definedName>
    <definedName name="Solver_exp14">#REF!</definedName>
    <definedName name="Solver_exp15">#REF!</definedName>
    <definedName name="Solver_exp15a">#REF!</definedName>
    <definedName name="Solver_exp16">#REF!</definedName>
    <definedName name="Solver_exp16a">#REF!</definedName>
    <definedName name="Solver_exp17">#REF!</definedName>
    <definedName name="Solver_exp18">#REF!</definedName>
    <definedName name="Solver_exp19">#REF!</definedName>
    <definedName name="Solver_exp2">#REF!</definedName>
    <definedName name="Solver_exp20">#REF!</definedName>
    <definedName name="Solver_exp3">#REF!</definedName>
    <definedName name="Solver_exp4">#REF!</definedName>
    <definedName name="Solver_exp5">#REF!</definedName>
    <definedName name="Solver_exp6">#REF!</definedName>
    <definedName name="Solver_exp7">#REF!</definedName>
    <definedName name="Solver_exp8">#REF!</definedName>
    <definedName name="Solver_exp9">#REF!</definedName>
    <definedName name="solver_grg_eng">#REF!</definedName>
    <definedName name="solver_hlp_bounds1">#REF!</definedName>
    <definedName name="solver_hlp_bounds1evo">#REF!</definedName>
    <definedName name="solver_hlp_bounds1grg">#REF!</definedName>
    <definedName name="Solver_hlp_conv1">#REF!</definedName>
    <definedName name="Solver_hlp_conv1a">#REF!</definedName>
    <definedName name="solver_hlp_conv1b">#REF!</definedName>
    <definedName name="solver_hlp_deriv1">#REF!</definedName>
    <definedName name="solver_hlp_deriv1a">#REF!</definedName>
    <definedName name="Solver_hlp_iterations1">#REF!</definedName>
    <definedName name="Solver_hlp_iterations1a">#REF!</definedName>
    <definedName name="Solver_hlp_keep1">#REF!</definedName>
    <definedName name="Solver_hlp_keep1a">#REF!</definedName>
    <definedName name="Solver_hlp_load1">#REF!</definedName>
    <definedName name="Solver_hlp_load1a">#REF!</definedName>
    <definedName name="Solver_hlp_main1">#REF!</definedName>
    <definedName name="Solver_hlp_main1a">#REF!</definedName>
    <definedName name="Solver_hlp_main2">#REF!</definedName>
    <definedName name="Solver_hlp_main2a">#REF!</definedName>
    <definedName name="Solver_hlp_main3">#REF!</definedName>
    <definedName name="Solver_hlp_main3a">#REF!</definedName>
    <definedName name="Solver_hlp_main4">#REF!</definedName>
    <definedName name="Solver_hlp_main4a">#REF!</definedName>
    <definedName name="Solver_hlp_main5">#REF!</definedName>
    <definedName name="Solver_hlp_main5a">#REF!</definedName>
    <definedName name="solver_hlp_maxint1">#REF!</definedName>
    <definedName name="solver_hlp_maxint1a">#REF!</definedName>
    <definedName name="Solver_hlp_mtwi1">#REF!</definedName>
    <definedName name="Solver_hlp_mtwi1a">#REF!</definedName>
    <definedName name="Solver_hlp_multi1">#REF!</definedName>
    <definedName name="Solver_hlp_multi1a">#REF!</definedName>
    <definedName name="Solver_hlp_mutate1">#REF!</definedName>
    <definedName name="Solver_hlp_mutate1a">#REF!</definedName>
    <definedName name="Solver_hlp_pop1">#REF!</definedName>
    <definedName name="Solver_hlp_pop1evo">#REF!</definedName>
    <definedName name="Solver_hlp_pop1grg">#REF!</definedName>
    <definedName name="Solver_hlp_precision1">#REF!</definedName>
    <definedName name="Solver_hlp_precision1a">#REF!</definedName>
    <definedName name="solver_hlp_relax1">#REF!</definedName>
    <definedName name="solver_hlp_relax1a">#REF!</definedName>
    <definedName name="Solver_hlp_reports1">#REF!</definedName>
    <definedName name="Solver_hlp_reports1a">#REF!</definedName>
    <definedName name="Solver_hlp_restore1">#REF!</definedName>
    <definedName name="Solver_hlp_restore1a">#REF!</definedName>
    <definedName name="Solver_hlp_save1">#REF!</definedName>
    <definedName name="Solver_hlp_save1a">#REF!</definedName>
    <definedName name="Solver_hlp_scaling1">#REF!</definedName>
    <definedName name="Solver_hlp_scaling1a">#REF!</definedName>
    <definedName name="Solver_hlp_seed1">#REF!</definedName>
    <definedName name="Solver_hlp_seed1evo">#REF!</definedName>
    <definedName name="Solver_hlp_seed1grg">#REF!</definedName>
    <definedName name="Solver_hlp_showiter1">#REF!</definedName>
    <definedName name="Solver_hlp_showiter1a">#REF!</definedName>
    <definedName name="Solver_hlp_subprob1">#REF!</definedName>
    <definedName name="solver_hlp_subprob1a">#REF!</definedName>
    <definedName name="Solver_hlp_time1">#REF!</definedName>
    <definedName name="Solver_hlp_time1a">#REF!</definedName>
    <definedName name="solver_hlp_tol1">#REF!</definedName>
    <definedName name="solver_hlp_tol1a">#REF!</definedName>
    <definedName name="Solver_hlp_without1">#REF!</definedName>
    <definedName name="Solver_hlp_without1a">#REF!</definedName>
    <definedName name="Solver_infmsg1">#REF!</definedName>
    <definedName name="Solver_infmsg2">#REF!</definedName>
    <definedName name="Solver_infmsg3">#REF!</definedName>
    <definedName name="Solver_infmsg4">#REF!</definedName>
    <definedName name="Solver_infmsg5">#REF!</definedName>
    <definedName name="solver_input">#REF!</definedName>
    <definedName name="Solver_int">#REF!</definedName>
    <definedName name="solver_itr" localSheetId="2" hidden="1">2147483647</definedName>
    <definedName name="solver_lhs1" localSheetId="2" hidden="1">'Model 1'!$C$3:$E$27</definedName>
    <definedName name="solver_lhs10" localSheetId="2" hidden="1">'Model 1'!$F$50</definedName>
    <definedName name="solver_lhs11" localSheetId="2" hidden="1">'Model 1'!$F$51</definedName>
    <definedName name="solver_lhs12" localSheetId="2" hidden="1">'Model 1'!$F$52</definedName>
    <definedName name="solver_lhs13" localSheetId="2" hidden="1">'Model 1'!$F$53</definedName>
    <definedName name="solver_lhs14" localSheetId="2" hidden="1">'Model 1'!$F$55</definedName>
    <definedName name="solver_lhs15" localSheetId="2" hidden="1">'Model 1'!$F$57</definedName>
    <definedName name="solver_lhs16" localSheetId="2" hidden="1">'Model 1'!$F$58</definedName>
    <definedName name="solver_lhs17" localSheetId="2" hidden="1">'Model 1'!$F$59</definedName>
    <definedName name="solver_lhs18" localSheetId="2" hidden="1">'Model 1'!$F$60:$F$62</definedName>
    <definedName name="solver_lhs19" localSheetId="2" hidden="1">'Model 1'!$I$39</definedName>
    <definedName name="solver_lhs2" localSheetId="2" hidden="1">'Model 1'!$F$38</definedName>
    <definedName name="solver_lhs20" localSheetId="2" hidden="1">'Model 1'!$L$37:$L$61</definedName>
    <definedName name="solver_lhs21" localSheetId="2" hidden="1">'Model 1'!$L$62:$L$67</definedName>
    <definedName name="solver_lhs22" localSheetId="2" hidden="1">'Model 1'!$L$68:$L$70</definedName>
    <definedName name="solver_lhs23" localSheetId="2" hidden="1">'Model 1'!$L$71:$L$73</definedName>
    <definedName name="solver_lhs3" localSheetId="2" hidden="1">'Model 1'!$F$40</definedName>
    <definedName name="solver_lhs4" localSheetId="2" hidden="1">'Model 1'!$F$41</definedName>
    <definedName name="solver_lhs5" localSheetId="2" hidden="1">'Model 1'!$F$42</definedName>
    <definedName name="solver_lhs6" localSheetId="2" hidden="1">'Model 1'!$F$43</definedName>
    <definedName name="solver_lhs7" localSheetId="2" hidden="1">'Model 1'!$F$44</definedName>
    <definedName name="solver_lhs8" localSheetId="2" hidden="1">'Model 1'!$F$46</definedName>
    <definedName name="solver_lhs9" localSheetId="2" hidden="1">'Model 1'!$F$47:$F$49</definedName>
    <definedName name="solver_lin" localSheetId="2" hidden="1">1</definedName>
    <definedName name="Solver_linmsg1">#REF!</definedName>
    <definedName name="Solver_linmsg2">#REF!</definedName>
    <definedName name="Solver_linmsg3">#REF!</definedName>
    <definedName name="Solver_linmsg4">#REF!</definedName>
    <definedName name="Solver_linmsg5">#REF!</definedName>
    <definedName name="Solver_linmsg7">#REF!</definedName>
    <definedName name="Solver_linmsg8">#REF!</definedName>
    <definedName name="solver_lp_eng">#REF!</definedName>
    <definedName name="solver_ls_eng">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g_1">#REF!</definedName>
    <definedName name="Solver_msg_10">#REF!</definedName>
    <definedName name="Solver_msg_100">#REF!</definedName>
    <definedName name="Solver_msg_101">#REF!</definedName>
    <definedName name="Solver_msg_102">#REF!</definedName>
    <definedName name="Solver_msg_103">#REF!</definedName>
    <definedName name="Solver_msg_104">#REF!</definedName>
    <definedName name="Solver_msg_105">#REF!</definedName>
    <definedName name="Solver_msg_106">#REF!</definedName>
    <definedName name="Solver_msg_107">#REF!</definedName>
    <definedName name="Solver_msg_108">#REF!</definedName>
    <definedName name="Solver_msg_109">#REF!</definedName>
    <definedName name="solver_msg_10a">#REF!</definedName>
    <definedName name="Solver_msg_11">#REF!</definedName>
    <definedName name="Solver_msg_110">#REF!</definedName>
    <definedName name="Solver_msg_111">#REF!</definedName>
    <definedName name="Solver_msg_112">#REF!</definedName>
    <definedName name="Solver_msg_113">#REF!</definedName>
    <definedName name="Solver_msg_114">#REF!</definedName>
    <definedName name="Solver_msg_115">#REF!</definedName>
    <definedName name="Solver_msg_116">#REF!</definedName>
    <definedName name="Solver_msg_117">#REF!</definedName>
    <definedName name="Solver_msg_118">#REF!</definedName>
    <definedName name="Solver_msg_119">#REF!</definedName>
    <definedName name="Solver_msg_12">#REF!</definedName>
    <definedName name="Solver_msg_120">#REF!</definedName>
    <definedName name="Solver_msg_121">#REF!</definedName>
    <definedName name="Solver_msg_122">#REF!</definedName>
    <definedName name="Solver_msg_123">#REF!</definedName>
    <definedName name="Solver_msg_124">#REF!</definedName>
    <definedName name="Solver_msg_125">#REF!</definedName>
    <definedName name="Solver_msg_126">#REF!</definedName>
    <definedName name="Solver_msg_127">#REF!</definedName>
    <definedName name="Solver_msg_128">#REF!</definedName>
    <definedName name="Solver_msg_129">#REF!</definedName>
    <definedName name="Solver_msg_13">#REF!</definedName>
    <definedName name="Solver_msg_130">#REF!</definedName>
    <definedName name="Solver_msg_131">#REF!</definedName>
    <definedName name="Solver_msg_132">#REF!</definedName>
    <definedName name="Solver_msg_14">#REF!</definedName>
    <definedName name="Solver_msg_15">#REF!</definedName>
    <definedName name="Solver_msg_150">#REF!</definedName>
    <definedName name="Solver_msg_151">#REF!</definedName>
    <definedName name="Solver_msg_16">#REF!</definedName>
    <definedName name="Solver_msg_17">#REF!</definedName>
    <definedName name="Solver_msg_18">#REF!</definedName>
    <definedName name="Solver_msg_19">#REF!</definedName>
    <definedName name="solver_msg_1a">#REF!</definedName>
    <definedName name="solver_msg_1b">#REF!</definedName>
    <definedName name="solver_msg_1c">#REF!</definedName>
    <definedName name="Solver_msg_2">#REF!</definedName>
    <definedName name="Solver_msg_20">#REF!</definedName>
    <definedName name="Solver_msg_21">#REF!</definedName>
    <definedName name="Solver_msg_22">#REF!</definedName>
    <definedName name="Solver_msg_23">#REF!</definedName>
    <definedName name="Solver_msg_23a">#REF!</definedName>
    <definedName name="Solver_msg_24">#REF!</definedName>
    <definedName name="Solver_msg_24a">#REF!</definedName>
    <definedName name="Solver_msg_24b">#REF!</definedName>
    <definedName name="Solver_msg_25">#REF!</definedName>
    <definedName name="solver_msg_25a">#REF!</definedName>
    <definedName name="solver_msg_25b">#REF!</definedName>
    <definedName name="solver_msg_25c">#REF!</definedName>
    <definedName name="solver_msg_25d">#REF!</definedName>
    <definedName name="Solver_msg_26">#REF!</definedName>
    <definedName name="Solver_msg_27">#REF!</definedName>
    <definedName name="Solver_msg_28">#REF!</definedName>
    <definedName name="Solver_msg_28a">#REF!</definedName>
    <definedName name="Solver_msg_28b">#REF!</definedName>
    <definedName name="Solver_msg_28c">#REF!</definedName>
    <definedName name="solver_msg_28d">#REF!</definedName>
    <definedName name="Solver_msg_29">#REF!</definedName>
    <definedName name="Solver_msg_29a">#REF!</definedName>
    <definedName name="solver_msg_29b">#REF!</definedName>
    <definedName name="Solver_msg_3">#REF!</definedName>
    <definedName name="Solver_msg_30">#REF!</definedName>
    <definedName name="Solver_msg_31">#REF!</definedName>
    <definedName name="Solver_msg_32">#REF!</definedName>
    <definedName name="Solver_msg_33">#REF!</definedName>
    <definedName name="Solver_msg_34">#REF!</definedName>
    <definedName name="Solver_msg_35">#REF!</definedName>
    <definedName name="Solver_msg_37">#REF!</definedName>
    <definedName name="Solver_msg_38">#REF!</definedName>
    <definedName name="Solver_msg_39">#REF!</definedName>
    <definedName name="solver_msg_3a">#REF!</definedName>
    <definedName name="Solver_msg_4">#REF!</definedName>
    <definedName name="Solver_msg_40">#REF!</definedName>
    <definedName name="Solver_msg_41">#REF!</definedName>
    <definedName name="Solver_msg_42">#REF!</definedName>
    <definedName name="Solver_msg_43">#REF!</definedName>
    <definedName name="Solver_msg_44">#REF!</definedName>
    <definedName name="solver_msg_44a">#REF!</definedName>
    <definedName name="solver_msg_44b">#REF!</definedName>
    <definedName name="Solver_msg_47">#REF!</definedName>
    <definedName name="Solver_msg_48">#REF!</definedName>
    <definedName name="Solver_msg_49">#REF!</definedName>
    <definedName name="Solver_msg_5">#REF!</definedName>
    <definedName name="Solver_msg_50">#REF!</definedName>
    <definedName name="Solver_msg_51">#REF!</definedName>
    <definedName name="Solver_msg_52">#REF!</definedName>
    <definedName name="Solver_msg_53">#REF!</definedName>
    <definedName name="Solver_msg_54">#REF!</definedName>
    <definedName name="Solver_msg_55">#REF!</definedName>
    <definedName name="Solver_msg_56">#REF!</definedName>
    <definedName name="Solver_msg_57">#REF!</definedName>
    <definedName name="Solver_msg_58">#REF!</definedName>
    <definedName name="Solver_msg_59">#REF!</definedName>
    <definedName name="Solver_msg_6">#REF!</definedName>
    <definedName name="Solver_msg_60">#REF!</definedName>
    <definedName name="Solver_msg_61">#REF!</definedName>
    <definedName name="Solver_msg_62">#REF!</definedName>
    <definedName name="Solver_msg_63">#REF!</definedName>
    <definedName name="Solver_msg_64">#REF!</definedName>
    <definedName name="Solver_msg_65">#REF!</definedName>
    <definedName name="Solver_msg_66">#REF!</definedName>
    <definedName name="Solver_msg_67">#REF!</definedName>
    <definedName name="Solver_msg_68">#REF!</definedName>
    <definedName name="Solver_msg_69">#REF!</definedName>
    <definedName name="solver_msg_6b">#REF!</definedName>
    <definedName name="solver_msg_6c">#REF!</definedName>
    <definedName name="Solver_msg_7">#REF!</definedName>
    <definedName name="Solver_msg_70">#REF!</definedName>
    <definedName name="Solver_msg_71">#REF!</definedName>
    <definedName name="Solver_msg_72">#REF!</definedName>
    <definedName name="Solver_msg_73">#REF!</definedName>
    <definedName name="Solver_msg_74">#REF!</definedName>
    <definedName name="Solver_msg_75">#REF!</definedName>
    <definedName name="Solver_msg_76">#REF!</definedName>
    <definedName name="Solver_msg_77">#REF!</definedName>
    <definedName name="Solver_msg_78">#REF!</definedName>
    <definedName name="Solver_msg_79">#REF!</definedName>
    <definedName name="solver_msg_7a">#REF!</definedName>
    <definedName name="Solver_msg_8">#REF!</definedName>
    <definedName name="Solver_msg_80">#REF!</definedName>
    <definedName name="Solver_msg_81">#REF!</definedName>
    <definedName name="Solver_msg_82">#REF!</definedName>
    <definedName name="Solver_msg_83">#REF!</definedName>
    <definedName name="Solver_msg_84">#REF!</definedName>
    <definedName name="Solver_msg_85">#REF!</definedName>
    <definedName name="Solver_msg_86">#REF!</definedName>
    <definedName name="Solver_msg_87">#REF!</definedName>
    <definedName name="Solver_msg_88">#REF!</definedName>
    <definedName name="Solver_msg_89">#REF!</definedName>
    <definedName name="Solver_msg_9">#REF!</definedName>
    <definedName name="Solver_msg_90">#REF!</definedName>
    <definedName name="Solver_msg_91">#REF!</definedName>
    <definedName name="Solver_msg_92">#REF!</definedName>
    <definedName name="Solver_msg_93">#REF!</definedName>
    <definedName name="Solver_msg_94">#REF!</definedName>
    <definedName name="Solver_msg_95">#REF!</definedName>
    <definedName name="Solver_msg_96">#REF!</definedName>
    <definedName name="Solver_msg_97">#REF!</definedName>
    <definedName name="Solver_msg_98">#REF!</definedName>
    <definedName name="Solver_msg_99">#REF!</definedName>
    <definedName name="solver_msg_9a">#REF!</definedName>
    <definedName name="solver_msg_9s">#REF!</definedName>
    <definedName name="Solver_msg_ans1">#REF!</definedName>
    <definedName name="Solver_msg_ans2">#REF!</definedName>
    <definedName name="Solver_msg_ans3">#REF!</definedName>
    <definedName name="Solver_msg_ans4">#REF!</definedName>
    <definedName name="Solver_msg_ans5">#REF!</definedName>
    <definedName name="Solver_msg_ans6">#REF!</definedName>
    <definedName name="Solver_msg_bin">#REF!</definedName>
    <definedName name="solver_msg_dif">#REF!</definedName>
    <definedName name="Solver_msg_engine">#REF!</definedName>
    <definedName name="Solver_msg_int">#REF!</definedName>
    <definedName name="solver_msg_mtwi">#REF!</definedName>
    <definedName name="solver_msg_mut">#REF!</definedName>
    <definedName name="Solver_msg_options">#REF!</definedName>
    <definedName name="solver_msg_se">#REF!</definedName>
    <definedName name="solver_msg_tol">#REF!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23</definedName>
    <definedName name="solver_opt" localSheetId="2" hidden="1">'Model 1'!$C$32</definedName>
    <definedName name="solver_opt" hidden="1">3</definedName>
    <definedName name="solver_pop1">#REF!</definedName>
    <definedName name="solver_pop2">#REF!</definedName>
    <definedName name="solver_pop3">#REF!</definedName>
    <definedName name="solver_pop4">#REF!</definedName>
    <definedName name="solver_pop5">#REF!</definedName>
    <definedName name="solver_pop5a">#REF!</definedName>
    <definedName name="solver_pop6">#REF!</definedName>
    <definedName name="solver_pop7">#REF!</definedName>
    <definedName name="solver_pop8">#REF!</definedName>
    <definedName name="solver_pre" localSheetId="2" hidden="1">0.1</definedName>
    <definedName name="solver_qp_eng">#REF!</definedName>
    <definedName name="solver_rbv" localSheetId="2" hidden="1">1</definedName>
    <definedName name="Solver_reason1">#REF!</definedName>
    <definedName name="Solver_reason2">#REF!</definedName>
    <definedName name="Solver_reason3">#REF!</definedName>
    <definedName name="Solver_reason4">#REF!</definedName>
    <definedName name="Solver_reason5">#REF!</definedName>
    <definedName name="Solver_reason6">#REF!</definedName>
    <definedName name="Solver_reason7">#REF!</definedName>
    <definedName name="solver_rel1" localSheetId="2" hidden="1">5</definedName>
    <definedName name="solver_rel10" localSheetId="2" hidden="1">1</definedName>
    <definedName name="solver_rel11" localSheetId="2" hidden="1">1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3</definedName>
    <definedName name="solver_rel2" localSheetId="2" hidden="1">3</definedName>
    <definedName name="solver_rel20" localSheetId="2" hidden="1">1</definedName>
    <definedName name="solver_rel21" localSheetId="2" hidden="1">3</definedName>
    <definedName name="solver_rel22" localSheetId="2" hidden="1">3</definedName>
    <definedName name="solver_rel23" localSheetId="2" hidden="1">1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esult17">#REF!</definedName>
    <definedName name="solver_result18">#REF!</definedName>
    <definedName name="solver_result19">#REF!</definedName>
    <definedName name="solver_result20">#REF!</definedName>
    <definedName name="solver_rhs1" localSheetId="2" hidden="1">"binary"</definedName>
    <definedName name="solver_rhs10" localSheetId="2" hidden="1">'Model 1'!$H$50</definedName>
    <definedName name="solver_rhs11" localSheetId="2" hidden="1">'Model 1'!$H$51</definedName>
    <definedName name="solver_rhs12" localSheetId="2" hidden="1">'Model 1'!$H$52</definedName>
    <definedName name="solver_rhs13" localSheetId="2" hidden="1">'Model 1'!$H$53</definedName>
    <definedName name="solver_rhs14" localSheetId="2" hidden="1">'Model 1'!$H$55</definedName>
    <definedName name="solver_rhs15" localSheetId="2" hidden="1">'Model 1'!$H$57</definedName>
    <definedName name="solver_rhs16" localSheetId="2" hidden="1">'Model 1'!$H$58</definedName>
    <definedName name="solver_rhs17" localSheetId="2" hidden="1">'Model 1'!$H$59</definedName>
    <definedName name="solver_rhs18" localSheetId="2" hidden="1">'Model 1'!$H$60:$H$62</definedName>
    <definedName name="solver_rhs19" localSheetId="2" hidden="1">'Model 1'!$I$39</definedName>
    <definedName name="solver_rhs2" localSheetId="2" hidden="1">'Model 1'!$H$38</definedName>
    <definedName name="solver_rhs20" localSheetId="2" hidden="1">'Model 1'!$N$37:$N$61</definedName>
    <definedName name="solver_rhs21" localSheetId="2" hidden="1">'Model 1'!$N$62:$N$67</definedName>
    <definedName name="solver_rhs22" localSheetId="2" hidden="1">'Model 1'!$N$68:$N$70</definedName>
    <definedName name="solver_rhs23" localSheetId="2" hidden="1">'Model 1'!$N$71:$N$73</definedName>
    <definedName name="solver_rhs3" localSheetId="2" hidden="1">'Model 1'!$H$40</definedName>
    <definedName name="solver_rhs4" localSheetId="2" hidden="1">'Model 1'!$H$41</definedName>
    <definedName name="solver_rhs5" localSheetId="2" hidden="1">'Model 1'!$I$42</definedName>
    <definedName name="solver_rhs6" localSheetId="2" hidden="1">'Model 1'!$H$43</definedName>
    <definedName name="solver_rhs7" localSheetId="2" hidden="1">'Model 1'!$H$44</definedName>
    <definedName name="solver_rhs8" localSheetId="2" hidden="1">'Model 1'!$I$46</definedName>
    <definedName name="solver_rhs9" localSheetId="2" hidden="1">'Model 1'!$H$47:$H$49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stop1">#REF!</definedName>
    <definedName name="Solver_stop2">#REF!</definedName>
    <definedName name="Solver_stop3">#REF!</definedName>
    <definedName name="Solver_stop4">#REF!</definedName>
    <definedName name="solver_table">#REF!</definedName>
    <definedName name="solver_tbl">#REF!</definedName>
    <definedName name="solver_tim" localSheetId="2" hidden="1">2147483647</definedName>
    <definedName name="Solver_title1">#REF!</definedName>
    <definedName name="Solver_title2">#REF!</definedName>
    <definedName name="Solver_title3">#REF!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  <definedName name="Solver_vrs">#REF!</definedName>
    <definedName name="solverLimits">#REF!</definedName>
    <definedName name="SolverMenu">#REF!</definedName>
    <definedName name="SolverMenuBar">#REF!</definedName>
    <definedName name="SolverMenuItem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37" i="4"/>
  <c r="H37" i="4"/>
  <c r="H17" i="2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37" i="4"/>
  <c r="L51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2" i="4"/>
  <c r="L53" i="4"/>
  <c r="L54" i="4"/>
  <c r="L55" i="4"/>
  <c r="L56" i="4"/>
  <c r="L57" i="4"/>
  <c r="L58" i="4"/>
  <c r="L59" i="4"/>
  <c r="L60" i="4"/>
  <c r="D38" i="4"/>
  <c r="D57" i="4"/>
  <c r="E57" i="4"/>
  <c r="D56" i="4"/>
  <c r="E56" i="4"/>
  <c r="D55" i="4"/>
  <c r="E55" i="4"/>
  <c r="D53" i="4"/>
  <c r="E53" i="4"/>
  <c r="D54" i="4"/>
  <c r="E54" i="4"/>
  <c r="D52" i="4"/>
  <c r="E52" i="4"/>
  <c r="D51" i="4"/>
  <c r="E51" i="4"/>
  <c r="D50" i="4"/>
  <c r="E50" i="4"/>
  <c r="D58" i="4"/>
  <c r="E58" i="4"/>
  <c r="D59" i="4"/>
  <c r="E59" i="4"/>
  <c r="D60" i="4"/>
  <c r="E60" i="4"/>
  <c r="D61" i="4"/>
  <c r="E61" i="4"/>
  <c r="D62" i="4"/>
  <c r="E62" i="4"/>
  <c r="C62" i="4"/>
  <c r="C61" i="4"/>
  <c r="C60" i="4"/>
  <c r="C59" i="4"/>
  <c r="C58" i="4"/>
  <c r="C57" i="4"/>
  <c r="C56" i="4"/>
  <c r="C55" i="4"/>
  <c r="C54" i="4"/>
  <c r="C51" i="4"/>
  <c r="C52" i="4"/>
  <c r="C53" i="4"/>
  <c r="C50" i="4"/>
  <c r="E49" i="4"/>
  <c r="D49" i="4"/>
  <c r="D48" i="4"/>
  <c r="E48" i="4"/>
  <c r="D47" i="4"/>
  <c r="E47" i="4"/>
  <c r="D46" i="4"/>
  <c r="E46" i="4"/>
  <c r="D45" i="4"/>
  <c r="E45" i="4"/>
  <c r="D44" i="4"/>
  <c r="E44" i="4"/>
  <c r="D43" i="4"/>
  <c r="E43" i="4"/>
  <c r="D42" i="4"/>
  <c r="E42" i="4"/>
  <c r="C49" i="4"/>
  <c r="C48" i="4"/>
  <c r="C47" i="4"/>
  <c r="C46" i="4"/>
  <c r="C45" i="4"/>
  <c r="C44" i="4"/>
  <c r="C43" i="4"/>
  <c r="C42" i="4"/>
  <c r="D41" i="4"/>
  <c r="E41" i="4"/>
  <c r="C41" i="4"/>
  <c r="D40" i="4"/>
  <c r="E40" i="4"/>
  <c r="C40" i="4"/>
  <c r="D39" i="4"/>
  <c r="E39" i="4"/>
  <c r="C39" i="4"/>
  <c r="E38" i="4"/>
  <c r="C38" i="4"/>
  <c r="E37" i="4"/>
  <c r="D37" i="4"/>
  <c r="C31" i="4"/>
  <c r="D31" i="4"/>
  <c r="E31" i="4"/>
  <c r="S22" i="2"/>
  <c r="R22" i="2"/>
  <c r="O22" i="2"/>
  <c r="K22" i="2"/>
  <c r="J22" i="2"/>
  <c r="I22" i="2"/>
  <c r="H22" i="2"/>
  <c r="G22" i="2"/>
  <c r="T22" i="2" s="1"/>
  <c r="D22" i="2"/>
  <c r="E22" i="2" s="1"/>
  <c r="T17" i="2"/>
  <c r="S17" i="2"/>
  <c r="R17" i="2"/>
  <c r="O17" i="2"/>
  <c r="L17" i="2"/>
  <c r="K17" i="2"/>
  <c r="J17" i="2"/>
  <c r="I17" i="2"/>
  <c r="D17" i="2"/>
  <c r="E17" i="2" s="1"/>
  <c r="E21" i="2"/>
  <c r="E23" i="2"/>
  <c r="D21" i="2"/>
  <c r="D23" i="2"/>
  <c r="D31" i="2"/>
  <c r="E31" i="2" s="1"/>
  <c r="F37" i="4" l="1"/>
  <c r="F38" i="4"/>
  <c r="F42" i="4"/>
  <c r="F54" i="4"/>
  <c r="F52" i="4"/>
  <c r="F41" i="4"/>
  <c r="F60" i="4"/>
  <c r="F45" i="4"/>
  <c r="F49" i="4"/>
  <c r="F62" i="4"/>
  <c r="F50" i="4"/>
  <c r="F55" i="4"/>
  <c r="F48" i="4"/>
  <c r="F56" i="4"/>
  <c r="F43" i="4"/>
  <c r="F51" i="4"/>
  <c r="F40" i="4"/>
  <c r="F59" i="4"/>
  <c r="C32" i="4"/>
  <c r="F57" i="4"/>
  <c r="F58" i="4"/>
  <c r="F61" i="4"/>
  <c r="F46" i="4"/>
  <c r="F53" i="4"/>
  <c r="F47" i="4"/>
  <c r="F44" i="4"/>
  <c r="F39" i="4"/>
  <c r="H41" i="4"/>
  <c r="H62" i="4"/>
  <c r="H61" i="4"/>
  <c r="H60" i="4"/>
  <c r="H59" i="4"/>
  <c r="H58" i="4"/>
  <c r="H55" i="4"/>
  <c r="H53" i="4"/>
  <c r="H49" i="4"/>
  <c r="H48" i="4"/>
  <c r="H47" i="4"/>
  <c r="H46" i="4"/>
  <c r="H45" i="4"/>
  <c r="H43" i="4"/>
  <c r="H42" i="4"/>
  <c r="H40" i="4"/>
  <c r="D16" i="3"/>
  <c r="H57" i="4" s="1"/>
  <c r="C16" i="3"/>
  <c r="H44" i="4" s="1"/>
  <c r="C7" i="3"/>
  <c r="C14" i="3" s="1"/>
  <c r="H39" i="4" s="1"/>
  <c r="T16" i="2"/>
  <c r="S16" i="2"/>
  <c r="R16" i="2"/>
  <c r="O16" i="2"/>
  <c r="N16" i="2"/>
  <c r="M16" i="2"/>
  <c r="L16" i="2"/>
  <c r="K16" i="2"/>
  <c r="I16" i="2"/>
  <c r="H16" i="2"/>
  <c r="T24" i="2"/>
  <c r="S24" i="2"/>
  <c r="R24" i="2"/>
  <c r="O24" i="2"/>
  <c r="N24" i="2"/>
  <c r="M24" i="2"/>
  <c r="L24" i="2"/>
  <c r="K24" i="2"/>
  <c r="J24" i="2"/>
  <c r="I24" i="2"/>
  <c r="H24" i="2"/>
  <c r="T10" i="2"/>
  <c r="S10" i="2"/>
  <c r="R10" i="2"/>
  <c r="O10" i="2"/>
  <c r="N10" i="2"/>
  <c r="M10" i="2"/>
  <c r="L10" i="2"/>
  <c r="K10" i="2"/>
  <c r="J10" i="2"/>
  <c r="I10" i="2"/>
  <c r="H10" i="2"/>
  <c r="T9" i="2"/>
  <c r="S9" i="2"/>
  <c r="R9" i="2"/>
  <c r="O9" i="2"/>
  <c r="N9" i="2"/>
  <c r="M9" i="2"/>
  <c r="L9" i="2"/>
  <c r="K9" i="2"/>
  <c r="J9" i="2"/>
  <c r="I9" i="2"/>
  <c r="H9" i="2"/>
  <c r="H7" i="2"/>
  <c r="D30" i="2"/>
  <c r="E30" i="2" s="1"/>
  <c r="D29" i="2"/>
  <c r="E29" i="2" s="1"/>
  <c r="E28" i="2"/>
  <c r="D26" i="2"/>
  <c r="E26" i="2" s="1"/>
  <c r="D27" i="2"/>
  <c r="E27" i="2" s="1"/>
  <c r="D25" i="2"/>
  <c r="E25" i="2" s="1"/>
  <c r="E24" i="2"/>
  <c r="E20" i="2"/>
  <c r="D19" i="2"/>
  <c r="E19" i="2" s="1"/>
  <c r="D18" i="2"/>
  <c r="E18" i="2" s="1"/>
  <c r="D16" i="2"/>
  <c r="E16" i="2" s="1"/>
  <c r="D15" i="2"/>
  <c r="E15" i="2" s="1"/>
  <c r="E12" i="2"/>
  <c r="E10" i="2"/>
  <c r="E9" i="2"/>
  <c r="G13" i="2"/>
  <c r="K13" i="2" s="1"/>
  <c r="D13" i="2"/>
  <c r="E13" i="2" s="1"/>
  <c r="D7" i="2"/>
  <c r="E7" i="2" s="1"/>
  <c r="D8" i="2"/>
  <c r="E8" i="2" s="1"/>
  <c r="D11" i="2"/>
  <c r="E11" i="2" s="1"/>
  <c r="D14" i="2"/>
  <c r="E14" i="2" s="1"/>
  <c r="D14" i="3" l="1"/>
  <c r="H52" i="4" s="1"/>
  <c r="D11" i="3"/>
  <c r="L13" i="2"/>
  <c r="N13" i="2"/>
  <c r="O13" i="2"/>
  <c r="P13" i="2"/>
  <c r="H13" i="2"/>
  <c r="R13" i="2"/>
  <c r="I13" i="2"/>
  <c r="T13" i="2"/>
  <c r="J13" i="2"/>
  <c r="D13" i="3" l="1"/>
  <c r="H51" i="4" s="1"/>
  <c r="C13" i="3"/>
  <c r="H38" i="4" s="1"/>
  <c r="D17" i="3"/>
  <c r="H56" i="4" s="1"/>
  <c r="H50" i="4"/>
  <c r="D15" i="3"/>
  <c r="H5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tc={B3DD1105-E0A9-E24A-9F82-FD9609E5D954}</author>
    <author>tc={C66A8CF9-3FCE-8F4C-BD1D-37D1FAB18DD0}</author>
    <author>tc={3671381C-FA85-EA4C-9743-B4D3DFF639C2}</author>
    <author>tc={61C8CB71-D353-8444-BBC6-7213E1D7238D}</author>
    <author>tc={92F39C48-AE88-444C-8D11-2E882E2746E6}</author>
    <author>tc={792062B3-3714-B24F-98E6-C2B443D490E7}</author>
    <author>tc={C0414EDB-FAD3-1542-83E6-32DBCC91FA31}</author>
  </authors>
  <commentList>
    <comment ref="B6" authorId="0" shapeId="0" xr:uid="{B3DD1105-E0A9-E24A-9F82-FD9609E5D954}">
      <text>
        <t>[Threaded comment]
Your version of Excel allows you to read this threaded comment; however, any edits to it will get removed if the file is opened in a newer version of Excel. Learn more: https://go.microsoft.com/fwlink/?linkid=870924
Comment:
    Physical Activity Coefficient - Assume that there is only typical daily living activities</t>
      </text>
    </comment>
    <comment ref="B11" authorId="1" shapeId="0" xr:uid="{C66A8CF9-3FCE-8F4C-BD1D-37D1FAB18DD0}">
      <text>
        <t>[Threaded comment]
Your version of Excel allows you to read this threaded comment; however, any edits to it will get removed if the file is opened in a newer version of Excel. Learn more: https://go.microsoft.com/fwlink/?linkid=870924
Comment:
    -500 kcal from the estimated calories intake is still acceptable for maintaining weight</t>
      </text>
    </comment>
    <comment ref="B13" authorId="2" shapeId="0" xr:uid="{3671381C-FA85-EA4C-9743-B4D3DFF639C2}">
      <text>
        <t>[Threaded comment]
Your version of Excel allows you to read this threaded comment; however, any edits to it will get removed if the file is opened in a newer version of Excel. Learn more: https://go.microsoft.com/fwlink/?linkid=870924
Comment:
    20%-35% of total kcal/ day</t>
      </text>
    </comment>
    <comment ref="B14" authorId="3" shapeId="0" xr:uid="{61C8CB71-D353-8444-BBC6-7213E1D7238D}">
      <text>
        <t>[Threaded comment]
Your version of Excel allows you to read this threaded comment; however, any edits to it will get removed if the file is opened in a newer version of Excel. Learn more: https://go.microsoft.com/fwlink/?linkid=870924
Comment:
    7-9% of total kcal/ day</t>
      </text>
    </comment>
    <comment ref="B15" authorId="4" shapeId="0" xr:uid="{92F39C48-AE88-444C-8D11-2E882E2746E6}">
      <text>
        <t>[Threaded comment]
Your version of Excel allows you to read this threaded comment; however, any edits to it will get removed if the file is opened in a newer version of Excel. Learn more: https://go.microsoft.com/fwlink/?linkid=870924
Comment:
    A low-carb diet (less than 26% of total kcal intake) is recommended by health professionals. No lower bound since patients need to reduce their carb intake.</t>
      </text>
    </comment>
    <comment ref="B16" authorId="5" shapeId="0" xr:uid="{792062B3-3714-B24F-98E6-C2B443D490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It's recommended to eat around 0.8 g protein per kg body weight, and there is not enough data for the upper bound. However, for calculation and health purpose, we limit the protein intake to 1.5 g per kg body weight. </t>
      </text>
    </comment>
    <comment ref="B17" authorId="6" shapeId="0" xr:uid="{C0414EDB-FAD3-1542-83E6-32DBCC91FA3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lower bound since patients need to cut as much sugar as possible. It is recommended to limit sugar intake to less than 5% of total daily calories intake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tc={653EF465-3F51-8B49-82EF-B99E910AD5EF}</author>
    <author>Microsoft Office User</author>
    <author>tc={28C892D1-8882-774C-B477-1D3F2228FD1F}</author>
    <author>tc={09387CBB-A157-6948-916B-0584D8837923}</author>
    <author>tc={0F2D3737-9AD0-0F42-96A1-EB94C445994C}</author>
    <author>tc={FB22B8DE-3EE0-D347-A1C7-BBB1047D3CCB}</author>
    <author>tc={16053E5C-B0F9-4749-BB35-012D67E4AD03}</author>
    <author>tc={FB463DEF-C410-A64D-AD11-D90CC5FA0608}</author>
    <author>tc={C5F82843-F09E-6547-9894-5E95B28A7257}</author>
    <author>tc={D49A5E3D-785A-BD46-B661-14DF3829CAFC}</author>
    <author>tc={4DF864FA-370D-354D-AEAE-70D38278D012}</author>
    <author>tc={2066CD65-A379-2B41-9ED6-BD9F490C2B9F}</author>
    <author>tc={0D52A706-9F6B-854B-BA4B-CFC50D07019E}</author>
    <author>tc={3B64D030-9671-A149-BB0A-38ABAD7D58D9}</author>
    <author>tc={A3AE0724-4217-6040-BE31-0FBC7A308BD8}</author>
    <author>tc={6578B096-F51E-4B41-9009-C34FAB5716D4}</author>
    <author>tc={138B5196-6027-7C4E-9DE4-82565A31EA84}</author>
    <author>tc={F9DFB9D9-1CA4-1A42-A62F-5AB212A4C5F7}</author>
    <author>tc={58E2BFBF-439F-3A40-ACAC-9B8DD1A16633}</author>
    <author>tc={0EFF88C6-4092-2844-94EE-134580F14AB6}</author>
  </authors>
  <commentList>
    <comment ref="A7" authorId="0" shapeId="0" xr:uid="{653EF465-3F51-8B49-82EF-B99E910AD5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Grocery</t>
      </text>
    </comment>
    <comment ref="P7" authorId="1" shapeId="0" xr:uid="{A72FE4D4-9D69-B84A-9F9B-F69D058EC0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Grey colored cell were missing values that are imputed to 0 by us; in order to run the solver.</t>
        </r>
      </text>
    </comment>
    <comment ref="G9" authorId="1" shapeId="0" xr:uid="{79E5EBCA-1D1A-454E-9E03-2FD2E4D6E0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G10" authorId="1" shapeId="0" xr:uid="{2C985C49-E49F-9344-9C3C-072B2A4A3E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11" authorId="2" shapeId="0" xr:uid="{28C892D1-8882-774C-B477-1D3F2228FD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Dairyland Skim Milk
</t>
      </text>
    </comment>
    <comment ref="B12" authorId="3" shapeId="0" xr:uid="{09387CBB-A157-6948-916B-0584D8837923}">
      <text>
        <t>[Threaded comment]
Your version of Excel allows you to read this threaded comment; however, any edits to it will get removed if the file is opened in a newer version of Excel. Learn more: https://go.microsoft.com/fwlink/?linkid=870924
Comment:
    Yoplait Source Yogurt</t>
      </text>
    </comment>
    <comment ref="B13" authorId="4" shapeId="0" xr:uid="{0F2D3737-9AD0-0F42-96A1-EB94C445994C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2% 
Cottage Cheese</t>
      </text>
    </comment>
    <comment ref="G13" authorId="1" shapeId="0" xr:uid="{AE070ED5-AB55-F043-982B-243C92251C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14" authorId="5" shapeId="0" xr:uid="{FB22B8DE-3EE0-D347-A1C7-BBB1047D3C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Country Harvest 14 Grains Sliced Bread</t>
      </text>
    </comment>
    <comment ref="B15" authorId="6" shapeId="0" xr:uid="{16053E5C-B0F9-4749-BB35-012D67E4AD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Delicious Kitchen Jasmine Rice
</t>
      </text>
    </comment>
    <comment ref="B16" authorId="7" shapeId="0" xr:uid="{FB463DEF-C410-A64D-AD11-D90CC5FA0608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Potatoes Grocery</t>
      </text>
    </comment>
    <comment ref="G16" authorId="1" shapeId="0" xr:uid="{AC48DCE5-8CF7-7C44-AD84-DD0220FD01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&gt;1
</t>
        </r>
      </text>
    </comment>
    <comment ref="B17" authorId="8" shapeId="0" xr:uid="{C5F82843-F09E-6547-9894-5E95B28A72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Maple Leaf Prime WC</t>
      </text>
    </comment>
    <comment ref="G17" authorId="1" shapeId="0" xr:uid="{63EE9155-0749-D840-8578-A3E3F6F4BA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18" authorId="9" shapeId="0" xr:uid="{D49A5E3D-785A-BD46-B661-14DF3829CAFC}">
      <text>
        <t>[Threaded comment]
Your version of Excel allows you to read this threaded comment; however, any edits to it will get removed if the file is opened in a newer version of Excel. Learn more: https://go.microsoft.com/fwlink/?linkid=870924
Comment:
    Aqua Star Basa Fillets</t>
      </text>
    </comment>
    <comment ref="B19" authorId="10" shapeId="0" xr:uid="{4DF864FA-370D-354D-AEAE-70D38278D012}">
      <text>
        <t>[Threaded comment]
Your version of Excel allows you to read this threaded comment; however, any edits to it will get removed if the file is opened in a newer version of Excel. Learn more: https://go.microsoft.com/fwlink/?linkid=870924
Comment:
    Sunrise Tofu</t>
      </text>
    </comment>
    <comment ref="B20" authorId="11" shapeId="0" xr:uid="{2066CD65-A379-2B41-9ED6-BD9F490C2B9F}">
      <text>
        <t>[Threaded comment]
Your version of Excel allows you to read this threaded comment; however, any edits to it will get removed if the file is opened in a newer version of Excel. Learn more: https://go.microsoft.com/fwlink/?linkid=870924
Comment:
    Golden Valley Eggs</t>
      </text>
    </comment>
    <comment ref="B21" authorId="12" shapeId="0" xr:uid="{0D52A706-9F6B-854B-BA4B-CFC50D0701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Maple Leaf Boneless Pork 
</t>
      </text>
    </comment>
    <comment ref="B22" authorId="13" shapeId="0" xr:uid="{3B64D030-9671-A149-BB0A-38ABAD7D58D9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Raw Large Shrimp</t>
      </text>
    </comment>
    <comment ref="G22" authorId="1" shapeId="0" xr:uid="{88810FA9-A342-154B-BB57-7E2A45BF2F0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23" authorId="14" shapeId="0" xr:uid="{A3AE0724-4217-6040-BE31-0FBC7A308B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Fresh Market AAA Beef Stew
</t>
      </text>
    </comment>
    <comment ref="A24" authorId="15" shapeId="0" xr:uid="{6578B096-F51E-4B41-9009-C34FAB57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Grocery</t>
      </text>
    </comment>
    <comment ref="G24" authorId="1" shapeId="0" xr:uid="{847AAA43-F27F-6745-A8A3-BFF1C8AF71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&gt;1
</t>
        </r>
      </text>
    </comment>
    <comment ref="B28" authorId="16" shapeId="0" xr:uid="{138B5196-6027-7C4E-9DE4-82565A31EA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Tetley Tea
</t>
      </text>
    </comment>
    <comment ref="B29" authorId="17" shapeId="0" xr:uid="{F9DFB9D9-1CA4-1A42-A62F-5AB212A4C5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Great Value Potato Chips
 </t>
      </text>
    </comment>
    <comment ref="B30" authorId="18" shapeId="0" xr:uid="{58E2BFBF-439F-3A40-ACAC-9B8DD1A166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Great Value Pretzels
</t>
      </text>
    </comment>
    <comment ref="B31" authorId="19" shapeId="0" xr:uid="{0EFF88C6-4092-2844-94EE-134580F14AB6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Original Bacon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37" authorId="0" shapeId="0" xr:uid="{3AAB7D96-B9B4-D746-B62A-A5A2F50A046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item is selected more than once, each day</t>
        </r>
      </text>
    </comment>
    <comment ref="N62" authorId="0" shapeId="0" xr:uid="{C226DA0C-D744-2948-B10C-A78485173E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At least one item is chosen from each category of foods, each day</t>
        </r>
      </text>
    </comment>
    <comment ref="N68" authorId="0" shapeId="0" xr:uid="{F0E9C857-06FD-C24E-9B72-78F8055F77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At least 3 items are chosen for each meal, each day</t>
        </r>
      </text>
    </comment>
    <comment ref="N71" authorId="0" shapeId="0" xr:uid="{2AE94A85-592B-294B-87CF-83D067A6E8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At most 5 items are chosen for each meal, each day
</t>
        </r>
      </text>
    </comment>
  </commentList>
</comments>
</file>

<file path=xl/sharedStrings.xml><?xml version="1.0" encoding="utf-8"?>
<sst xmlns="http://schemas.openxmlformats.org/spreadsheetml/2006/main" count="310" uniqueCount="179">
  <si>
    <t xml:space="preserve">per 1/8 (50 g) of pack </t>
  </si>
  <si>
    <t>$2.97/pack 400g</t>
  </si>
  <si>
    <t>Pretzels</t>
  </si>
  <si>
    <t xml:space="preserve">per 1/4 (50 g) of pack </t>
  </si>
  <si>
    <t>$1.48/pack 200g</t>
  </si>
  <si>
    <t>Chips</t>
  </si>
  <si>
    <t>per tea bag</t>
  </si>
  <si>
    <t>9.97/pack of 216</t>
  </si>
  <si>
    <t>Tea</t>
  </si>
  <si>
    <t>Free Foods</t>
  </si>
  <si>
    <t>per 100 g</t>
  </si>
  <si>
    <t>$8.80/kg</t>
  </si>
  <si>
    <t>Broccoli</t>
  </si>
  <si>
    <t>$2.10/kg</t>
  </si>
  <si>
    <t>Carrots</t>
  </si>
  <si>
    <t>8.80/kg</t>
  </si>
  <si>
    <t>Beans</t>
  </si>
  <si>
    <t>per avocado</t>
  </si>
  <si>
    <t>5.97/pack of 5</t>
  </si>
  <si>
    <t>Avocado</t>
  </si>
  <si>
    <t>Vegetables</t>
  </si>
  <si>
    <t>per egg</t>
  </si>
  <si>
    <t>$9.18/pack of 30</t>
  </si>
  <si>
    <t>Egg</t>
  </si>
  <si>
    <t xml:space="preserve">per 1/5 (85 g) of pack </t>
  </si>
  <si>
    <t>$2.47/pack 454 g</t>
  </si>
  <si>
    <t>Tofu</t>
  </si>
  <si>
    <t xml:space="preserve">per 125g of pack </t>
  </si>
  <si>
    <t>$6.97/pack 908 g</t>
  </si>
  <si>
    <t>Fish</t>
  </si>
  <si>
    <t>$15.48/chicken 1.5 kg</t>
  </si>
  <si>
    <t>Chicken</t>
  </si>
  <si>
    <t>Protein</t>
  </si>
  <si>
    <t>$1.99/kg</t>
  </si>
  <si>
    <t>Potatoes</t>
  </si>
  <si>
    <t>per 45g</t>
  </si>
  <si>
    <t>$2.37/kg</t>
  </si>
  <si>
    <t>Rice</t>
  </si>
  <si>
    <t>per 2 slices 75 g</t>
  </si>
  <si>
    <t>3.97/pack 600 g</t>
  </si>
  <si>
    <t>Bread</t>
  </si>
  <si>
    <t>Carbs.</t>
  </si>
  <si>
    <t>per 125 g</t>
  </si>
  <si>
    <t>$4.79/pack 750 g</t>
  </si>
  <si>
    <t>Cheese</t>
  </si>
  <si>
    <t>per piece (100 g)</t>
  </si>
  <si>
    <t>$7.28/pack of 16</t>
  </si>
  <si>
    <t>Yogurt</t>
  </si>
  <si>
    <t>per (1/4) 250 ml</t>
  </si>
  <si>
    <t>1.45/L</t>
  </si>
  <si>
    <t>Milk</t>
  </si>
  <si>
    <t>Dairy</t>
  </si>
  <si>
    <t>per piece</t>
  </si>
  <si>
    <t>$.87/mango</t>
  </si>
  <si>
    <t>Mango</t>
  </si>
  <si>
    <t>$5.97/melon</t>
  </si>
  <si>
    <t>Melon</t>
  </si>
  <si>
    <t>per piece (118 g)</t>
  </si>
  <si>
    <t>$1.72/kg</t>
  </si>
  <si>
    <t xml:space="preserve">Banana </t>
  </si>
  <si>
    <t>per piece (182 g)</t>
  </si>
  <si>
    <t>$5.45/kg</t>
  </si>
  <si>
    <t>Apple</t>
  </si>
  <si>
    <t>Fruits</t>
  </si>
  <si>
    <t>Nutrition Proportions</t>
  </si>
  <si>
    <t>Nuitrion Facts</t>
  </si>
  <si>
    <t>Prices per Portion</t>
  </si>
  <si>
    <t>Price Proportions</t>
  </si>
  <si>
    <t>Prices</t>
  </si>
  <si>
    <t>Calories(kcal)</t>
  </si>
  <si>
    <t>Fat(g)</t>
  </si>
  <si>
    <t>Saturated Fat(g)</t>
  </si>
  <si>
    <t>Sodium(mg)</t>
  </si>
  <si>
    <t>Carbohydrates(g)</t>
  </si>
  <si>
    <t>Fiber(g)</t>
  </si>
  <si>
    <t>Sugar(g)</t>
  </si>
  <si>
    <t>Protien(g)</t>
  </si>
  <si>
    <t>Vitamin A(µg)</t>
  </si>
  <si>
    <t>Vitamin D(µg)</t>
  </si>
  <si>
    <t>Calcium(mg)</t>
  </si>
  <si>
    <t>Potassium(mg)</t>
  </si>
  <si>
    <t>Iron(mg)</t>
  </si>
  <si>
    <t>Table 4. Data on Food Prices and Nutritional Values</t>
  </si>
  <si>
    <t>*Data was collected as of March 16, 2023</t>
  </si>
  <si>
    <t>*All prices were collected from Walmart.ca</t>
  </si>
  <si>
    <t>*All nutrition facts were collected from Walmart.ca &amp; Nutritionix.com</t>
  </si>
  <si>
    <t>Table 1. Study Group</t>
  </si>
  <si>
    <t>Sex</t>
  </si>
  <si>
    <t>Male</t>
  </si>
  <si>
    <t>kcal/ gram</t>
  </si>
  <si>
    <t>Age</t>
  </si>
  <si>
    <t>Sugar</t>
  </si>
  <si>
    <t>Weight (kg)</t>
  </si>
  <si>
    <t>Carbohydrates</t>
  </si>
  <si>
    <t>Height (m)</t>
  </si>
  <si>
    <t xml:space="preserve">Protein </t>
  </si>
  <si>
    <t>PA Value</t>
  </si>
  <si>
    <t xml:space="preserve">Fat </t>
  </si>
  <si>
    <t>Calories intake per day</t>
  </si>
  <si>
    <t>Saturated Fat</t>
  </si>
  <si>
    <t>Table 2. Calories Exchange Table</t>
  </si>
  <si>
    <t>Recommendations</t>
  </si>
  <si>
    <t>Lower bound</t>
  </si>
  <si>
    <t>Upper bound</t>
  </si>
  <si>
    <t>Calories intake (kcal)</t>
  </si>
  <si>
    <t>Fibers (g)</t>
  </si>
  <si>
    <t>Fats (g)</t>
  </si>
  <si>
    <t>Saturated Fat (g)</t>
  </si>
  <si>
    <t>Carbohydrates (g)</t>
  </si>
  <si>
    <t>Proteins (g)</t>
  </si>
  <si>
    <t>Sugar (g)</t>
  </si>
  <si>
    <t>Sodium (mg)</t>
  </si>
  <si>
    <t>Calcium (mg)</t>
  </si>
  <si>
    <t>Iron (mg)</t>
  </si>
  <si>
    <t>Potassium (mg)</t>
  </si>
  <si>
    <t>Vitamin A (μg)</t>
  </si>
  <si>
    <t>Vitamin D (μg)</t>
  </si>
  <si>
    <t>Table 3. Daily Intake Recommendations</t>
  </si>
  <si>
    <t>Decisions</t>
  </si>
  <si>
    <t>Objective</t>
  </si>
  <si>
    <t>Cost per Meal</t>
  </si>
  <si>
    <t>Total Cost</t>
  </si>
  <si>
    <t>Vit D (LB)</t>
  </si>
  <si>
    <t>Vit A (LB)</t>
  </si>
  <si>
    <t>Calories (LB)</t>
  </si>
  <si>
    <t>Fat (LB)</t>
  </si>
  <si>
    <t>Saturated Fat (LB)</t>
  </si>
  <si>
    <t>Sodium (LB)</t>
  </si>
  <si>
    <t>Carbohydrates (LB)</t>
  </si>
  <si>
    <t>Fiber (LB)</t>
  </si>
  <si>
    <t>Sugar (LB)</t>
  </si>
  <si>
    <t>Protein (LB)</t>
  </si>
  <si>
    <t>Calcium (LB)</t>
  </si>
  <si>
    <t>Potassium (LB)</t>
  </si>
  <si>
    <t>Iron (LB)</t>
  </si>
  <si>
    <t>Calories (UB)</t>
  </si>
  <si>
    <t>Fat (UB)</t>
  </si>
  <si>
    <t>Saturated Fat (UB)</t>
  </si>
  <si>
    <t>Sodium (UB)</t>
  </si>
  <si>
    <t>Carbohydrates (UB)</t>
  </si>
  <si>
    <t>Fiber (UB)</t>
  </si>
  <si>
    <t>Sugar (UB)</t>
  </si>
  <si>
    <t>Protein (UB)</t>
  </si>
  <si>
    <t>Vit A (UB)</t>
  </si>
  <si>
    <t>Vit D (UB)</t>
  </si>
  <si>
    <t>Calcium (UB)</t>
  </si>
  <si>
    <t>Potassium (UB)</t>
  </si>
  <si>
    <t>Iron (UB)</t>
  </si>
  <si>
    <t xml:space="preserve">Lower Bounds </t>
  </si>
  <si>
    <t>Upper Bounds</t>
  </si>
  <si>
    <t>RHS</t>
  </si>
  <si>
    <t>&gt;=</t>
  </si>
  <si>
    <t>&lt;=</t>
  </si>
  <si>
    <t>Breakfast</t>
  </si>
  <si>
    <t>Lunch</t>
  </si>
  <si>
    <t>Dinner</t>
  </si>
  <si>
    <t>LHS</t>
  </si>
  <si>
    <t xml:space="preserve">Variety </t>
  </si>
  <si>
    <t>Bacon</t>
  </si>
  <si>
    <t>$5.97/pack 375g</t>
  </si>
  <si>
    <t xml:space="preserve">per 2 sclices 68g </t>
  </si>
  <si>
    <t>Pork</t>
  </si>
  <si>
    <t>$10.96/kg</t>
  </si>
  <si>
    <t>Shrimp</t>
  </si>
  <si>
    <t>$12.47/pack 600g</t>
  </si>
  <si>
    <t>per 125g of pack</t>
  </si>
  <si>
    <t>Beef</t>
  </si>
  <si>
    <t>$19.78/kg</t>
  </si>
  <si>
    <t>per chicken (1509 g)</t>
  </si>
  <si>
    <t xml:space="preserve">per 100 g </t>
  </si>
  <si>
    <t>Lunch (LB)</t>
  </si>
  <si>
    <t>Breakfast (LB)</t>
  </si>
  <si>
    <t>Dinner (LB)</t>
  </si>
  <si>
    <t>Breakfast (UB)</t>
  </si>
  <si>
    <t>Lunch (UB)</t>
  </si>
  <si>
    <t>Dinner (UB)</t>
  </si>
  <si>
    <t>Constraints (Set 1)</t>
  </si>
  <si>
    <t>Constarints (Set 2)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</si>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</sst>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0.0"/>
    <numFmt numFmtId="166" formatCode="&quot;$&quot;#,##0.00;[Red]\-&quot;$&quot;#,##0.00"/>
    <numFmt numFmtId="167" formatCode="&quot;$&quot;#,##0.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6" fillId="0" borderId="0" xfId="0" applyFont="1"/>
    <xf numFmtId="0" fontId="2" fillId="0" borderId="0" xfId="0" applyFont="1"/>
    <xf numFmtId="0" fontId="6" fillId="0" borderId="1" xfId="0" applyFon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6" fillId="0" borderId="6" xfId="0" applyFont="1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2" fillId="0" borderId="2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2" borderId="8" xfId="0" applyFont="1" applyFill="1" applyBorder="1"/>
    <xf numFmtId="0" fontId="2" fillId="2" borderId="3" xfId="0" applyFont="1" applyFill="1" applyBorder="1"/>
    <xf numFmtId="0" fontId="6" fillId="0" borderId="0" xfId="1" applyFont="1"/>
    <xf numFmtId="0" fontId="1" fillId="0" borderId="6" xfId="1" applyBorder="1"/>
    <xf numFmtId="0" fontId="1" fillId="0" borderId="13" xfId="1" applyBorder="1"/>
    <xf numFmtId="0" fontId="1" fillId="0" borderId="9" xfId="1" applyBorder="1"/>
    <xf numFmtId="0" fontId="1" fillId="0" borderId="10" xfId="1" applyBorder="1"/>
    <xf numFmtId="0" fontId="1" fillId="0" borderId="14" xfId="1" applyBorder="1"/>
    <xf numFmtId="0" fontId="1" fillId="0" borderId="5" xfId="1" applyBorder="1"/>
    <xf numFmtId="0" fontId="1" fillId="0" borderId="15" xfId="1" applyBorder="1"/>
    <xf numFmtId="0" fontId="1" fillId="0" borderId="11" xfId="1" applyBorder="1"/>
    <xf numFmtId="0" fontId="1" fillId="0" borderId="7" xfId="1" applyBorder="1"/>
    <xf numFmtId="0" fontId="1" fillId="4" borderId="13" xfId="1" applyFill="1" applyBorder="1"/>
    <xf numFmtId="0" fontId="1" fillId="4" borderId="9" xfId="1" applyFill="1" applyBorder="1"/>
    <xf numFmtId="0" fontId="1" fillId="4" borderId="10" xfId="1" applyFill="1" applyBorder="1"/>
    <xf numFmtId="0" fontId="1" fillId="4" borderId="14" xfId="1" applyFill="1" applyBorder="1"/>
    <xf numFmtId="0" fontId="1" fillId="4" borderId="5" xfId="1" applyFill="1" applyBorder="1"/>
    <xf numFmtId="0" fontId="1" fillId="4" borderId="15" xfId="1" applyFill="1" applyBorder="1"/>
    <xf numFmtId="0" fontId="1" fillId="4" borderId="11" xfId="1" applyFill="1" applyBorder="1"/>
    <xf numFmtId="0" fontId="1" fillId="4" borderId="7" xfId="1" applyFill="1" applyBorder="1"/>
    <xf numFmtId="0" fontId="1" fillId="0" borderId="0" xfId="1" applyAlignment="1">
      <alignment horizontal="center"/>
    </xf>
    <xf numFmtId="0" fontId="1" fillId="0" borderId="1" xfId="1" applyBorder="1"/>
    <xf numFmtId="0" fontId="1" fillId="0" borderId="4" xfId="1" applyBorder="1"/>
    <xf numFmtId="1" fontId="1" fillId="0" borderId="4" xfId="1" applyNumberFormat="1" applyBorder="1"/>
    <xf numFmtId="0" fontId="2" fillId="0" borderId="12" xfId="1" applyFont="1" applyBorder="1" applyAlignment="1">
      <alignment horizontal="right"/>
    </xf>
    <xf numFmtId="0" fontId="2" fillId="0" borderId="8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1" fillId="4" borderId="0" xfId="1" applyFill="1"/>
    <xf numFmtId="0" fontId="2" fillId="0" borderId="0" xfId="0" applyFont="1" applyAlignment="1">
      <alignment horizontal="center"/>
    </xf>
    <xf numFmtId="164" fontId="7" fillId="0" borderId="0" xfId="2" applyFont="1" applyAlignment="1">
      <alignment horizontal="center"/>
    </xf>
    <xf numFmtId="0" fontId="7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5" fontId="1" fillId="0" borderId="0" xfId="1" applyNumberFormat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0" xfId="1" applyFill="1" applyAlignment="1">
      <alignment horizontal="right"/>
    </xf>
    <xf numFmtId="165" fontId="1" fillId="0" borderId="0" xfId="1" applyNumberFormat="1"/>
    <xf numFmtId="167" fontId="1" fillId="0" borderId="0" xfId="1" applyNumberFormat="1"/>
    <xf numFmtId="0" fontId="1" fillId="2" borderId="0" xfId="0" applyFont="1" applyFill="1"/>
    <xf numFmtId="0" fontId="1" fillId="2" borderId="0" xfId="1" applyFill="1"/>
    <xf numFmtId="0" fontId="2" fillId="0" borderId="0" xfId="0" applyFont="1" applyAlignment="1">
      <alignment horizontal="right"/>
    </xf>
    <xf numFmtId="0" fontId="2" fillId="5" borderId="2" xfId="1" applyFont="1" applyFill="1" applyBorder="1" applyAlignment="1">
      <alignment horizontal="right"/>
    </xf>
    <xf numFmtId="0" fontId="1" fillId="6" borderId="4" xfId="1" applyFill="1" applyBorder="1"/>
    <xf numFmtId="0" fontId="1" fillId="6" borderId="1" xfId="1" applyFill="1" applyBorder="1"/>
    <xf numFmtId="0" fontId="1" fillId="0" borderId="4" xfId="1" applyFill="1" applyBorder="1"/>
  </cellXfs>
  <cellStyles count="3">
    <cellStyle name="Currency 2" xfId="2" xr:uid="{8E9BE69B-3488-3E41-AE8F-8FF7924D0228}"/>
    <cellStyle name="Normal" xfId="0" builtinId="0"/>
    <cellStyle name="Normal 3" xfId="1" xr:uid="{5A54DBE5-03B9-BA42-B9C3-8E912BF171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garet Le" id="{AFEEBB27-262F-5746-A4CF-F6066C6D9641}" userId="a191b0359d829a77" providerId="Windows Live"/>
  <person displayName="ASIF HASAN" id="{73A8D32D-B8B0-8A47-BA4D-36B7075B4113}" userId="S::asifh@sfu.ca::8fea7d4c-0605-4f6f-9d69-3bc9c79c2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3-03-15T06:45:34.50" personId="{AFEEBB27-262F-5746-A4CF-F6066C6D9641}" id="{B3DD1105-E0A9-E24A-9F82-FD9609E5D954}">
    <text>Physical Activity Coefficient - Assume that there is only typical daily living activities</text>
  </threadedComment>
  <threadedComment ref="B11" dT="2023-04-01T03:59:40.44" personId="{73A8D32D-B8B0-8A47-BA4D-36B7075B4113}" id="{C66A8CF9-3FCE-8F4C-BD1D-37D1FAB18DD0}">
    <text>-500 kcal from the estimated calories intake is still acceptable for maintaining weight</text>
  </threadedComment>
  <threadedComment ref="B13" dT="2023-03-15T06:59:41.96" personId="{AFEEBB27-262F-5746-A4CF-F6066C6D9641}" id="{3671381C-FA85-EA4C-9743-B4D3DFF639C2}">
    <text>20%-35% of total kcal/ day</text>
  </threadedComment>
  <threadedComment ref="B14" dT="2023-03-15T06:59:57.94" personId="{AFEEBB27-262F-5746-A4CF-F6066C6D9641}" id="{61C8CB71-D353-8444-BBC6-7213E1D7238D}">
    <text>7-9% of total kcal/ day</text>
  </threadedComment>
  <threadedComment ref="B15" dT="2023-03-15T07:28:42.55" personId="{AFEEBB27-262F-5746-A4CF-F6066C6D9641}" id="{92F39C48-AE88-444C-8D11-2E882E2746E6}">
    <text>A low-carb diet (less than 26% of total kcal intake) is recommended by health professionals. No lower bound since patients need to reduce their carb intake.</text>
  </threadedComment>
  <threadedComment ref="B16" dT="2023-03-15T06:57:44.65" personId="{AFEEBB27-262F-5746-A4CF-F6066C6D9641}" id="{792062B3-3714-B24F-98E6-C2B443D490E7}">
    <text xml:space="preserve">It's recommended to eat around 0.8 g protein per kg body weight, and there is not enough data for the upper bound. However, for calculation and health purpose, we limit the protein intake to 1.5 g per kg body weight. </text>
  </threadedComment>
  <threadedComment ref="B17" dT="2023-03-15T07:03:24.13" personId="{AFEEBB27-262F-5746-A4CF-F6066C6D9641}" id="{C0414EDB-FAD3-1542-83E6-32DBCC91FA31}">
    <text>No lower bound since patients need to cut as much sugar as possible. It is recommended to limit sugar intake to less than 5% of total daily calories intake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" dT="2023-03-17T01:42:19.35" personId="{00000000-0000-0000-0000-000000000000}" id="{653EF465-3F51-8B49-82EF-B99E910AD5EF}">
    <text>Fresh Grocery</text>
  </threadedComment>
  <threadedComment ref="B11" dT="2023-03-15T03:48:11.99" personId="{00000000-0000-0000-0000-000000000000}" id="{28C892D1-8882-774C-B477-1D3F2228FD1F}">
    <text xml:space="preserve">Dairyland Skim Milk
</text>
  </threadedComment>
  <threadedComment ref="B12" dT="2023-03-15T03:49:32.57" personId="{00000000-0000-0000-0000-000000000000}" id="{09387CBB-A157-6948-916B-0584D8837923}">
    <text>Yoplait Source Yogurt</text>
  </threadedComment>
  <threadedComment ref="B13" dT="2023-03-15T03:50:31.70" personId="{00000000-0000-0000-0000-000000000000}" id="{0F2D3737-9AD0-0F42-96A1-EB94C445994C}">
    <text>Great Value 2% 
Cottage Cheese</text>
  </threadedComment>
  <threadedComment ref="B14" dT="2023-03-15T03:52:19.13" personId="{00000000-0000-0000-0000-000000000000}" id="{FB22B8DE-3EE0-D347-A1C7-BBB1047D3CCB}">
    <text>Country Harvest 14 Grains Sliced Bread</text>
  </threadedComment>
  <threadedComment ref="B15" dT="2023-03-15T03:53:09.20" personId="{00000000-0000-0000-0000-000000000000}" id="{16053E5C-B0F9-4749-BB35-012D67E4AD03}">
    <text xml:space="preserve">Delicious Kitchen Jasmine Rice
</text>
  </threadedComment>
  <threadedComment ref="B16" dT="2023-03-17T02:51:31.38" personId="{00000000-0000-0000-0000-000000000000}" id="{FB463DEF-C410-A64D-AD11-D90CC5FA0608}">
    <text>Yellow Potatoes Grocery</text>
  </threadedComment>
  <threadedComment ref="B17" dT="2023-03-15T03:55:24.13" personId="{00000000-0000-0000-0000-000000000000}" id="{C5F82843-F09E-6547-9894-5E95B28A7257}">
    <text>Maple Leaf Prime WC</text>
  </threadedComment>
  <threadedComment ref="B18" dT="2023-03-15T03:56:02.24" personId="{00000000-0000-0000-0000-000000000000}" id="{D49A5E3D-785A-BD46-B661-14DF3829CAFC}">
    <text>Aqua Star Basa Fillets</text>
  </threadedComment>
  <threadedComment ref="B19" dT="2023-03-15T03:56:44.30" personId="{00000000-0000-0000-0000-000000000000}" id="{4DF864FA-370D-354D-AEAE-70D38278D012}">
    <text>Sunrise Tofu</text>
  </threadedComment>
  <threadedComment ref="B20" dT="2023-03-15T03:57:24.61" personId="{00000000-0000-0000-0000-000000000000}" id="{2066CD65-A379-2B41-9ED6-BD9F490C2B9F}">
    <text>Golden Valley Eggs</text>
  </threadedComment>
  <threadedComment ref="B21" dT="2023-03-25T00:01:01.70" personId="{73A8D32D-B8B0-8A47-BA4D-36B7075B4113}" id="{0D52A706-9F6B-854B-BA4B-CFC50D07019E}">
    <text xml:space="preserve">Maple Leaf Boneless Pork 
</text>
  </threadedComment>
  <threadedComment ref="B22" dT="2023-03-25T00:47:35.30" personId="{73A8D32D-B8B0-8A47-BA4D-36B7075B4113}" id="{3B64D030-9671-A149-BB0A-38ABAD7D58D9}">
    <text>Great Value Raw Large Shrimp</text>
  </threadedComment>
  <threadedComment ref="B23" dT="2023-03-25T01:03:19.86" personId="{73A8D32D-B8B0-8A47-BA4D-36B7075B4113}" id="{A3AE0724-4217-6040-BE31-0FBC7A308BD8}">
    <text xml:space="preserve">Your Fresh Market AAA Beef Stew
</text>
  </threadedComment>
  <threadedComment ref="A24" dT="2023-03-17T01:28:23.03" personId="{00000000-0000-0000-0000-000000000000}" id="{6578B096-F51E-4B41-9009-C34FAB5716D4}">
    <text>Fresh Grocery</text>
  </threadedComment>
  <threadedComment ref="B28" dT="2023-03-15T04:00:52.52" personId="{00000000-0000-0000-0000-000000000000}" id="{138B5196-6027-7C4E-9DE4-82565A31EA84}">
    <text xml:space="preserve">Tetley Tea
</text>
  </threadedComment>
  <threadedComment ref="B29" dT="2023-03-15T04:01:33.00" personId="{00000000-0000-0000-0000-000000000000}" id="{F9DFB9D9-1CA4-1A42-A62F-5AB212A4C5F7}">
    <text xml:space="preserve">Great Value Potato Chips
 </text>
  </threadedComment>
  <threadedComment ref="B30" dT="2023-03-15T04:02:15.23" personId="{00000000-0000-0000-0000-000000000000}" id="{58E2BFBF-439F-3A40-ACAC-9B8DD1A16633}">
    <text xml:space="preserve">Great Value Pretzels
</text>
  </threadedComment>
  <threadedComment ref="B31" dT="2023-03-24T23:52:13.18" personId="{73A8D32D-B8B0-8A47-BA4D-36B7075B4113}" id="{0EFF88C6-4092-2844-94EE-134580F14AB6}">
    <text>Great Value Original Bacon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55AC-0B8F-CD43-A2B3-DE9B392A9D41}">
  <dimension ref="B1:G23"/>
  <sheetViews>
    <sheetView workbookViewId="0">
      <selection activeCell="C11" sqref="C11"/>
    </sheetView>
  </sheetViews>
  <sheetFormatPr baseColWidth="10" defaultRowHeight="16" x14ac:dyDescent="0.2"/>
  <cols>
    <col min="2" max="2" width="18.33203125" customWidth="1"/>
    <col min="3" max="3" width="11.5" customWidth="1"/>
    <col min="4" max="4" width="11.6640625" customWidth="1"/>
    <col min="6" max="6" width="12.33203125" customWidth="1"/>
  </cols>
  <sheetData>
    <row r="1" spans="2:7" x14ac:dyDescent="0.2">
      <c r="B1" s="8" t="s">
        <v>86</v>
      </c>
      <c r="F1" s="8" t="s">
        <v>100</v>
      </c>
    </row>
    <row r="2" spans="2:7" x14ac:dyDescent="0.2">
      <c r="B2" s="10" t="s">
        <v>87</v>
      </c>
      <c r="C2" s="11" t="s">
        <v>88</v>
      </c>
      <c r="F2" s="12"/>
      <c r="G2" s="13" t="s">
        <v>89</v>
      </c>
    </row>
    <row r="3" spans="2:7" x14ac:dyDescent="0.2">
      <c r="B3" s="14" t="s">
        <v>90</v>
      </c>
      <c r="C3" s="15">
        <v>45</v>
      </c>
      <c r="F3" s="14" t="s">
        <v>91</v>
      </c>
      <c r="G3" s="16">
        <v>4</v>
      </c>
    </row>
    <row r="4" spans="2:7" x14ac:dyDescent="0.2">
      <c r="B4" s="14" t="s">
        <v>92</v>
      </c>
      <c r="C4" s="15">
        <v>70</v>
      </c>
      <c r="F4" s="14" t="s">
        <v>93</v>
      </c>
      <c r="G4" s="16">
        <v>4</v>
      </c>
    </row>
    <row r="5" spans="2:7" x14ac:dyDescent="0.2">
      <c r="B5" s="14" t="s">
        <v>94</v>
      </c>
      <c r="C5" s="15">
        <v>1.77</v>
      </c>
      <c r="F5" s="14" t="s">
        <v>95</v>
      </c>
      <c r="G5" s="16">
        <v>4</v>
      </c>
    </row>
    <row r="6" spans="2:7" x14ac:dyDescent="0.2">
      <c r="B6" s="14" t="s">
        <v>96</v>
      </c>
      <c r="C6" s="15">
        <v>1</v>
      </c>
      <c r="F6" s="14" t="s">
        <v>97</v>
      </c>
      <c r="G6" s="16">
        <v>9</v>
      </c>
    </row>
    <row r="7" spans="2:7" x14ac:dyDescent="0.2">
      <c r="B7" s="17" t="s">
        <v>98</v>
      </c>
      <c r="C7" s="18">
        <f>662-(9.53*$C$3)+$C$6*((15.91*$C$4)+(539.6*$C$5))</f>
        <v>2301.9420000000005</v>
      </c>
      <c r="F7" s="17" t="s">
        <v>99</v>
      </c>
      <c r="G7" s="19">
        <v>9</v>
      </c>
    </row>
    <row r="9" spans="2:7" x14ac:dyDescent="0.2">
      <c r="B9" s="8" t="s">
        <v>117</v>
      </c>
    </row>
    <row r="10" spans="2:7" x14ac:dyDescent="0.2">
      <c r="B10" s="20" t="s">
        <v>101</v>
      </c>
      <c r="C10" s="27" t="s">
        <v>102</v>
      </c>
      <c r="D10" s="28" t="s">
        <v>103</v>
      </c>
    </row>
    <row r="11" spans="2:7" x14ac:dyDescent="0.2">
      <c r="B11" s="10" t="s">
        <v>104</v>
      </c>
      <c r="C11" s="21">
        <f>C7-500</f>
        <v>1801.9420000000005</v>
      </c>
      <c r="D11" s="22">
        <f>C7</f>
        <v>2301.9420000000005</v>
      </c>
    </row>
    <row r="12" spans="2:7" x14ac:dyDescent="0.2">
      <c r="B12" s="14" t="s">
        <v>105</v>
      </c>
      <c r="C12" s="23">
        <v>30</v>
      </c>
      <c r="D12" s="24">
        <v>50</v>
      </c>
    </row>
    <row r="13" spans="2:7" x14ac:dyDescent="0.2">
      <c r="B13" s="14" t="s">
        <v>106</v>
      </c>
      <c r="C13" s="5">
        <f>(0.2*D11)/G6</f>
        <v>51.154266666666679</v>
      </c>
      <c r="D13" s="24">
        <f>(0.35*D11)/G6</f>
        <v>89.519966666666676</v>
      </c>
    </row>
    <row r="14" spans="2:7" x14ac:dyDescent="0.2">
      <c r="B14" s="14" t="s">
        <v>107</v>
      </c>
      <c r="C14" s="5">
        <f>(0.07*C7)/G7</f>
        <v>17.903993333333336</v>
      </c>
      <c r="D14" s="24">
        <f>(0.09*C7)/G7</f>
        <v>23.019420000000004</v>
      </c>
    </row>
    <row r="15" spans="2:7" x14ac:dyDescent="0.2">
      <c r="B15" s="14" t="s">
        <v>108</v>
      </c>
      <c r="C15" s="5"/>
      <c r="D15" s="24">
        <f>(0.26*D11)/G4</f>
        <v>149.62623000000002</v>
      </c>
    </row>
    <row r="16" spans="2:7" x14ac:dyDescent="0.2">
      <c r="B16" s="14" t="s">
        <v>109</v>
      </c>
      <c r="C16" s="5">
        <f>0.8*C4</f>
        <v>56</v>
      </c>
      <c r="D16" s="24">
        <f>1.5*$C$4</f>
        <v>105</v>
      </c>
    </row>
    <row r="17" spans="2:4" x14ac:dyDescent="0.2">
      <c r="B17" s="14" t="s">
        <v>110</v>
      </c>
      <c r="C17" s="5"/>
      <c r="D17" s="24">
        <f>(0.05*D11)/G3</f>
        <v>28.774275000000006</v>
      </c>
    </row>
    <row r="18" spans="2:4" x14ac:dyDescent="0.2">
      <c r="B18" s="14" t="s">
        <v>111</v>
      </c>
      <c r="C18" s="5">
        <v>1500</v>
      </c>
      <c r="D18" s="24">
        <v>2300</v>
      </c>
    </row>
    <row r="19" spans="2:4" x14ac:dyDescent="0.2">
      <c r="B19" s="14" t="s">
        <v>112</v>
      </c>
      <c r="C19" s="5">
        <v>800</v>
      </c>
      <c r="D19" s="24">
        <v>2500</v>
      </c>
    </row>
    <row r="20" spans="2:4" x14ac:dyDescent="0.2">
      <c r="B20" s="14" t="s">
        <v>113</v>
      </c>
      <c r="C20" s="5">
        <v>6</v>
      </c>
      <c r="D20" s="24">
        <v>45</v>
      </c>
    </row>
    <row r="21" spans="2:4" x14ac:dyDescent="0.2">
      <c r="B21" s="14" t="s">
        <v>114</v>
      </c>
      <c r="C21" s="5">
        <v>3500</v>
      </c>
      <c r="D21" s="24">
        <v>4700</v>
      </c>
    </row>
    <row r="22" spans="2:4" x14ac:dyDescent="0.2">
      <c r="B22" s="14" t="s">
        <v>115</v>
      </c>
      <c r="C22" s="5">
        <v>625</v>
      </c>
      <c r="D22" s="24">
        <v>3000</v>
      </c>
    </row>
    <row r="23" spans="2:4" x14ac:dyDescent="0.2">
      <c r="B23" s="17" t="s">
        <v>116</v>
      </c>
      <c r="C23" s="25">
        <v>10</v>
      </c>
      <c r="D23" s="26">
        <v>100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FF67-F096-EA45-8BA0-15A64B7431A7}">
  <dimension ref="A1:T31"/>
  <sheetViews>
    <sheetView zoomScale="75" workbookViewId="0">
      <selection activeCell="Q22" sqref="Q22"/>
    </sheetView>
  </sheetViews>
  <sheetFormatPr baseColWidth="10" defaultRowHeight="15" x14ac:dyDescent="0.2"/>
  <cols>
    <col min="1" max="2" width="10.83203125" style="1"/>
    <col min="3" max="3" width="19.83203125" style="1" customWidth="1"/>
    <col min="4" max="4" width="15.1640625" style="1" bestFit="1" customWidth="1"/>
    <col min="5" max="6" width="20.83203125" style="1" bestFit="1" customWidth="1"/>
    <col min="7" max="7" width="18.6640625" style="1" bestFit="1" customWidth="1"/>
    <col min="8" max="8" width="12.1640625" style="1" bestFit="1" customWidth="1"/>
    <col min="9" max="9" width="10.83203125" style="1"/>
    <col min="10" max="10" width="14.6640625" style="1" bestFit="1" customWidth="1"/>
    <col min="11" max="11" width="11.33203125" style="1" bestFit="1" customWidth="1"/>
    <col min="12" max="12" width="15.1640625" style="1" bestFit="1" customWidth="1"/>
    <col min="13" max="15" width="10.83203125" style="1"/>
    <col min="16" max="16" width="12.33203125" style="1" bestFit="1" customWidth="1"/>
    <col min="17" max="17" width="13.1640625" style="1" bestFit="1" customWidth="1"/>
    <col min="18" max="18" width="12.5" style="1" bestFit="1" customWidth="1"/>
    <col min="19" max="20" width="13.6640625" style="1" bestFit="1" customWidth="1"/>
    <col min="21" max="16384" width="10.83203125" style="1"/>
  </cols>
  <sheetData>
    <row r="1" spans="1:20" ht="16" x14ac:dyDescent="0.2">
      <c r="A1" s="8" t="s">
        <v>82</v>
      </c>
      <c r="B1"/>
    </row>
    <row r="2" spans="1:20" ht="16" x14ac:dyDescent="0.2">
      <c r="A2" s="9" t="s">
        <v>83</v>
      </c>
      <c r="B2"/>
    </row>
    <row r="3" spans="1:20" ht="16" x14ac:dyDescent="0.2">
      <c r="A3" s="9" t="s">
        <v>84</v>
      </c>
      <c r="B3"/>
    </row>
    <row r="4" spans="1:20" ht="16" x14ac:dyDescent="0.2">
      <c r="A4" s="9" t="s">
        <v>85</v>
      </c>
      <c r="B4"/>
    </row>
    <row r="6" spans="1:20" x14ac:dyDescent="0.2">
      <c r="C6" s="2" t="s">
        <v>68</v>
      </c>
      <c r="D6" s="2" t="s">
        <v>67</v>
      </c>
      <c r="E6" s="67" t="s">
        <v>66</v>
      </c>
      <c r="F6" s="2" t="s">
        <v>65</v>
      </c>
      <c r="G6" s="2" t="s">
        <v>64</v>
      </c>
      <c r="H6" s="66" t="s">
        <v>69</v>
      </c>
      <c r="I6" s="66" t="s">
        <v>70</v>
      </c>
      <c r="J6" s="66" t="s">
        <v>71</v>
      </c>
      <c r="K6" s="66" t="s">
        <v>72</v>
      </c>
      <c r="L6" s="66" t="s">
        <v>73</v>
      </c>
      <c r="M6" s="66" t="s">
        <v>74</v>
      </c>
      <c r="N6" s="66" t="s">
        <v>75</v>
      </c>
      <c r="O6" s="66" t="s">
        <v>76</v>
      </c>
      <c r="P6" s="66" t="s">
        <v>77</v>
      </c>
      <c r="Q6" s="66" t="s">
        <v>78</v>
      </c>
      <c r="R6" s="66" t="s">
        <v>79</v>
      </c>
      <c r="S6" s="66" t="s">
        <v>80</v>
      </c>
      <c r="T6" s="66" t="s">
        <v>81</v>
      </c>
    </row>
    <row r="7" spans="1:20" ht="16" x14ac:dyDescent="0.2">
      <c r="A7" s="4" t="s">
        <v>63</v>
      </c>
      <c r="B7" s="2" t="s">
        <v>62</v>
      </c>
      <c r="C7" s="56" t="s">
        <v>61</v>
      </c>
      <c r="D7" s="64">
        <f>1000/182</f>
        <v>5.4945054945054945</v>
      </c>
      <c r="E7" s="65">
        <f>5.45/D7</f>
        <v>0.9919</v>
      </c>
      <c r="F7" s="2" t="s">
        <v>60</v>
      </c>
      <c r="G7" s="60">
        <v>1</v>
      </c>
      <c r="H7" s="61">
        <f>95</f>
        <v>95</v>
      </c>
      <c r="I7" s="61">
        <v>0.3</v>
      </c>
      <c r="J7" s="61">
        <v>0.1</v>
      </c>
      <c r="K7" s="61">
        <v>1.8</v>
      </c>
      <c r="L7" s="61">
        <v>25</v>
      </c>
      <c r="M7" s="61">
        <v>4.4000000000000004</v>
      </c>
      <c r="N7" s="61">
        <v>19</v>
      </c>
      <c r="O7" s="61">
        <v>0.5</v>
      </c>
      <c r="P7" s="7">
        <v>0</v>
      </c>
      <c r="Q7" s="6">
        <v>0</v>
      </c>
      <c r="R7" s="61">
        <v>11</v>
      </c>
      <c r="S7" s="61">
        <v>194.7</v>
      </c>
      <c r="T7" s="61">
        <v>0.2</v>
      </c>
    </row>
    <row r="8" spans="1:20" ht="16" x14ac:dyDescent="0.2">
      <c r="A8" s="3"/>
      <c r="B8" s="2" t="s">
        <v>59</v>
      </c>
      <c r="C8" s="57" t="s">
        <v>58</v>
      </c>
      <c r="D8" s="64">
        <f>1000/118</f>
        <v>8.4745762711864412</v>
      </c>
      <c r="E8" s="65">
        <f>1.72/D8</f>
        <v>0.20295999999999997</v>
      </c>
      <c r="F8" s="2" t="s">
        <v>57</v>
      </c>
      <c r="G8" s="60">
        <v>1</v>
      </c>
      <c r="H8" s="61">
        <v>105</v>
      </c>
      <c r="I8" s="61">
        <v>0.4</v>
      </c>
      <c r="J8" s="61">
        <v>0.1</v>
      </c>
      <c r="K8" s="61">
        <v>1.2</v>
      </c>
      <c r="L8" s="61">
        <v>27</v>
      </c>
      <c r="M8" s="61">
        <v>3.1</v>
      </c>
      <c r="N8" s="61">
        <v>14</v>
      </c>
      <c r="O8" s="61">
        <v>1.3</v>
      </c>
      <c r="P8" s="7">
        <v>0</v>
      </c>
      <c r="Q8" s="6">
        <v>0</v>
      </c>
      <c r="R8" s="61">
        <v>5.9</v>
      </c>
      <c r="S8" s="61">
        <v>422.4</v>
      </c>
      <c r="T8" s="61">
        <v>0.3</v>
      </c>
    </row>
    <row r="9" spans="1:20" ht="16" x14ac:dyDescent="0.2">
      <c r="A9" s="3"/>
      <c r="B9" s="2" t="s">
        <v>56</v>
      </c>
      <c r="C9" s="57" t="s">
        <v>55</v>
      </c>
      <c r="D9" s="64">
        <v>8</v>
      </c>
      <c r="E9" s="65">
        <f>5.97/D9</f>
        <v>0.74624999999999997</v>
      </c>
      <c r="F9" s="2" t="s">
        <v>52</v>
      </c>
      <c r="G9" s="60">
        <v>8</v>
      </c>
      <c r="H9" s="61">
        <f>461/G9</f>
        <v>57.625</v>
      </c>
      <c r="I9" s="61">
        <f>1.8/G9</f>
        <v>0.22500000000000001</v>
      </c>
      <c r="J9" s="61">
        <f>0.5/G9</f>
        <v>6.25E-2</v>
      </c>
      <c r="K9" s="61">
        <f>230/G9</f>
        <v>28.75</v>
      </c>
      <c r="L9" s="61">
        <f>116/G9</f>
        <v>14.5</v>
      </c>
      <c r="M9" s="61">
        <f>10/G9</f>
        <v>1.25</v>
      </c>
      <c r="N9" s="61">
        <f>104/G9</f>
        <v>13</v>
      </c>
      <c r="O9" s="61">
        <f>6.9/G9</f>
        <v>0.86250000000000004</v>
      </c>
      <c r="P9" s="62">
        <v>0</v>
      </c>
      <c r="Q9" s="61">
        <v>0</v>
      </c>
      <c r="R9" s="61">
        <f>77/G9</f>
        <v>9.625</v>
      </c>
      <c r="S9" s="61">
        <f>2918.4/G9</f>
        <v>364.8</v>
      </c>
      <c r="T9" s="61">
        <f>2.2/G9</f>
        <v>0.27500000000000002</v>
      </c>
    </row>
    <row r="10" spans="1:20" ht="16" x14ac:dyDescent="0.2">
      <c r="A10" s="3"/>
      <c r="B10" s="2" t="s">
        <v>54</v>
      </c>
      <c r="C10" s="57" t="s">
        <v>53</v>
      </c>
      <c r="D10" s="64">
        <v>2</v>
      </c>
      <c r="E10" s="65">
        <f>0.87/D10</f>
        <v>0.435</v>
      </c>
      <c r="F10" s="2" t="s">
        <v>52</v>
      </c>
      <c r="G10" s="60">
        <v>2</v>
      </c>
      <c r="H10" s="61">
        <f>202/G10</f>
        <v>101</v>
      </c>
      <c r="I10" s="61">
        <f>1.3/G10</f>
        <v>0.65</v>
      </c>
      <c r="J10" s="61">
        <f>0.3/G10</f>
        <v>0.15</v>
      </c>
      <c r="K10" s="61">
        <f>3.4/G10</f>
        <v>1.7</v>
      </c>
      <c r="L10" s="61">
        <f>50/G10</f>
        <v>25</v>
      </c>
      <c r="M10" s="61">
        <f>5.4/G10</f>
        <v>2.7</v>
      </c>
      <c r="N10" s="61">
        <f>46/G10</f>
        <v>23</v>
      </c>
      <c r="O10" s="61">
        <f>2.8/G10</f>
        <v>1.4</v>
      </c>
      <c r="P10" s="62">
        <v>0</v>
      </c>
      <c r="Q10" s="61">
        <v>0</v>
      </c>
      <c r="R10" s="61">
        <f>37/G10</f>
        <v>18.5</v>
      </c>
      <c r="S10" s="61">
        <f>564.5/G10</f>
        <v>282.25</v>
      </c>
      <c r="T10" s="61">
        <f>0.5/G10</f>
        <v>0.25</v>
      </c>
    </row>
    <row r="11" spans="1:20" ht="16" x14ac:dyDescent="0.2">
      <c r="A11" s="4" t="s">
        <v>51</v>
      </c>
      <c r="B11" s="2" t="s">
        <v>50</v>
      </c>
      <c r="C11" s="58" t="s">
        <v>49</v>
      </c>
      <c r="D11" s="64">
        <f>1000/250</f>
        <v>4</v>
      </c>
      <c r="E11" s="65">
        <f>1.45/D11</f>
        <v>0.36249999999999999</v>
      </c>
      <c r="F11" s="2" t="s">
        <v>48</v>
      </c>
      <c r="G11" s="60">
        <v>1</v>
      </c>
      <c r="H11" s="61">
        <v>90</v>
      </c>
      <c r="I11" s="61">
        <v>0</v>
      </c>
      <c r="J11" s="61">
        <v>0</v>
      </c>
      <c r="K11" s="61">
        <v>125</v>
      </c>
      <c r="L11" s="61">
        <v>13</v>
      </c>
      <c r="M11" s="61">
        <v>0</v>
      </c>
      <c r="N11" s="61">
        <v>13</v>
      </c>
      <c r="O11" s="61">
        <v>9</v>
      </c>
      <c r="P11" s="61">
        <v>90</v>
      </c>
      <c r="Q11" s="61">
        <v>8</v>
      </c>
      <c r="R11" s="61">
        <v>375</v>
      </c>
      <c r="S11" s="62">
        <v>0</v>
      </c>
      <c r="T11" s="61">
        <v>0</v>
      </c>
    </row>
    <row r="12" spans="1:20" ht="16" x14ac:dyDescent="0.2">
      <c r="A12" s="3"/>
      <c r="B12" s="2" t="s">
        <v>47</v>
      </c>
      <c r="C12" s="58" t="s">
        <v>46</v>
      </c>
      <c r="D12" s="64">
        <v>16</v>
      </c>
      <c r="E12" s="65">
        <f>7.28/D12</f>
        <v>0.45500000000000002</v>
      </c>
      <c r="F12" s="2" t="s">
        <v>45</v>
      </c>
      <c r="G12" s="60">
        <v>1</v>
      </c>
      <c r="H12" s="61">
        <v>40</v>
      </c>
      <c r="I12" s="61">
        <v>0</v>
      </c>
      <c r="J12" s="61">
        <v>0</v>
      </c>
      <c r="K12" s="61">
        <v>60</v>
      </c>
      <c r="L12" s="61">
        <v>6</v>
      </c>
      <c r="M12" s="61">
        <v>0</v>
      </c>
      <c r="N12" s="61">
        <v>4</v>
      </c>
      <c r="O12" s="61">
        <v>4</v>
      </c>
      <c r="P12" s="61">
        <v>50</v>
      </c>
      <c r="Q12" s="61">
        <v>1</v>
      </c>
      <c r="R12" s="61">
        <v>125</v>
      </c>
      <c r="S12" s="61">
        <v>175</v>
      </c>
      <c r="T12" s="61">
        <v>0.1</v>
      </c>
    </row>
    <row r="13" spans="1:20" ht="16" x14ac:dyDescent="0.2">
      <c r="A13" s="3"/>
      <c r="B13" s="2" t="s">
        <v>44</v>
      </c>
      <c r="C13" s="58" t="s">
        <v>43</v>
      </c>
      <c r="D13" s="64">
        <f>750/75</f>
        <v>10</v>
      </c>
      <c r="E13" s="65">
        <f>4.79/D13</f>
        <v>0.47899999999999998</v>
      </c>
      <c r="F13" s="2" t="s">
        <v>42</v>
      </c>
      <c r="G13" s="60">
        <f>125/75</f>
        <v>1.6666666666666667</v>
      </c>
      <c r="H13" s="61">
        <f>100/G13</f>
        <v>60</v>
      </c>
      <c r="I13" s="61">
        <f>2.5/G13</f>
        <v>1.5</v>
      </c>
      <c r="J13" s="61">
        <f>1.5/G13</f>
        <v>0.89999999999999991</v>
      </c>
      <c r="K13" s="61">
        <f>290/G13</f>
        <v>174</v>
      </c>
      <c r="L13" s="61">
        <f>7/G13</f>
        <v>4.2</v>
      </c>
      <c r="M13" s="61">
        <v>0</v>
      </c>
      <c r="N13" s="61">
        <f>7/G13</f>
        <v>4.2</v>
      </c>
      <c r="O13" s="61">
        <f>14/G13</f>
        <v>8.4</v>
      </c>
      <c r="P13" s="61">
        <f>18/G13</f>
        <v>10.799999999999999</v>
      </c>
      <c r="Q13" s="62">
        <v>0</v>
      </c>
      <c r="R13" s="61">
        <f>187.5/G13</f>
        <v>112.5</v>
      </c>
      <c r="S13" s="62">
        <v>0</v>
      </c>
      <c r="T13" s="61">
        <f>0.2/G13</f>
        <v>0.12</v>
      </c>
    </row>
    <row r="14" spans="1:20" ht="16" x14ac:dyDescent="0.2">
      <c r="A14" s="4" t="s">
        <v>41</v>
      </c>
      <c r="B14" s="2" t="s">
        <v>40</v>
      </c>
      <c r="C14" s="58" t="s">
        <v>39</v>
      </c>
      <c r="D14" s="64">
        <f>600/75</f>
        <v>8</v>
      </c>
      <c r="E14" s="65">
        <f>3.97/D14</f>
        <v>0.49625000000000002</v>
      </c>
      <c r="F14" s="2" t="s">
        <v>38</v>
      </c>
      <c r="G14" s="60">
        <v>1</v>
      </c>
      <c r="H14" s="61">
        <v>190</v>
      </c>
      <c r="I14" s="61">
        <v>3.5</v>
      </c>
      <c r="J14" s="61">
        <v>0.5</v>
      </c>
      <c r="K14" s="61">
        <v>270</v>
      </c>
      <c r="L14" s="61">
        <v>33</v>
      </c>
      <c r="M14" s="61">
        <v>4</v>
      </c>
      <c r="N14" s="61">
        <v>3</v>
      </c>
      <c r="O14" s="61">
        <v>8</v>
      </c>
      <c r="P14" s="62">
        <v>0</v>
      </c>
      <c r="Q14" s="62">
        <v>0</v>
      </c>
      <c r="R14" s="61">
        <v>75</v>
      </c>
      <c r="S14" s="61">
        <v>200</v>
      </c>
      <c r="T14" s="61">
        <v>2</v>
      </c>
    </row>
    <row r="15" spans="1:20" ht="16" x14ac:dyDescent="0.2">
      <c r="A15" s="3"/>
      <c r="B15" s="2" t="s">
        <v>37</v>
      </c>
      <c r="C15" s="58" t="s">
        <v>36</v>
      </c>
      <c r="D15" s="64">
        <f>1000/45</f>
        <v>22.222222222222221</v>
      </c>
      <c r="E15" s="65">
        <f>2.37/D15</f>
        <v>0.10665000000000001</v>
      </c>
      <c r="F15" s="2" t="s">
        <v>35</v>
      </c>
      <c r="G15" s="60">
        <v>1</v>
      </c>
      <c r="H15" s="61">
        <v>160</v>
      </c>
      <c r="I15" s="61">
        <v>0</v>
      </c>
      <c r="J15" s="61">
        <v>0</v>
      </c>
      <c r="K15" s="61">
        <v>0</v>
      </c>
      <c r="L15" s="61">
        <v>37</v>
      </c>
      <c r="M15" s="61">
        <v>0</v>
      </c>
      <c r="N15" s="61">
        <v>0</v>
      </c>
      <c r="O15" s="61">
        <v>3</v>
      </c>
      <c r="P15" s="61">
        <v>0</v>
      </c>
      <c r="Q15" s="61">
        <v>0</v>
      </c>
      <c r="R15" s="61">
        <v>0</v>
      </c>
      <c r="S15" s="62">
        <v>0</v>
      </c>
      <c r="T15" s="61">
        <v>0</v>
      </c>
    </row>
    <row r="16" spans="1:20" ht="16" x14ac:dyDescent="0.2">
      <c r="A16" s="3"/>
      <c r="B16" s="2" t="s">
        <v>34</v>
      </c>
      <c r="C16" s="58" t="s">
        <v>33</v>
      </c>
      <c r="D16" s="64">
        <f>1000/50</f>
        <v>20</v>
      </c>
      <c r="E16" s="65">
        <f>1.99/D16</f>
        <v>9.9500000000000005E-2</v>
      </c>
      <c r="F16" s="2" t="s">
        <v>10</v>
      </c>
      <c r="G16" s="60">
        <v>2</v>
      </c>
      <c r="H16" s="61">
        <f>93/G16</f>
        <v>46.5</v>
      </c>
      <c r="I16" s="61">
        <f>0.1/G16</f>
        <v>0.05</v>
      </c>
      <c r="J16" s="61">
        <v>0</v>
      </c>
      <c r="K16" s="61">
        <f>10/G16</f>
        <v>5</v>
      </c>
      <c r="L16" s="61">
        <f>21/G16</f>
        <v>10.5</v>
      </c>
      <c r="M16" s="61">
        <f>2.2/G16</f>
        <v>1.1000000000000001</v>
      </c>
      <c r="N16" s="61">
        <f>1.2/G16</f>
        <v>0.6</v>
      </c>
      <c r="O16" s="61">
        <f>2.5/G16</f>
        <v>1.25</v>
      </c>
      <c r="P16" s="61">
        <v>0</v>
      </c>
      <c r="Q16" s="61">
        <v>0</v>
      </c>
      <c r="R16" s="61">
        <f>15/G16</f>
        <v>7.5</v>
      </c>
      <c r="S16" s="61">
        <f>535/G16</f>
        <v>267.5</v>
      </c>
      <c r="T16" s="61">
        <f>1.1/G16</f>
        <v>0.55000000000000004</v>
      </c>
    </row>
    <row r="17" spans="1:20" ht="16" x14ac:dyDescent="0.2">
      <c r="A17" s="4" t="s">
        <v>32</v>
      </c>
      <c r="B17" s="2" t="s">
        <v>31</v>
      </c>
      <c r="C17" s="58" t="s">
        <v>30</v>
      </c>
      <c r="D17" s="64">
        <f>1500/150</f>
        <v>10</v>
      </c>
      <c r="E17" s="65">
        <f>15.448/D17</f>
        <v>1.5448</v>
      </c>
      <c r="F17" s="2" t="s">
        <v>168</v>
      </c>
      <c r="G17" s="60">
        <v>10</v>
      </c>
      <c r="H17" s="61">
        <f>3214/G17</f>
        <v>321.39999999999998</v>
      </c>
      <c r="I17" s="61">
        <f>233/G17</f>
        <v>23.3</v>
      </c>
      <c r="J17" s="61">
        <f>67/G17</f>
        <v>6.7</v>
      </c>
      <c r="K17" s="61">
        <f>1041/G17</f>
        <v>104.1</v>
      </c>
      <c r="L17" s="61">
        <f>1.4/G17</f>
        <v>0.13999999999999999</v>
      </c>
      <c r="M17" s="61">
        <v>0</v>
      </c>
      <c r="N17" s="61">
        <v>0</v>
      </c>
      <c r="O17" s="61">
        <f>258/G17</f>
        <v>25.8</v>
      </c>
      <c r="P17" s="62">
        <v>0</v>
      </c>
      <c r="Q17" s="61">
        <v>0</v>
      </c>
      <c r="R17" s="61">
        <f>151/G17</f>
        <v>15.1</v>
      </c>
      <c r="S17" s="61">
        <f>2957.6/G17</f>
        <v>295.76</v>
      </c>
      <c r="T17" s="61">
        <f>21/G17</f>
        <v>2.1</v>
      </c>
    </row>
    <row r="18" spans="1:20" ht="16" x14ac:dyDescent="0.2">
      <c r="A18" s="3"/>
      <c r="B18" s="2" t="s">
        <v>29</v>
      </c>
      <c r="C18" s="58" t="s">
        <v>28</v>
      </c>
      <c r="D18" s="64">
        <f>908/125</f>
        <v>7.2640000000000002</v>
      </c>
      <c r="E18" s="65">
        <f>6.97/D18</f>
        <v>0.95952643171806162</v>
      </c>
      <c r="F18" s="2" t="s">
        <v>27</v>
      </c>
      <c r="G18" s="60">
        <v>1</v>
      </c>
      <c r="H18" s="61">
        <v>90</v>
      </c>
      <c r="I18" s="61">
        <v>2</v>
      </c>
      <c r="J18" s="61">
        <v>1</v>
      </c>
      <c r="K18" s="61">
        <v>240</v>
      </c>
      <c r="L18" s="61">
        <v>0</v>
      </c>
      <c r="M18" s="61">
        <v>0</v>
      </c>
      <c r="N18" s="61">
        <v>0</v>
      </c>
      <c r="O18" s="61">
        <v>17</v>
      </c>
      <c r="P18" s="61">
        <v>0</v>
      </c>
      <c r="Q18" s="62">
        <v>0</v>
      </c>
      <c r="R18" s="61">
        <v>0</v>
      </c>
      <c r="S18" s="62">
        <v>0</v>
      </c>
      <c r="T18" s="61">
        <v>0</v>
      </c>
    </row>
    <row r="19" spans="1:20" ht="16" x14ac:dyDescent="0.2">
      <c r="A19" s="3"/>
      <c r="B19" s="2" t="s">
        <v>26</v>
      </c>
      <c r="C19" s="58" t="s">
        <v>25</v>
      </c>
      <c r="D19" s="64">
        <f>454/85</f>
        <v>5.341176470588235</v>
      </c>
      <c r="E19" s="65">
        <f>2.47/D19</f>
        <v>0.4624449339207049</v>
      </c>
      <c r="F19" s="2" t="s">
        <v>24</v>
      </c>
      <c r="G19" s="60">
        <v>1</v>
      </c>
      <c r="H19" s="61">
        <v>70</v>
      </c>
      <c r="I19" s="61">
        <v>4</v>
      </c>
      <c r="J19" s="61">
        <v>0.5</v>
      </c>
      <c r="K19" s="61">
        <v>3</v>
      </c>
      <c r="L19" s="61">
        <v>2</v>
      </c>
      <c r="M19" s="61">
        <v>0</v>
      </c>
      <c r="N19" s="61">
        <v>0</v>
      </c>
      <c r="O19" s="61">
        <v>7</v>
      </c>
      <c r="P19" s="62">
        <v>0</v>
      </c>
      <c r="Q19" s="62">
        <v>0</v>
      </c>
      <c r="R19" s="61">
        <v>125</v>
      </c>
      <c r="S19" s="61">
        <v>175</v>
      </c>
      <c r="T19" s="61">
        <v>1</v>
      </c>
    </row>
    <row r="20" spans="1:20" ht="16" x14ac:dyDescent="0.2">
      <c r="A20" s="3"/>
      <c r="B20" s="2" t="s">
        <v>23</v>
      </c>
      <c r="C20" s="58" t="s">
        <v>22</v>
      </c>
      <c r="D20" s="64">
        <v>30</v>
      </c>
      <c r="E20" s="65">
        <f>9.18/D20</f>
        <v>0.30599999999999999</v>
      </c>
      <c r="F20" s="2" t="s">
        <v>21</v>
      </c>
      <c r="G20" s="60">
        <v>1</v>
      </c>
      <c r="H20" s="61">
        <v>70</v>
      </c>
      <c r="I20" s="61">
        <v>5</v>
      </c>
      <c r="J20" s="61">
        <v>1.5</v>
      </c>
      <c r="K20" s="61">
        <v>65</v>
      </c>
      <c r="L20" s="61">
        <v>1</v>
      </c>
      <c r="M20" s="61">
        <v>0</v>
      </c>
      <c r="N20" s="61">
        <v>0</v>
      </c>
      <c r="O20" s="61">
        <v>6</v>
      </c>
      <c r="P20" s="61">
        <v>100</v>
      </c>
      <c r="Q20" s="62">
        <v>0</v>
      </c>
      <c r="R20" s="61">
        <v>25</v>
      </c>
      <c r="S20" s="62">
        <v>0</v>
      </c>
      <c r="T20" s="61">
        <v>1</v>
      </c>
    </row>
    <row r="21" spans="1:20" ht="16" x14ac:dyDescent="0.2">
      <c r="B21" s="2" t="s">
        <v>161</v>
      </c>
      <c r="C21" s="59" t="s">
        <v>162</v>
      </c>
      <c r="D21" s="64">
        <f>1000/100</f>
        <v>10</v>
      </c>
      <c r="E21" s="65">
        <f>10.96/D21</f>
        <v>1.0960000000000001</v>
      </c>
      <c r="F21" s="2" t="s">
        <v>169</v>
      </c>
      <c r="G21" s="60">
        <v>1</v>
      </c>
      <c r="H21" s="3">
        <v>238</v>
      </c>
      <c r="I21" s="3">
        <v>14</v>
      </c>
      <c r="J21" s="3">
        <v>4.9000000000000004</v>
      </c>
      <c r="K21" s="3">
        <v>57</v>
      </c>
      <c r="L21" s="3">
        <v>0</v>
      </c>
      <c r="M21" s="3">
        <v>0</v>
      </c>
      <c r="N21" s="3">
        <v>0</v>
      </c>
      <c r="O21" s="3">
        <v>26</v>
      </c>
      <c r="P21" s="63">
        <v>0</v>
      </c>
      <c r="Q21" s="3">
        <v>1</v>
      </c>
      <c r="R21" s="3">
        <v>20</v>
      </c>
      <c r="S21" s="3">
        <v>341</v>
      </c>
      <c r="T21" s="3">
        <v>1.1000000000000001</v>
      </c>
    </row>
    <row r="22" spans="1:20" ht="16" x14ac:dyDescent="0.2">
      <c r="B22" s="2" t="s">
        <v>163</v>
      </c>
      <c r="C22" s="59" t="s">
        <v>164</v>
      </c>
      <c r="D22" s="64">
        <f>600/85</f>
        <v>7.0588235294117645</v>
      </c>
      <c r="E22" s="65">
        <f>12.47/D22</f>
        <v>1.7665833333333334</v>
      </c>
      <c r="F22" s="2" t="s">
        <v>165</v>
      </c>
      <c r="G22" s="60">
        <f>125/85</f>
        <v>1.4705882352941178</v>
      </c>
      <c r="H22" s="3">
        <f>80/G22</f>
        <v>54.4</v>
      </c>
      <c r="I22" s="3">
        <f>0.5/G22</f>
        <v>0.33999999999999997</v>
      </c>
      <c r="J22" s="3">
        <f>0.2/G22</f>
        <v>0.13600000000000001</v>
      </c>
      <c r="K22" s="3">
        <f>680/G22</f>
        <v>462.4</v>
      </c>
      <c r="L22" s="3">
        <v>0</v>
      </c>
      <c r="M22" s="3">
        <v>0</v>
      </c>
      <c r="N22" s="3">
        <v>0</v>
      </c>
      <c r="O22" s="3">
        <f>18/G22</f>
        <v>12.239999999999998</v>
      </c>
      <c r="P22" s="63">
        <v>0</v>
      </c>
      <c r="Q22" s="63">
        <v>0</v>
      </c>
      <c r="R22" s="3">
        <f>40/G22</f>
        <v>27.2</v>
      </c>
      <c r="S22" s="3">
        <f>150/G22</f>
        <v>101.99999999999999</v>
      </c>
      <c r="T22" s="3">
        <f>0.3/G22</f>
        <v>0.20399999999999999</v>
      </c>
    </row>
    <row r="23" spans="1:20" ht="16" x14ac:dyDescent="0.2">
      <c r="B23" s="2" t="s">
        <v>166</v>
      </c>
      <c r="C23" s="59" t="s">
        <v>167</v>
      </c>
      <c r="D23" s="64">
        <f>1000/100</f>
        <v>10</v>
      </c>
      <c r="E23" s="65">
        <f>19.78/D23</f>
        <v>1.9780000000000002</v>
      </c>
      <c r="F23" s="2" t="s">
        <v>10</v>
      </c>
      <c r="G23" s="60">
        <v>1</v>
      </c>
      <c r="H23" s="3">
        <v>259</v>
      </c>
      <c r="I23" s="3">
        <v>17</v>
      </c>
      <c r="J23" s="3">
        <v>6.8</v>
      </c>
      <c r="K23" s="3">
        <v>50</v>
      </c>
      <c r="L23" s="3">
        <v>0</v>
      </c>
      <c r="M23" s="3">
        <v>0</v>
      </c>
      <c r="N23" s="3">
        <v>0</v>
      </c>
      <c r="O23" s="3">
        <v>26</v>
      </c>
      <c r="P23" s="63">
        <v>0</v>
      </c>
      <c r="Q23" s="3">
        <v>0.3</v>
      </c>
      <c r="R23" s="3">
        <v>13</v>
      </c>
      <c r="S23" s="3">
        <v>271</v>
      </c>
      <c r="T23" s="3">
        <v>2.2000000000000002</v>
      </c>
    </row>
    <row r="24" spans="1:20" ht="16" x14ac:dyDescent="0.2">
      <c r="A24" s="4" t="s">
        <v>20</v>
      </c>
      <c r="B24" s="2" t="s">
        <v>19</v>
      </c>
      <c r="C24" s="58" t="s">
        <v>18</v>
      </c>
      <c r="D24" s="64">
        <v>10</v>
      </c>
      <c r="E24" s="65">
        <f>5.97/D24</f>
        <v>0.59699999999999998</v>
      </c>
      <c r="F24" s="2" t="s">
        <v>17</v>
      </c>
      <c r="G24" s="60">
        <v>2</v>
      </c>
      <c r="H24" s="61">
        <f>322/G24</f>
        <v>161</v>
      </c>
      <c r="I24" s="61">
        <f>29/G24</f>
        <v>14.5</v>
      </c>
      <c r="J24" s="61">
        <f>4.3/G24</f>
        <v>2.15</v>
      </c>
      <c r="K24" s="61">
        <f>14/G24</f>
        <v>7</v>
      </c>
      <c r="L24" s="61">
        <f>17/G24</f>
        <v>8.5</v>
      </c>
      <c r="M24" s="61">
        <f>13/G24</f>
        <v>6.5</v>
      </c>
      <c r="N24" s="61">
        <f>1.3/G24</f>
        <v>0.65</v>
      </c>
      <c r="O24" s="61">
        <f>4/G24</f>
        <v>2</v>
      </c>
      <c r="P24" s="62">
        <v>0</v>
      </c>
      <c r="Q24" s="61">
        <v>0</v>
      </c>
      <c r="R24" s="61">
        <f>24/G24</f>
        <v>12</v>
      </c>
      <c r="S24" s="61">
        <f>974.9/G24</f>
        <v>487.45</v>
      </c>
      <c r="T24" s="61">
        <f>1.1/G24</f>
        <v>0.55000000000000004</v>
      </c>
    </row>
    <row r="25" spans="1:20" ht="16" x14ac:dyDescent="0.2">
      <c r="A25" s="3"/>
      <c r="B25" s="2" t="s">
        <v>16</v>
      </c>
      <c r="C25" s="58" t="s">
        <v>15</v>
      </c>
      <c r="D25" s="64">
        <f>1000/100</f>
        <v>10</v>
      </c>
      <c r="E25" s="65">
        <f>8.8/D25</f>
        <v>0.88000000000000012</v>
      </c>
      <c r="F25" s="2" t="s">
        <v>10</v>
      </c>
      <c r="G25" s="60">
        <v>1</v>
      </c>
      <c r="H25" s="61">
        <v>35</v>
      </c>
      <c r="I25" s="61">
        <v>0.3</v>
      </c>
      <c r="J25" s="61">
        <v>0.1</v>
      </c>
      <c r="K25" s="61">
        <v>1.3</v>
      </c>
      <c r="L25" s="61">
        <v>7.9</v>
      </c>
      <c r="M25" s="61">
        <v>3.2</v>
      </c>
      <c r="N25" s="61">
        <v>3.6</v>
      </c>
      <c r="O25" s="61">
        <v>1.9</v>
      </c>
      <c r="P25" s="62">
        <v>0</v>
      </c>
      <c r="Q25" s="61">
        <v>0</v>
      </c>
      <c r="R25" s="61">
        <v>44</v>
      </c>
      <c r="S25" s="61">
        <v>146</v>
      </c>
      <c r="T25" s="61">
        <v>0.7</v>
      </c>
    </row>
    <row r="26" spans="1:20" ht="16" x14ac:dyDescent="0.2">
      <c r="A26" s="3"/>
      <c r="B26" s="2" t="s">
        <v>14</v>
      </c>
      <c r="C26" s="58" t="s">
        <v>13</v>
      </c>
      <c r="D26" s="64">
        <f>1000/100</f>
        <v>10</v>
      </c>
      <c r="E26" s="65">
        <f>2.1/D26</f>
        <v>0.21000000000000002</v>
      </c>
      <c r="F26" s="2" t="s">
        <v>10</v>
      </c>
      <c r="G26" s="60">
        <v>1</v>
      </c>
      <c r="H26" s="61">
        <v>35</v>
      </c>
      <c r="I26" s="61">
        <v>0.2</v>
      </c>
      <c r="J26" s="61">
        <v>0</v>
      </c>
      <c r="K26" s="61">
        <v>58</v>
      </c>
      <c r="L26" s="61">
        <v>8.1999999999999993</v>
      </c>
      <c r="M26" s="61">
        <v>3</v>
      </c>
      <c r="N26" s="61">
        <v>3.5</v>
      </c>
      <c r="O26" s="61">
        <v>0.8</v>
      </c>
      <c r="P26" s="62">
        <v>0</v>
      </c>
      <c r="Q26" s="61">
        <v>0</v>
      </c>
      <c r="R26" s="61">
        <v>30</v>
      </c>
      <c r="S26" s="61">
        <v>235</v>
      </c>
      <c r="T26" s="61">
        <v>0.3</v>
      </c>
    </row>
    <row r="27" spans="1:20" ht="16" x14ac:dyDescent="0.2">
      <c r="A27" s="3"/>
      <c r="B27" s="2" t="s">
        <v>12</v>
      </c>
      <c r="C27" s="57" t="s">
        <v>11</v>
      </c>
      <c r="D27" s="64">
        <f>1000/100</f>
        <v>10</v>
      </c>
      <c r="E27" s="65">
        <f>8.8/D27</f>
        <v>0.88000000000000012</v>
      </c>
      <c r="F27" s="2" t="s">
        <v>10</v>
      </c>
      <c r="G27" s="60">
        <v>1</v>
      </c>
      <c r="H27" s="61">
        <v>35</v>
      </c>
      <c r="I27" s="61">
        <v>0.4</v>
      </c>
      <c r="J27" s="61">
        <v>0.1</v>
      </c>
      <c r="K27" s="61">
        <v>41</v>
      </c>
      <c r="L27" s="61">
        <v>7.2</v>
      </c>
      <c r="M27" s="61">
        <v>3.3</v>
      </c>
      <c r="N27" s="61">
        <v>1.4</v>
      </c>
      <c r="O27" s="61">
        <v>2.4</v>
      </c>
      <c r="P27" s="7">
        <v>0</v>
      </c>
      <c r="Q27" s="6">
        <v>0</v>
      </c>
      <c r="R27" s="61">
        <v>40</v>
      </c>
      <c r="S27" s="61">
        <v>293</v>
      </c>
      <c r="T27" s="61">
        <v>0.7</v>
      </c>
    </row>
    <row r="28" spans="1:20" ht="16" x14ac:dyDescent="0.2">
      <c r="A28" s="4" t="s">
        <v>9</v>
      </c>
      <c r="B28" s="2" t="s">
        <v>8</v>
      </c>
      <c r="C28" s="58" t="s">
        <v>7</v>
      </c>
      <c r="D28" s="64">
        <v>216</v>
      </c>
      <c r="E28" s="65">
        <f>9.97/D28</f>
        <v>4.6157407407407411E-2</v>
      </c>
      <c r="F28" s="2" t="s">
        <v>6</v>
      </c>
      <c r="G28" s="60">
        <v>1</v>
      </c>
      <c r="H28" s="61">
        <v>0</v>
      </c>
      <c r="I28" s="61">
        <v>0</v>
      </c>
      <c r="J28" s="61">
        <v>0</v>
      </c>
      <c r="K28" s="61">
        <v>0</v>
      </c>
      <c r="L28" s="61">
        <v>1</v>
      </c>
      <c r="M28" s="61">
        <v>0</v>
      </c>
      <c r="N28" s="61">
        <v>0</v>
      </c>
      <c r="O28" s="61">
        <v>0.1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</row>
    <row r="29" spans="1:20" ht="16" x14ac:dyDescent="0.2">
      <c r="B29" s="2" t="s">
        <v>5</v>
      </c>
      <c r="C29" s="58" t="s">
        <v>4</v>
      </c>
      <c r="D29" s="64">
        <f>200/50</f>
        <v>4</v>
      </c>
      <c r="E29" s="65">
        <f>1.48/D29</f>
        <v>0.37</v>
      </c>
      <c r="F29" s="2" t="s">
        <v>3</v>
      </c>
      <c r="G29" s="60">
        <v>1</v>
      </c>
      <c r="H29" s="61">
        <v>280</v>
      </c>
      <c r="I29" s="61">
        <v>19</v>
      </c>
      <c r="J29" s="61">
        <v>1.5</v>
      </c>
      <c r="K29" s="61">
        <v>290</v>
      </c>
      <c r="L29" s="61">
        <v>26</v>
      </c>
      <c r="M29" s="61">
        <v>2</v>
      </c>
      <c r="N29" s="61">
        <v>0</v>
      </c>
      <c r="O29" s="61">
        <v>3</v>
      </c>
      <c r="P29" s="62">
        <v>0</v>
      </c>
      <c r="Q29" s="62">
        <v>0</v>
      </c>
      <c r="R29" s="61">
        <v>10</v>
      </c>
      <c r="S29" s="61">
        <v>600</v>
      </c>
      <c r="T29" s="61">
        <v>0.75</v>
      </c>
    </row>
    <row r="30" spans="1:20" ht="16" x14ac:dyDescent="0.2">
      <c r="B30" s="2" t="s">
        <v>2</v>
      </c>
      <c r="C30" s="58" t="s">
        <v>1</v>
      </c>
      <c r="D30" s="64">
        <f>400/50</f>
        <v>8</v>
      </c>
      <c r="E30" s="65">
        <f>2.97/D30</f>
        <v>0.37125000000000002</v>
      </c>
      <c r="F30" s="2" t="s">
        <v>0</v>
      </c>
      <c r="G30" s="60">
        <v>1</v>
      </c>
      <c r="H30" s="61">
        <v>200</v>
      </c>
      <c r="I30" s="61">
        <v>1</v>
      </c>
      <c r="J30" s="61">
        <v>0</v>
      </c>
      <c r="K30" s="61">
        <v>700</v>
      </c>
      <c r="L30" s="61">
        <v>42</v>
      </c>
      <c r="M30" s="61">
        <v>2</v>
      </c>
      <c r="N30" s="61">
        <v>1</v>
      </c>
      <c r="O30" s="61">
        <v>5</v>
      </c>
      <c r="P30" s="61">
        <v>0</v>
      </c>
      <c r="Q30" s="62">
        <v>0</v>
      </c>
      <c r="R30" s="61">
        <v>25</v>
      </c>
      <c r="S30" s="62">
        <v>0</v>
      </c>
      <c r="T30" s="61">
        <v>2</v>
      </c>
    </row>
    <row r="31" spans="1:20" ht="16" x14ac:dyDescent="0.2">
      <c r="B31" s="55" t="s">
        <v>158</v>
      </c>
      <c r="C31" s="59" t="s">
        <v>159</v>
      </c>
      <c r="D31" s="64">
        <f>375/68</f>
        <v>5.5147058823529411</v>
      </c>
      <c r="E31" s="65">
        <f>5.97/D31</f>
        <v>1.08256</v>
      </c>
      <c r="F31" s="2" t="s">
        <v>160</v>
      </c>
      <c r="G31" s="60">
        <v>1</v>
      </c>
      <c r="H31" s="3">
        <v>290</v>
      </c>
      <c r="I31" s="3">
        <v>29</v>
      </c>
      <c r="J31" s="3">
        <v>11</v>
      </c>
      <c r="K31" s="3">
        <v>480</v>
      </c>
      <c r="L31" s="3">
        <v>40</v>
      </c>
      <c r="M31" s="3">
        <v>0</v>
      </c>
      <c r="N31" s="3">
        <v>0</v>
      </c>
      <c r="O31" s="3">
        <v>7</v>
      </c>
      <c r="P31" s="63">
        <v>0</v>
      </c>
      <c r="Q31" s="63">
        <v>0</v>
      </c>
      <c r="R31" s="3">
        <v>0</v>
      </c>
      <c r="S31" s="3">
        <v>100</v>
      </c>
      <c r="T31" s="3">
        <v>0.2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41C4-6441-E049-89D3-393CD6FFC4CA}">
  <dimension ref="A1:O73"/>
  <sheetViews>
    <sheetView tabSelected="1" topLeftCell="A22" zoomScale="86" zoomScaleNormal="100" workbookViewId="0">
      <selection activeCell="P32" sqref="P32"/>
    </sheetView>
  </sheetViews>
  <sheetFormatPr baseColWidth="10" defaultRowHeight="15" x14ac:dyDescent="0.2"/>
  <cols>
    <col min="1" max="1" width="12.1640625" style="1" bestFit="1" customWidth="1"/>
    <col min="2" max="2" width="16.83203125" style="1" bestFit="1" customWidth="1"/>
    <col min="3" max="4" width="11" style="1" bestFit="1" customWidth="1"/>
    <col min="5" max="5" width="12.33203125" style="1" bestFit="1" customWidth="1"/>
    <col min="6" max="6" width="11" style="1" bestFit="1" customWidth="1"/>
    <col min="7" max="7" width="10.83203125" style="1"/>
    <col min="8" max="8" width="11.83203125" style="1" bestFit="1" customWidth="1"/>
    <col min="9" max="10" width="10.83203125" style="1"/>
    <col min="11" max="11" width="12.5" style="1" bestFit="1" customWidth="1"/>
    <col min="12" max="12" width="10.83203125" style="1"/>
    <col min="13" max="13" width="11" style="1" bestFit="1" customWidth="1"/>
    <col min="14" max="16384" width="10.83203125" style="1"/>
  </cols>
  <sheetData>
    <row r="1" spans="1:5" x14ac:dyDescent="0.2">
      <c r="A1" s="29" t="s">
        <v>118</v>
      </c>
    </row>
    <row r="2" spans="1:5" x14ac:dyDescent="0.2">
      <c r="C2" s="2" t="s">
        <v>153</v>
      </c>
      <c r="D2" s="2" t="s">
        <v>154</v>
      </c>
      <c r="E2" s="2" t="s">
        <v>155</v>
      </c>
    </row>
    <row r="3" spans="1:5" x14ac:dyDescent="0.2">
      <c r="A3" s="4" t="s">
        <v>63</v>
      </c>
      <c r="B3" s="4" t="s">
        <v>62</v>
      </c>
      <c r="C3" s="39">
        <v>0</v>
      </c>
      <c r="D3" s="40">
        <v>0</v>
      </c>
      <c r="E3" s="41">
        <v>0</v>
      </c>
    </row>
    <row r="4" spans="1:5" x14ac:dyDescent="0.2">
      <c r="A4" s="3"/>
      <c r="B4" s="4" t="s">
        <v>59</v>
      </c>
      <c r="C4" s="42">
        <v>0</v>
      </c>
      <c r="D4" s="54">
        <v>0</v>
      </c>
      <c r="E4" s="43">
        <v>1</v>
      </c>
    </row>
    <row r="5" spans="1:5" x14ac:dyDescent="0.2">
      <c r="A5" s="3"/>
      <c r="B5" s="4" t="s">
        <v>56</v>
      </c>
      <c r="C5" s="42">
        <v>1</v>
      </c>
      <c r="D5" s="54">
        <v>0</v>
      </c>
      <c r="E5" s="43">
        <v>0</v>
      </c>
    </row>
    <row r="6" spans="1:5" x14ac:dyDescent="0.2">
      <c r="A6" s="3"/>
      <c r="B6" s="4" t="s">
        <v>54</v>
      </c>
      <c r="C6" s="42">
        <v>1</v>
      </c>
      <c r="D6" s="54">
        <v>0</v>
      </c>
      <c r="E6" s="43">
        <v>0</v>
      </c>
    </row>
    <row r="7" spans="1:5" x14ac:dyDescent="0.2">
      <c r="A7" s="4" t="s">
        <v>51</v>
      </c>
      <c r="B7" s="4" t="s">
        <v>50</v>
      </c>
      <c r="C7" s="42">
        <v>0</v>
      </c>
      <c r="D7" s="54">
        <v>1</v>
      </c>
      <c r="E7" s="43">
        <v>0</v>
      </c>
    </row>
    <row r="8" spans="1:5" x14ac:dyDescent="0.2">
      <c r="A8" s="3"/>
      <c r="B8" s="4" t="s">
        <v>47</v>
      </c>
      <c r="C8" s="42">
        <v>1</v>
      </c>
      <c r="D8" s="54">
        <v>0</v>
      </c>
      <c r="E8" s="43">
        <v>0</v>
      </c>
    </row>
    <row r="9" spans="1:5" x14ac:dyDescent="0.2">
      <c r="A9" s="3"/>
      <c r="B9" s="4" t="s">
        <v>44</v>
      </c>
      <c r="C9" s="42">
        <v>0</v>
      </c>
      <c r="D9" s="54">
        <v>0</v>
      </c>
      <c r="E9" s="43">
        <v>0</v>
      </c>
    </row>
    <row r="10" spans="1:5" x14ac:dyDescent="0.2">
      <c r="A10" s="4" t="s">
        <v>41</v>
      </c>
      <c r="B10" s="4" t="s">
        <v>40</v>
      </c>
      <c r="C10" s="42">
        <v>0</v>
      </c>
      <c r="D10" s="54">
        <v>0</v>
      </c>
      <c r="E10" s="43">
        <v>1</v>
      </c>
    </row>
    <row r="11" spans="1:5" x14ac:dyDescent="0.2">
      <c r="A11" s="3"/>
      <c r="B11" s="4" t="s">
        <v>37</v>
      </c>
      <c r="C11" s="42">
        <v>0</v>
      </c>
      <c r="D11" s="54">
        <v>0</v>
      </c>
      <c r="E11" s="43">
        <v>0</v>
      </c>
    </row>
    <row r="12" spans="1:5" x14ac:dyDescent="0.2">
      <c r="A12" s="3"/>
      <c r="B12" s="4" t="s">
        <v>34</v>
      </c>
      <c r="C12" s="42">
        <v>1</v>
      </c>
      <c r="D12" s="54">
        <v>0</v>
      </c>
      <c r="E12" s="43">
        <v>0</v>
      </c>
    </row>
    <row r="13" spans="1:5" x14ac:dyDescent="0.2">
      <c r="A13" s="4" t="s">
        <v>32</v>
      </c>
      <c r="B13" s="4" t="s">
        <v>31</v>
      </c>
      <c r="C13" s="42">
        <v>0</v>
      </c>
      <c r="D13" s="54">
        <v>0</v>
      </c>
      <c r="E13" s="43">
        <v>0</v>
      </c>
    </row>
    <row r="14" spans="1:5" x14ac:dyDescent="0.2">
      <c r="A14" s="3"/>
      <c r="B14" s="4" t="s">
        <v>29</v>
      </c>
      <c r="C14" s="42">
        <v>0</v>
      </c>
      <c r="D14" s="54">
        <v>0</v>
      </c>
      <c r="E14" s="43">
        <v>0</v>
      </c>
    </row>
    <row r="15" spans="1:5" x14ac:dyDescent="0.2">
      <c r="A15" s="3"/>
      <c r="B15" s="4" t="s">
        <v>26</v>
      </c>
      <c r="C15" s="42">
        <v>0</v>
      </c>
      <c r="D15" s="54">
        <v>1</v>
      </c>
      <c r="E15" s="43">
        <v>0</v>
      </c>
    </row>
    <row r="16" spans="1:5" x14ac:dyDescent="0.2">
      <c r="A16" s="3"/>
      <c r="B16" s="4" t="s">
        <v>23</v>
      </c>
      <c r="C16" s="42">
        <v>0</v>
      </c>
      <c r="D16" s="54">
        <v>0</v>
      </c>
      <c r="E16" s="43">
        <v>0</v>
      </c>
    </row>
    <row r="17" spans="1:5" x14ac:dyDescent="0.2">
      <c r="B17" s="4" t="s">
        <v>161</v>
      </c>
      <c r="C17" s="42">
        <v>1</v>
      </c>
      <c r="D17" s="54">
        <v>0</v>
      </c>
      <c r="E17" s="43">
        <v>0</v>
      </c>
    </row>
    <row r="18" spans="1:5" x14ac:dyDescent="0.2">
      <c r="B18" s="4" t="s">
        <v>163</v>
      </c>
      <c r="C18" s="42">
        <v>0</v>
      </c>
      <c r="D18" s="54">
        <v>0</v>
      </c>
      <c r="E18" s="43">
        <v>0</v>
      </c>
    </row>
    <row r="19" spans="1:5" x14ac:dyDescent="0.2">
      <c r="B19" s="4" t="s">
        <v>166</v>
      </c>
      <c r="C19" s="42">
        <v>0</v>
      </c>
      <c r="D19" s="54">
        <v>0</v>
      </c>
      <c r="E19" s="43">
        <v>0</v>
      </c>
    </row>
    <row r="20" spans="1:5" x14ac:dyDescent="0.2">
      <c r="A20" s="4" t="s">
        <v>20</v>
      </c>
      <c r="B20" s="4" t="s">
        <v>19</v>
      </c>
      <c r="C20" s="42">
        <v>0</v>
      </c>
      <c r="D20" s="54">
        <v>1</v>
      </c>
      <c r="E20" s="43">
        <v>0</v>
      </c>
    </row>
    <row r="21" spans="1:5" x14ac:dyDescent="0.2">
      <c r="A21" s="3"/>
      <c r="B21" s="4" t="s">
        <v>16</v>
      </c>
      <c r="C21" s="42">
        <v>0</v>
      </c>
      <c r="D21" s="54">
        <v>0</v>
      </c>
      <c r="E21" s="43">
        <v>0</v>
      </c>
    </row>
    <row r="22" spans="1:5" x14ac:dyDescent="0.2">
      <c r="A22" s="3"/>
      <c r="B22" s="4" t="s">
        <v>14</v>
      </c>
      <c r="C22" s="42">
        <v>1</v>
      </c>
      <c r="D22" s="54">
        <v>0</v>
      </c>
      <c r="E22" s="43">
        <v>0</v>
      </c>
    </row>
    <row r="23" spans="1:5" x14ac:dyDescent="0.2">
      <c r="A23" s="3"/>
      <c r="B23" s="4" t="s">
        <v>12</v>
      </c>
      <c r="C23" s="42">
        <v>0</v>
      </c>
      <c r="D23" s="54">
        <v>0</v>
      </c>
      <c r="E23" s="43">
        <v>0</v>
      </c>
    </row>
    <row r="24" spans="1:5" x14ac:dyDescent="0.2">
      <c r="A24" s="4" t="s">
        <v>9</v>
      </c>
      <c r="B24" s="4" t="s">
        <v>8</v>
      </c>
      <c r="C24" s="42">
        <v>0</v>
      </c>
      <c r="D24" s="54">
        <v>0</v>
      </c>
      <c r="E24" s="43">
        <v>0</v>
      </c>
    </row>
    <row r="25" spans="1:5" x14ac:dyDescent="0.2">
      <c r="B25" s="4" t="s">
        <v>5</v>
      </c>
      <c r="C25" s="42">
        <v>0</v>
      </c>
      <c r="D25" s="54">
        <v>0</v>
      </c>
      <c r="E25" s="43">
        <v>1</v>
      </c>
    </row>
    <row r="26" spans="1:5" x14ac:dyDescent="0.2">
      <c r="B26" s="4" t="s">
        <v>2</v>
      </c>
      <c r="C26" s="42">
        <v>0</v>
      </c>
      <c r="D26" s="54">
        <v>0</v>
      </c>
      <c r="E26" s="43">
        <v>1</v>
      </c>
    </row>
    <row r="27" spans="1:5" x14ac:dyDescent="0.2">
      <c r="B27" s="68" t="s">
        <v>158</v>
      </c>
      <c r="C27" s="44">
        <v>0</v>
      </c>
      <c r="D27" s="45">
        <v>0</v>
      </c>
      <c r="E27" s="46">
        <v>0</v>
      </c>
    </row>
    <row r="30" spans="1:5" x14ac:dyDescent="0.2">
      <c r="A30" s="29" t="s">
        <v>119</v>
      </c>
    </row>
    <row r="31" spans="1:5" x14ac:dyDescent="0.2">
      <c r="B31" s="3" t="s">
        <v>120</v>
      </c>
      <c r="C31" s="51">
        <f>SUMPRODUCT(C3:C27,'Data 2'!$E$7:$E$31)</f>
        <v>3.04175</v>
      </c>
      <c r="D31" s="52">
        <f>SUMPRODUCT(D3:D27,'Data 2'!$E$7:$E$31)</f>
        <v>1.4219449339207049</v>
      </c>
      <c r="E31" s="53">
        <f>SUMPRODUCT(E3:E27,'Data 2'!$E$7:$E$31)</f>
        <v>1.4404600000000001</v>
      </c>
    </row>
    <row r="32" spans="1:5" x14ac:dyDescent="0.2">
      <c r="B32" s="3" t="s">
        <v>121</v>
      </c>
      <c r="C32" s="69">
        <f>SUM(C31:E31)</f>
        <v>5.9041549339207045</v>
      </c>
    </row>
    <row r="35" spans="1:15" x14ac:dyDescent="0.2">
      <c r="A35" s="29" t="s">
        <v>176</v>
      </c>
      <c r="J35" s="29" t="s">
        <v>177</v>
      </c>
    </row>
    <row r="36" spans="1:15" x14ac:dyDescent="0.2">
      <c r="F36" s="47" t="s">
        <v>156</v>
      </c>
      <c r="G36" s="47"/>
      <c r="H36" s="47" t="s">
        <v>150</v>
      </c>
      <c r="I36" s="2" t="s">
        <v>178</v>
      </c>
      <c r="L36" s="47" t="s">
        <v>156</v>
      </c>
      <c r="M36" s="47"/>
      <c r="N36" s="47" t="s">
        <v>150</v>
      </c>
      <c r="O36" s="2" t="s">
        <v>178</v>
      </c>
    </row>
    <row r="37" spans="1:15" x14ac:dyDescent="0.2">
      <c r="A37" s="3" t="s">
        <v>148</v>
      </c>
      <c r="B37" s="4" t="s">
        <v>124</v>
      </c>
      <c r="C37" s="31">
        <f>SUMPRODUCT(C3:C27,'Data 2'!$H$7:$H$31)</f>
        <v>518.125</v>
      </c>
      <c r="D37" s="32">
        <f>SUMPRODUCT(D3:D27,'Data 2'!$H$7:$H$31)</f>
        <v>321</v>
      </c>
      <c r="E37" s="33">
        <f>SUMPRODUCT(E3:E27,'Data 2'!$H$7:$H$31)</f>
        <v>775</v>
      </c>
      <c r="F37" s="48">
        <f>SUM(C37:E37)</f>
        <v>1614.125</v>
      </c>
      <c r="G37" s="47" t="s">
        <v>151</v>
      </c>
      <c r="H37" s="48">
        <f>'Data 1 '!C11</f>
        <v>1801.9420000000005</v>
      </c>
      <c r="I37" s="71"/>
      <c r="J37" s="3" t="s">
        <v>157</v>
      </c>
      <c r="K37" s="4" t="s">
        <v>62</v>
      </c>
      <c r="L37" s="48">
        <f t="shared" ref="L37:L61" si="0">SUM(C3:E3)</f>
        <v>0</v>
      </c>
      <c r="M37" s="47" t="s">
        <v>152</v>
      </c>
      <c r="N37" s="48">
        <v>1</v>
      </c>
      <c r="O37" s="48"/>
    </row>
    <row r="38" spans="1:15" x14ac:dyDescent="0.2">
      <c r="B38" s="4" t="s">
        <v>125</v>
      </c>
      <c r="C38" s="34">
        <f>SUMPRODUCT(C3:C27,'Data 2'!$I$7:$I$31)</f>
        <v>15.125</v>
      </c>
      <c r="D38" s="1">
        <f>SUMPRODUCT(D3:D27,'Data 2'!$I$7:$I$31)</f>
        <v>18.5</v>
      </c>
      <c r="E38" s="35">
        <f>SUMPRODUCT(E3:E27,'Data 2'!$I$7:$I$31)</f>
        <v>23.9</v>
      </c>
      <c r="F38" s="49">
        <f t="shared" ref="F38:F49" si="1">SUM(C38:E38)</f>
        <v>57.524999999999999</v>
      </c>
      <c r="G38" s="47" t="s">
        <v>151</v>
      </c>
      <c r="H38" s="49">
        <f>'Data 1 '!C13</f>
        <v>51.154266666666679</v>
      </c>
      <c r="I38" s="49"/>
      <c r="K38" s="4" t="s">
        <v>59</v>
      </c>
      <c r="L38" s="49">
        <f t="shared" si="0"/>
        <v>1</v>
      </c>
      <c r="M38" s="47" t="s">
        <v>152</v>
      </c>
      <c r="N38" s="49">
        <v>1</v>
      </c>
      <c r="O38" s="49"/>
    </row>
    <row r="39" spans="1:15" x14ac:dyDescent="0.2">
      <c r="B39" s="4" t="s">
        <v>126</v>
      </c>
      <c r="C39" s="34">
        <f>SUMPRODUCT(C3:C27,'Data 2'!$J$7:$J$31)</f>
        <v>5.1125000000000007</v>
      </c>
      <c r="D39" s="1">
        <f>SUMPRODUCT(D3:D27,'Data 2'!$J$7:$J$31)</f>
        <v>2.65</v>
      </c>
      <c r="E39" s="35">
        <f>SUMPRODUCT(E3:E27,'Data 2'!$J$7:$J$31)</f>
        <v>2.1</v>
      </c>
      <c r="F39" s="49">
        <f t="shared" si="1"/>
        <v>9.8625000000000007</v>
      </c>
      <c r="G39" s="47" t="s">
        <v>151</v>
      </c>
      <c r="H39" s="49">
        <f>'Data 1 '!C14</f>
        <v>17.903993333333336</v>
      </c>
      <c r="I39" s="72"/>
      <c r="K39" s="4" t="s">
        <v>56</v>
      </c>
      <c r="L39" s="49">
        <f t="shared" si="0"/>
        <v>1</v>
      </c>
      <c r="M39" s="47" t="s">
        <v>152</v>
      </c>
      <c r="N39" s="49">
        <v>1</v>
      </c>
      <c r="O39" s="49"/>
    </row>
    <row r="40" spans="1:15" x14ac:dyDescent="0.2">
      <c r="B40" s="4" t="s">
        <v>127</v>
      </c>
      <c r="C40" s="34">
        <f>SUMPRODUCT(C3:C27,'Data 2'!$K$7:$K$31)</f>
        <v>210.45</v>
      </c>
      <c r="D40" s="1">
        <f>SUMPRODUCT(D3:D27,'Data 2'!$K$7:$K$31)</f>
        <v>135</v>
      </c>
      <c r="E40" s="35">
        <f>SUMPRODUCT(E3:E27,'Data 2'!$K$7:$K$31)</f>
        <v>1261.2</v>
      </c>
      <c r="F40" s="49">
        <f t="shared" si="1"/>
        <v>1606.65</v>
      </c>
      <c r="G40" s="47" t="s">
        <v>151</v>
      </c>
      <c r="H40" s="49">
        <f>'Data 1 '!C18</f>
        <v>1500</v>
      </c>
      <c r="I40" s="72"/>
      <c r="K40" s="4" t="s">
        <v>54</v>
      </c>
      <c r="L40" s="49">
        <f t="shared" si="0"/>
        <v>1</v>
      </c>
      <c r="M40" s="47" t="s">
        <v>152</v>
      </c>
      <c r="N40" s="49">
        <v>1</v>
      </c>
      <c r="O40" s="49"/>
    </row>
    <row r="41" spans="1:15" x14ac:dyDescent="0.2">
      <c r="B41" s="4" t="s">
        <v>128</v>
      </c>
      <c r="C41" s="34">
        <f>SUMPRODUCT(C3:C27,'Data 2'!$L$7:$L$31)</f>
        <v>64.2</v>
      </c>
      <c r="D41" s="1">
        <f>SUMPRODUCT(D3:D27,'Data 2'!$L$7:$L$31)</f>
        <v>23.5</v>
      </c>
      <c r="E41" s="35">
        <f>SUMPRODUCT(E3:E27,'Data 2'!$L$7:$L$31)</f>
        <v>128</v>
      </c>
      <c r="F41" s="49">
        <f t="shared" si="1"/>
        <v>215.7</v>
      </c>
      <c r="G41" s="47" t="s">
        <v>151</v>
      </c>
      <c r="H41" s="50">
        <f>'Data 1 '!C15</f>
        <v>0</v>
      </c>
      <c r="I41" s="72"/>
      <c r="K41" s="4" t="s">
        <v>50</v>
      </c>
      <c r="L41" s="49">
        <f t="shared" si="0"/>
        <v>1</v>
      </c>
      <c r="M41" s="47" t="s">
        <v>152</v>
      </c>
      <c r="N41" s="49">
        <v>1</v>
      </c>
      <c r="O41" s="49"/>
    </row>
    <row r="42" spans="1:15" x14ac:dyDescent="0.2">
      <c r="B42" s="4" t="s">
        <v>129</v>
      </c>
      <c r="C42" s="34">
        <f>SUMPRODUCT(C3:C27,'Data 2'!$M$7:$M$31)</f>
        <v>8.0500000000000007</v>
      </c>
      <c r="D42" s="1">
        <f>SUMPRODUCT(D3:D27,'Data 2'!$M$7:$M$31)</f>
        <v>6.5</v>
      </c>
      <c r="E42" s="35">
        <f>SUMPRODUCT(E3:E27,'Data 2'!$M$7:$M$31)</f>
        <v>11.1</v>
      </c>
      <c r="F42" s="49">
        <f t="shared" si="1"/>
        <v>25.65</v>
      </c>
      <c r="G42" s="47" t="s">
        <v>151</v>
      </c>
      <c r="H42" s="50">
        <f>'Data 1 '!C12</f>
        <v>30</v>
      </c>
      <c r="I42" s="72"/>
      <c r="K42" s="4" t="s">
        <v>47</v>
      </c>
      <c r="L42" s="49">
        <f t="shared" si="0"/>
        <v>1</v>
      </c>
      <c r="M42" s="47" t="s">
        <v>152</v>
      </c>
      <c r="N42" s="49">
        <v>1</v>
      </c>
      <c r="O42" s="49"/>
    </row>
    <row r="43" spans="1:15" x14ac:dyDescent="0.2">
      <c r="B43" s="4" t="s">
        <v>130</v>
      </c>
      <c r="C43" s="34">
        <f>SUMPRODUCT(C3:C27,'Data 2'!$N$7:$N$31)</f>
        <v>44.1</v>
      </c>
      <c r="D43" s="1">
        <f>SUMPRODUCT(D3:D27,'Data 2'!$N$7:$N$31)</f>
        <v>13.65</v>
      </c>
      <c r="E43" s="35">
        <f>SUMPRODUCT(E3:E27,'Data 2'!$N$7:$N$31)</f>
        <v>18</v>
      </c>
      <c r="F43" s="49">
        <f t="shared" si="1"/>
        <v>75.75</v>
      </c>
      <c r="G43" s="47" t="s">
        <v>151</v>
      </c>
      <c r="H43" s="49">
        <f>'Data 1 '!C17</f>
        <v>0</v>
      </c>
      <c r="I43" s="72"/>
      <c r="K43" s="4" t="s">
        <v>44</v>
      </c>
      <c r="L43" s="49">
        <f t="shared" si="0"/>
        <v>0</v>
      </c>
      <c r="M43" s="47" t="s">
        <v>152</v>
      </c>
      <c r="N43" s="49">
        <v>1</v>
      </c>
      <c r="O43" s="49"/>
    </row>
    <row r="44" spans="1:15" x14ac:dyDescent="0.2">
      <c r="B44" s="4" t="s">
        <v>131</v>
      </c>
      <c r="C44" s="34">
        <f>SUMPRODUCT(C3:C27,'Data 2'!$O$7:$O$31)</f>
        <v>34.3125</v>
      </c>
      <c r="D44" s="1">
        <f>SUMPRODUCT(D3:D27,'Data 2'!$O$7:$O$31)</f>
        <v>18</v>
      </c>
      <c r="E44" s="35">
        <f>SUMPRODUCT(E3:E27,'Data 2'!$O$7:$O$31)</f>
        <v>17.3</v>
      </c>
      <c r="F44" s="49">
        <f t="shared" si="1"/>
        <v>69.612499999999997</v>
      </c>
      <c r="G44" s="47" t="s">
        <v>151</v>
      </c>
      <c r="H44" s="49">
        <f>'Data 1 '!C16</f>
        <v>56</v>
      </c>
      <c r="I44" s="49"/>
      <c r="K44" s="4" t="s">
        <v>40</v>
      </c>
      <c r="L44" s="49">
        <f t="shared" si="0"/>
        <v>1</v>
      </c>
      <c r="M44" s="47" t="s">
        <v>152</v>
      </c>
      <c r="N44" s="49">
        <v>1</v>
      </c>
      <c r="O44" s="49"/>
    </row>
    <row r="45" spans="1:15" x14ac:dyDescent="0.2">
      <c r="B45" s="4" t="s">
        <v>123</v>
      </c>
      <c r="C45" s="34">
        <f>SUMPRODUCT(C3:C27,'Data 2'!$P$7:$P$31)</f>
        <v>50</v>
      </c>
      <c r="D45" s="1">
        <f>SUMPRODUCT(D3:D27,'Data 2'!$P$7:$P$31)</f>
        <v>90</v>
      </c>
      <c r="E45" s="35">
        <f>SUMPRODUCT(E3:E27,'Data 2'!$P$7:$P$31)</f>
        <v>0</v>
      </c>
      <c r="F45" s="49">
        <f t="shared" si="1"/>
        <v>140</v>
      </c>
      <c r="G45" s="47" t="s">
        <v>151</v>
      </c>
      <c r="H45" s="49">
        <f>'Data 1 '!C22</f>
        <v>625</v>
      </c>
      <c r="I45" s="70"/>
      <c r="K45" s="4" t="s">
        <v>37</v>
      </c>
      <c r="L45" s="49">
        <f t="shared" si="0"/>
        <v>0</v>
      </c>
      <c r="M45" s="47" t="s">
        <v>152</v>
      </c>
      <c r="N45" s="49">
        <v>1</v>
      </c>
      <c r="O45" s="49"/>
    </row>
    <row r="46" spans="1:15" x14ac:dyDescent="0.2">
      <c r="B46" s="4" t="s">
        <v>122</v>
      </c>
      <c r="C46" s="34">
        <f>SUMPRODUCT(C3:C27,'Data 2'!$Q$7:$Q$31)</f>
        <v>2</v>
      </c>
      <c r="D46" s="1">
        <f>SUMPRODUCT(D3:D27,'Data 2'!$Q$7:$Q$31)</f>
        <v>8</v>
      </c>
      <c r="E46" s="35">
        <f>SUMPRODUCT(E3:E27,'Data 2'!$Q$7:$Q$31)</f>
        <v>0</v>
      </c>
      <c r="F46" s="49">
        <f t="shared" si="1"/>
        <v>10</v>
      </c>
      <c r="G46" s="47" t="s">
        <v>151</v>
      </c>
      <c r="H46" s="49">
        <f>'Data 1 '!C23</f>
        <v>10</v>
      </c>
      <c r="I46" s="72"/>
      <c r="K46" s="4" t="s">
        <v>34</v>
      </c>
      <c r="L46" s="49">
        <f t="shared" si="0"/>
        <v>1</v>
      </c>
      <c r="M46" s="47" t="s">
        <v>152</v>
      </c>
      <c r="N46" s="49">
        <v>1</v>
      </c>
      <c r="O46" s="49"/>
    </row>
    <row r="47" spans="1:15" x14ac:dyDescent="0.2">
      <c r="B47" s="4" t="s">
        <v>132</v>
      </c>
      <c r="C47" s="34">
        <f>SUMPRODUCT(C3:C27,'Data 2'!$R$7:$R$31)</f>
        <v>210.625</v>
      </c>
      <c r="D47" s="1">
        <f>SUMPRODUCT(D3:D27,'Data 2'!$R$7:$R$31)</f>
        <v>512</v>
      </c>
      <c r="E47" s="35">
        <f>SUMPRODUCT(E3:E27,'Data 2'!$R$7:$R$31)</f>
        <v>115.9</v>
      </c>
      <c r="F47" s="49">
        <f t="shared" si="1"/>
        <v>838.52499999999998</v>
      </c>
      <c r="G47" s="47" t="s">
        <v>151</v>
      </c>
      <c r="H47" s="49">
        <f>'Data 1 '!C19</f>
        <v>800</v>
      </c>
      <c r="I47" s="49"/>
      <c r="K47" s="4" t="s">
        <v>31</v>
      </c>
      <c r="L47" s="49">
        <f t="shared" si="0"/>
        <v>0</v>
      </c>
      <c r="M47" s="47" t="s">
        <v>152</v>
      </c>
      <c r="N47" s="49">
        <v>1</v>
      </c>
      <c r="O47" s="49"/>
    </row>
    <row r="48" spans="1:15" x14ac:dyDescent="0.2">
      <c r="B48" s="4" t="s">
        <v>133</v>
      </c>
      <c r="C48" s="34">
        <f>SUMPRODUCT(C3:C27,'Data 2'!$S$7:$S$31)</f>
        <v>1665.55</v>
      </c>
      <c r="D48" s="1">
        <f>SUMPRODUCT(D3:D27,'Data 2'!$S$7:$S$31)</f>
        <v>662.45</v>
      </c>
      <c r="E48" s="35">
        <f>SUMPRODUCT(E3:E27,'Data 2'!$S$7:$S$31)</f>
        <v>1222.4000000000001</v>
      </c>
      <c r="F48" s="49">
        <f t="shared" si="1"/>
        <v>3550.4</v>
      </c>
      <c r="G48" s="47" t="s">
        <v>151</v>
      </c>
      <c r="H48" s="49">
        <f>'Data 1 '!C21</f>
        <v>3500</v>
      </c>
      <c r="I48" s="49"/>
      <c r="K48" s="4" t="s">
        <v>29</v>
      </c>
      <c r="L48" s="49">
        <f t="shared" si="0"/>
        <v>0</v>
      </c>
      <c r="M48" s="47" t="s">
        <v>152</v>
      </c>
      <c r="N48" s="49">
        <v>1</v>
      </c>
      <c r="O48" s="49"/>
    </row>
    <row r="49" spans="1:15" x14ac:dyDescent="0.2">
      <c r="B49" s="4" t="s">
        <v>134</v>
      </c>
      <c r="C49" s="36">
        <f>SUMPRODUCT(C3:C27,'Data 2'!$T$7:$T$31)</f>
        <v>2.5750000000000002</v>
      </c>
      <c r="D49" s="37">
        <f>SUMPRODUCT(D3:D27,'Data 2'!$T$7:$T$31)</f>
        <v>1.55</v>
      </c>
      <c r="E49" s="38">
        <f>SUMPRODUCT(E3:E27,'Data 2'!$T$7:$T$31)</f>
        <v>5.05</v>
      </c>
      <c r="F49" s="30">
        <f t="shared" si="1"/>
        <v>9.1750000000000007</v>
      </c>
      <c r="G49" s="47" t="s">
        <v>151</v>
      </c>
      <c r="H49" s="30">
        <f>'Data 1 '!C20</f>
        <v>6</v>
      </c>
      <c r="I49" s="49"/>
      <c r="K49" s="4" t="s">
        <v>26</v>
      </c>
      <c r="L49" s="49">
        <f t="shared" si="0"/>
        <v>1</v>
      </c>
      <c r="M49" s="47" t="s">
        <v>152</v>
      </c>
      <c r="N49" s="49">
        <v>1</v>
      </c>
      <c r="O49" s="49"/>
    </row>
    <row r="50" spans="1:15" x14ac:dyDescent="0.2">
      <c r="A50" s="3" t="s">
        <v>149</v>
      </c>
      <c r="B50" s="4" t="s">
        <v>135</v>
      </c>
      <c r="C50" s="31">
        <f>SUMPRODUCT(C3:C27,'Data 2'!$H$7:$H$31)</f>
        <v>518.125</v>
      </c>
      <c r="D50" s="32">
        <f>SUMPRODUCT(D3:D27,'Data 2'!$H$7:$H$31)</f>
        <v>321</v>
      </c>
      <c r="E50" s="33">
        <f>SUMPRODUCT(E3:E27,'Data 2'!$H$7:$H$31)</f>
        <v>775</v>
      </c>
      <c r="F50" s="48">
        <f>SUM(C50:E50)</f>
        <v>1614.125</v>
      </c>
      <c r="G50" s="47" t="s">
        <v>152</v>
      </c>
      <c r="H50" s="48">
        <f>'Data 1 '!D11</f>
        <v>2301.9420000000005</v>
      </c>
      <c r="I50" s="72"/>
      <c r="K50" s="4" t="s">
        <v>23</v>
      </c>
      <c r="L50" s="49">
        <f t="shared" si="0"/>
        <v>0</v>
      </c>
      <c r="M50" s="47" t="s">
        <v>152</v>
      </c>
      <c r="N50" s="49">
        <v>1</v>
      </c>
      <c r="O50" s="49"/>
    </row>
    <row r="51" spans="1:15" x14ac:dyDescent="0.2">
      <c r="B51" s="4" t="s">
        <v>136</v>
      </c>
      <c r="C51" s="34">
        <f>SUMPRODUCT(C3:C27,'Data 2'!$I$7:$I$31)</f>
        <v>15.125</v>
      </c>
      <c r="D51" s="1">
        <f>SUMPRODUCT(D3:D27,'Data 2'!$I$7:$I$31)</f>
        <v>18.5</v>
      </c>
      <c r="E51" s="35">
        <f>SUMPRODUCT(E3:E27,'Data 2'!$I$7:$I$31)</f>
        <v>23.9</v>
      </c>
      <c r="F51" s="49">
        <f t="shared" ref="F51:F62" si="2">SUM(C51:E51)</f>
        <v>57.524999999999999</v>
      </c>
      <c r="G51" s="47" t="s">
        <v>152</v>
      </c>
      <c r="H51" s="49">
        <f>'Data 1 '!D13</f>
        <v>89.519966666666676</v>
      </c>
      <c r="I51" s="49"/>
      <c r="K51" s="4" t="s">
        <v>161</v>
      </c>
      <c r="L51" s="49">
        <f t="shared" si="0"/>
        <v>1</v>
      </c>
      <c r="M51" s="47" t="s">
        <v>152</v>
      </c>
      <c r="N51" s="49">
        <v>1</v>
      </c>
      <c r="O51" s="49"/>
    </row>
    <row r="52" spans="1:15" x14ac:dyDescent="0.2">
      <c r="B52" s="4" t="s">
        <v>137</v>
      </c>
      <c r="C52" s="34">
        <f>SUMPRODUCT(C3:C27,'Data 2'!$J$7:$J$31)</f>
        <v>5.1125000000000007</v>
      </c>
      <c r="D52" s="1">
        <f>SUMPRODUCT(D3:D27,'Data 2'!$J$7:$J$31)</f>
        <v>2.65</v>
      </c>
      <c r="E52" s="35">
        <f>SUMPRODUCT(E3:E27,'Data 2'!$J$7:$J$31)</f>
        <v>2.1</v>
      </c>
      <c r="F52" s="49">
        <f t="shared" si="2"/>
        <v>9.8625000000000007</v>
      </c>
      <c r="G52" s="47" t="s">
        <v>152</v>
      </c>
      <c r="H52" s="49">
        <f>'Data 1 '!D14</f>
        <v>23.019420000000004</v>
      </c>
      <c r="I52" s="72"/>
      <c r="K52" s="4" t="s">
        <v>163</v>
      </c>
      <c r="L52" s="49">
        <f t="shared" si="0"/>
        <v>0</v>
      </c>
      <c r="M52" s="47" t="s">
        <v>152</v>
      </c>
      <c r="N52" s="49">
        <v>1</v>
      </c>
      <c r="O52" s="49"/>
    </row>
    <row r="53" spans="1:15" x14ac:dyDescent="0.2">
      <c r="B53" s="4" t="s">
        <v>138</v>
      </c>
      <c r="C53" s="34">
        <f>SUMPRODUCT(C3:C27,'Data 2'!$K$7:$K$31)</f>
        <v>210.45</v>
      </c>
      <c r="D53" s="1">
        <f>SUMPRODUCT(D3:D27,'Data 2'!$K$7:$K$31)</f>
        <v>135</v>
      </c>
      <c r="E53" s="35">
        <f>SUMPRODUCT(E3:E27,'Data 2'!$K$7:$K$31)</f>
        <v>1261.2</v>
      </c>
      <c r="F53" s="49">
        <f t="shared" si="2"/>
        <v>1606.65</v>
      </c>
      <c r="G53" s="47" t="s">
        <v>152</v>
      </c>
      <c r="H53" s="49">
        <f>'Data 1 '!D18</f>
        <v>2300</v>
      </c>
      <c r="I53" s="72"/>
      <c r="K53" s="4" t="s">
        <v>166</v>
      </c>
      <c r="L53" s="49">
        <f t="shared" si="0"/>
        <v>0</v>
      </c>
      <c r="M53" s="47" t="s">
        <v>152</v>
      </c>
      <c r="N53" s="49">
        <v>1</v>
      </c>
      <c r="O53" s="49"/>
    </row>
    <row r="54" spans="1:15" x14ac:dyDescent="0.2">
      <c r="B54" s="4" t="s">
        <v>139</v>
      </c>
      <c r="C54" s="34">
        <f>SUMPRODUCT(C3:C27,'Data 2'!$L$7:$L$31)</f>
        <v>64.2</v>
      </c>
      <c r="D54" s="1">
        <f>SUMPRODUCT(D3:D27,'Data 2'!$L$7:$L$31)</f>
        <v>23.5</v>
      </c>
      <c r="E54" s="35">
        <f>SUMPRODUCT(E3:E27,'Data 2'!$L$7:$L$31)</f>
        <v>128</v>
      </c>
      <c r="F54" s="49">
        <f t="shared" si="2"/>
        <v>215.7</v>
      </c>
      <c r="G54" s="47" t="s">
        <v>152</v>
      </c>
      <c r="H54" s="49">
        <f>'Data 1 '!D15</f>
        <v>149.62623000000002</v>
      </c>
      <c r="I54" s="70"/>
      <c r="K54" s="4" t="s">
        <v>19</v>
      </c>
      <c r="L54" s="49">
        <f t="shared" si="0"/>
        <v>1</v>
      </c>
      <c r="M54" s="47" t="s">
        <v>152</v>
      </c>
      <c r="N54" s="49">
        <v>1</v>
      </c>
      <c r="O54" s="49"/>
    </row>
    <row r="55" spans="1:15" x14ac:dyDescent="0.2">
      <c r="B55" s="4" t="s">
        <v>140</v>
      </c>
      <c r="C55" s="34">
        <f>SUMPRODUCT(C3:C27,'Data 2'!$M$7:$M$31)</f>
        <v>8.0500000000000007</v>
      </c>
      <c r="D55" s="1">
        <f>SUMPRODUCT(D3:D27,'Data 2'!$M$7:$M$31)</f>
        <v>6.5</v>
      </c>
      <c r="E55" s="35">
        <f>SUMPRODUCT(E3:E27,'Data 2'!$M$7:$M$31)</f>
        <v>11.1</v>
      </c>
      <c r="F55" s="49">
        <f t="shared" si="2"/>
        <v>25.65</v>
      </c>
      <c r="G55" s="47" t="s">
        <v>152</v>
      </c>
      <c r="H55" s="49">
        <f>'Data 1 '!D12</f>
        <v>50</v>
      </c>
      <c r="I55" s="72"/>
      <c r="K55" s="4" t="s">
        <v>16</v>
      </c>
      <c r="L55" s="49">
        <f t="shared" si="0"/>
        <v>0</v>
      </c>
      <c r="M55" s="47" t="s">
        <v>152</v>
      </c>
      <c r="N55" s="49">
        <v>1</v>
      </c>
      <c r="O55" s="49"/>
    </row>
    <row r="56" spans="1:15" x14ac:dyDescent="0.2">
      <c r="B56" s="4" t="s">
        <v>141</v>
      </c>
      <c r="C56" s="34">
        <f>SUMPRODUCT(C3:C27,'Data 2'!$N$7:$N$31)</f>
        <v>44.1</v>
      </c>
      <c r="D56" s="1">
        <f>SUMPRODUCT(D3:D27,'Data 2'!$N$7:$N$31)</f>
        <v>13.65</v>
      </c>
      <c r="E56" s="35">
        <f>SUMPRODUCT(E3:E27,'Data 2'!$N$7:$N$31)</f>
        <v>18</v>
      </c>
      <c r="F56" s="49">
        <f t="shared" si="2"/>
        <v>75.75</v>
      </c>
      <c r="G56" s="47" t="s">
        <v>152</v>
      </c>
      <c r="H56" s="49">
        <f>'Data 1 '!D17</f>
        <v>28.774275000000006</v>
      </c>
      <c r="I56" s="70"/>
      <c r="K56" s="4" t="s">
        <v>14</v>
      </c>
      <c r="L56" s="49">
        <f t="shared" si="0"/>
        <v>1</v>
      </c>
      <c r="M56" s="47" t="s">
        <v>152</v>
      </c>
      <c r="N56" s="49">
        <v>1</v>
      </c>
      <c r="O56" s="49"/>
    </row>
    <row r="57" spans="1:15" x14ac:dyDescent="0.2">
      <c r="B57" s="4" t="s">
        <v>142</v>
      </c>
      <c r="C57" s="34">
        <f>SUMPRODUCT(C3:C27,'Data 2'!$O$7:$O$31)</f>
        <v>34.3125</v>
      </c>
      <c r="D57" s="1">
        <f>SUMPRODUCT(D3:D27,'Data 2'!$O$7:$O$31)</f>
        <v>18</v>
      </c>
      <c r="E57" s="35">
        <f>SUMPRODUCT(E3:E27,'Data 2'!$O$7:$O$31)</f>
        <v>17.3</v>
      </c>
      <c r="F57" s="49">
        <f t="shared" si="2"/>
        <v>69.612499999999997</v>
      </c>
      <c r="G57" s="47" t="s">
        <v>152</v>
      </c>
      <c r="H57" s="49">
        <f>'Data 1 '!D16</f>
        <v>105</v>
      </c>
      <c r="I57" s="49"/>
      <c r="K57" s="4" t="s">
        <v>12</v>
      </c>
      <c r="L57" s="49">
        <f t="shared" si="0"/>
        <v>0</v>
      </c>
      <c r="M57" s="47" t="s">
        <v>152</v>
      </c>
      <c r="N57" s="49">
        <v>1</v>
      </c>
      <c r="O57" s="49"/>
    </row>
    <row r="58" spans="1:15" x14ac:dyDescent="0.2">
      <c r="B58" s="4" t="s">
        <v>143</v>
      </c>
      <c r="C58" s="34">
        <f>SUMPRODUCT(C3:C27,'Data 2'!$P$7:$P$31)</f>
        <v>50</v>
      </c>
      <c r="D58" s="1">
        <f>SUMPRODUCT(D3:D27,'Data 2'!$P$7:$P$31)</f>
        <v>90</v>
      </c>
      <c r="E58" s="35">
        <f>SUMPRODUCT(E3:E27,'Data 2'!$P$7:$P$31)</f>
        <v>0</v>
      </c>
      <c r="F58" s="49">
        <f t="shared" si="2"/>
        <v>140</v>
      </c>
      <c r="G58" s="47" t="s">
        <v>152</v>
      </c>
      <c r="H58" s="49">
        <f>'Data 1 '!D22</f>
        <v>3000</v>
      </c>
      <c r="I58" s="72"/>
      <c r="K58" s="4" t="s">
        <v>8</v>
      </c>
      <c r="L58" s="49">
        <f t="shared" si="0"/>
        <v>0</v>
      </c>
      <c r="M58" s="47" t="s">
        <v>152</v>
      </c>
      <c r="N58" s="49">
        <v>1</v>
      </c>
      <c r="O58" s="49"/>
    </row>
    <row r="59" spans="1:15" x14ac:dyDescent="0.2">
      <c r="B59" s="4" t="s">
        <v>144</v>
      </c>
      <c r="C59" s="34">
        <f>SUMPRODUCT(C3:C27,'Data 2'!$Q$7:$Q$31)</f>
        <v>2</v>
      </c>
      <c r="D59" s="1">
        <f>SUMPRODUCT(D3:D27,'Data 2'!$Q$7:$Q$31)</f>
        <v>8</v>
      </c>
      <c r="E59" s="35">
        <f>SUMPRODUCT(E3:E27,'Data 2'!$Q$7:$Q$31)</f>
        <v>0</v>
      </c>
      <c r="F59" s="49">
        <f t="shared" si="2"/>
        <v>10</v>
      </c>
      <c r="G59" s="47" t="s">
        <v>152</v>
      </c>
      <c r="H59" s="49">
        <f>'Data 1 '!D23</f>
        <v>100</v>
      </c>
      <c r="I59" s="72"/>
      <c r="K59" s="4" t="s">
        <v>5</v>
      </c>
      <c r="L59" s="49">
        <f t="shared" si="0"/>
        <v>1</v>
      </c>
      <c r="M59" s="47" t="s">
        <v>152</v>
      </c>
      <c r="N59" s="49">
        <v>1</v>
      </c>
      <c r="O59" s="49"/>
    </row>
    <row r="60" spans="1:15" x14ac:dyDescent="0.2">
      <c r="B60" s="4" t="s">
        <v>145</v>
      </c>
      <c r="C60" s="34">
        <f>SUMPRODUCT(C3:C27,'Data 2'!$R$7:$R$31)</f>
        <v>210.625</v>
      </c>
      <c r="D60" s="1">
        <f>SUMPRODUCT(D3:D27,'Data 2'!$R$7:$R$31)</f>
        <v>512</v>
      </c>
      <c r="E60" s="35">
        <f>SUMPRODUCT(E3:E27,'Data 2'!$R$7:$R$31)</f>
        <v>115.9</v>
      </c>
      <c r="F60" s="49">
        <f t="shared" si="2"/>
        <v>838.52499999999998</v>
      </c>
      <c r="G60" s="47" t="s">
        <v>152</v>
      </c>
      <c r="H60" s="49">
        <f>'Data 1 '!D19</f>
        <v>2500</v>
      </c>
      <c r="I60" s="49"/>
      <c r="K60" s="4" t="s">
        <v>2</v>
      </c>
      <c r="L60" s="49">
        <f t="shared" si="0"/>
        <v>1</v>
      </c>
      <c r="M60" s="47" t="s">
        <v>152</v>
      </c>
      <c r="N60" s="49">
        <v>1</v>
      </c>
      <c r="O60" s="49"/>
    </row>
    <row r="61" spans="1:15" x14ac:dyDescent="0.2">
      <c r="B61" s="4" t="s">
        <v>146</v>
      </c>
      <c r="C61" s="34">
        <f>SUMPRODUCT(C3:C27,'Data 2'!$S$7:$S$31)</f>
        <v>1665.55</v>
      </c>
      <c r="D61" s="1">
        <f>SUMPRODUCT(D3:D27,'Data 2'!$S$7:$S$31)</f>
        <v>662.45</v>
      </c>
      <c r="E61" s="35">
        <f>SUMPRODUCT(E3:E27,'Data 2'!$S$7:$S$31)</f>
        <v>1222.4000000000001</v>
      </c>
      <c r="F61" s="49">
        <f t="shared" si="2"/>
        <v>3550.4</v>
      </c>
      <c r="G61" s="47" t="s">
        <v>152</v>
      </c>
      <c r="H61" s="49">
        <f>'Data 1 '!D21</f>
        <v>4700</v>
      </c>
      <c r="I61" s="49"/>
      <c r="K61" s="4" t="s">
        <v>158</v>
      </c>
      <c r="L61" s="30">
        <f t="shared" si="0"/>
        <v>0</v>
      </c>
      <c r="M61" s="47" t="s">
        <v>152</v>
      </c>
      <c r="N61" s="30">
        <v>1</v>
      </c>
      <c r="O61" s="49"/>
    </row>
    <row r="62" spans="1:15" x14ac:dyDescent="0.2">
      <c r="B62" s="4" t="s">
        <v>147</v>
      </c>
      <c r="C62" s="36">
        <f>SUMPRODUCT(C3:C27,'Data 2'!$T$7:$T$31)</f>
        <v>2.5750000000000002</v>
      </c>
      <c r="D62" s="37">
        <f>SUMPRODUCT(D3:D27,'Data 2'!$T$7:$T$31)</f>
        <v>1.55</v>
      </c>
      <c r="E62" s="38">
        <f>SUMPRODUCT(E3:E27,'Data 2'!$T$7:$T$31)</f>
        <v>5.05</v>
      </c>
      <c r="F62" s="30">
        <f t="shared" si="2"/>
        <v>9.1750000000000007</v>
      </c>
      <c r="G62" s="47" t="s">
        <v>152</v>
      </c>
      <c r="H62" s="30">
        <f>'Data 1 '!D20</f>
        <v>45</v>
      </c>
      <c r="I62" s="30"/>
      <c r="K62" s="4" t="s">
        <v>63</v>
      </c>
      <c r="L62" s="48">
        <f>SUM(C3:E6)</f>
        <v>3</v>
      </c>
      <c r="M62" s="47" t="s">
        <v>151</v>
      </c>
      <c r="N62" s="48">
        <v>1</v>
      </c>
      <c r="O62" s="49"/>
    </row>
    <row r="63" spans="1:15" x14ac:dyDescent="0.2">
      <c r="K63" s="4" t="s">
        <v>51</v>
      </c>
      <c r="L63" s="49">
        <f>SUM(C7:E9)</f>
        <v>2</v>
      </c>
      <c r="M63" s="47" t="s">
        <v>151</v>
      </c>
      <c r="N63" s="49">
        <v>1</v>
      </c>
      <c r="O63" s="49"/>
    </row>
    <row r="64" spans="1:15" x14ac:dyDescent="0.2">
      <c r="K64" s="4" t="s">
        <v>41</v>
      </c>
      <c r="L64" s="49">
        <f>SUM(C10:E12)</f>
        <v>2</v>
      </c>
      <c r="M64" s="47" t="s">
        <v>151</v>
      </c>
      <c r="N64" s="49">
        <v>1</v>
      </c>
      <c r="O64" s="49"/>
    </row>
    <row r="65" spans="11:15" x14ac:dyDescent="0.2">
      <c r="K65" s="4" t="s">
        <v>32</v>
      </c>
      <c r="L65" s="49">
        <f>SUM(C13:E19)</f>
        <v>2</v>
      </c>
      <c r="M65" s="47" t="s">
        <v>151</v>
      </c>
      <c r="N65" s="49">
        <v>1</v>
      </c>
      <c r="O65" s="49"/>
    </row>
    <row r="66" spans="11:15" x14ac:dyDescent="0.2">
      <c r="K66" s="4" t="s">
        <v>20</v>
      </c>
      <c r="L66" s="49">
        <f>SUM(C20:E23)</f>
        <v>2</v>
      </c>
      <c r="M66" s="47" t="s">
        <v>151</v>
      </c>
      <c r="N66" s="49">
        <v>1</v>
      </c>
      <c r="O66" s="49"/>
    </row>
    <row r="67" spans="11:15" x14ac:dyDescent="0.2">
      <c r="K67" s="4" t="s">
        <v>9</v>
      </c>
      <c r="L67" s="30">
        <f>SUM(C24:E27)</f>
        <v>2</v>
      </c>
      <c r="M67" s="47" t="s">
        <v>151</v>
      </c>
      <c r="N67" s="30">
        <v>1</v>
      </c>
      <c r="O67" s="49"/>
    </row>
    <row r="68" spans="11:15" x14ac:dyDescent="0.2">
      <c r="K68" s="4" t="s">
        <v>171</v>
      </c>
      <c r="L68" s="48">
        <f>SUM(C3:C27)</f>
        <v>6</v>
      </c>
      <c r="M68" s="47" t="s">
        <v>151</v>
      </c>
      <c r="N68" s="48">
        <v>3</v>
      </c>
      <c r="O68" s="49"/>
    </row>
    <row r="69" spans="11:15" x14ac:dyDescent="0.2">
      <c r="K69" s="4" t="s">
        <v>170</v>
      </c>
      <c r="L69" s="49">
        <f>SUM(D3:D27)</f>
        <v>3</v>
      </c>
      <c r="M69" s="47" t="s">
        <v>151</v>
      </c>
      <c r="N69" s="49">
        <v>3</v>
      </c>
      <c r="O69" s="49"/>
    </row>
    <row r="70" spans="11:15" x14ac:dyDescent="0.2">
      <c r="K70" s="4" t="s">
        <v>172</v>
      </c>
      <c r="L70" s="30">
        <f>SUM(E3:E27)</f>
        <v>4</v>
      </c>
      <c r="M70" s="47" t="s">
        <v>151</v>
      </c>
      <c r="N70" s="30">
        <v>3</v>
      </c>
      <c r="O70" s="49"/>
    </row>
    <row r="71" spans="11:15" x14ac:dyDescent="0.2">
      <c r="K71" s="4" t="s">
        <v>173</v>
      </c>
      <c r="L71" s="48">
        <f>SUM(C3:C27)</f>
        <v>6</v>
      </c>
      <c r="M71" s="47" t="s">
        <v>152</v>
      </c>
      <c r="N71" s="48">
        <v>7</v>
      </c>
      <c r="O71" s="49"/>
    </row>
    <row r="72" spans="11:15" x14ac:dyDescent="0.2">
      <c r="K72" s="4" t="s">
        <v>174</v>
      </c>
      <c r="L72" s="49">
        <f>SUM(D3:D27)</f>
        <v>3</v>
      </c>
      <c r="M72" s="47" t="s">
        <v>152</v>
      </c>
      <c r="N72" s="49">
        <v>7</v>
      </c>
      <c r="O72" s="49"/>
    </row>
    <row r="73" spans="11:15" x14ac:dyDescent="0.2">
      <c r="K73" s="4" t="s">
        <v>175</v>
      </c>
      <c r="L73" s="30">
        <f>SUM(E3:E27)</f>
        <v>4</v>
      </c>
      <c r="M73" s="47" t="s">
        <v>152</v>
      </c>
      <c r="N73" s="30">
        <v>7</v>
      </c>
      <c r="O7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 </vt:lpstr>
      <vt:lpstr>Data 2</vt:lpstr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2023-03-24T00:02:42Z</dcterms:created>
  <dcterms:modified xsi:type="dcterms:W3CDTF">2023-04-01T04:53:34Z</dcterms:modified>
</cp:coreProperties>
</file>