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479070/Documents/personal_workspace/informed_investing/analytics/"/>
    </mc:Choice>
  </mc:AlternateContent>
  <xr:revisionPtr revIDLastSave="0" documentId="13_ncr:1_{AB38A121-1CF3-9746-8D77-305D35EA0CD5}" xr6:coauthVersionLast="43" xr6:coauthVersionMax="43" xr10:uidLastSave="{00000000-0000-0000-0000-000000000000}"/>
  <bookViews>
    <workbookView xWindow="14640" yWindow="2660" windowWidth="18960" windowHeight="17440" xr2:uid="{30D80B9D-1700-C74A-B972-4D2EFBDEA322}"/>
  </bookViews>
  <sheets>
    <sheet name="INPUT" sheetId="1" r:id="rId1"/>
    <sheet name="GROWTH" sheetId="3" r:id="rId2"/>
    <sheet name="GROWTH YoY" sheetId="2" r:id="rId3"/>
    <sheet name="VALUE MATRIX" sheetId="4" r:id="rId4"/>
    <sheet name="BUY ZONE" sheetId="5" r:id="rId5"/>
    <sheet name="DISCOUNTED CASH FLOW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" i="4" l="1"/>
  <c r="B19" i="4" s="1"/>
  <c r="K5" i="5"/>
  <c r="B6" i="5"/>
  <c r="B4" i="5"/>
  <c r="C1" i="1" l="1"/>
  <c r="I5" i="4"/>
  <c r="I3" i="4"/>
  <c r="B4" i="1"/>
  <c r="B28" i="1"/>
  <c r="F4" i="1"/>
  <c r="D6" i="1"/>
  <c r="B8" i="1"/>
  <c r="E15" i="1"/>
  <c r="E8" i="1"/>
  <c r="D5" i="1"/>
  <c r="B7" i="1"/>
  <c r="C15" i="1"/>
  <c r="F5" i="1"/>
  <c r="F11" i="1"/>
  <c r="C4" i="1"/>
  <c r="F10" i="1"/>
  <c r="E7" i="1"/>
  <c r="D4" i="1"/>
  <c r="B6" i="1"/>
  <c r="D15" i="1"/>
  <c r="C5" i="1"/>
  <c r="G15" i="1"/>
  <c r="F9" i="1"/>
  <c r="E6" i="1"/>
  <c r="C8" i="1"/>
  <c r="B5" i="1"/>
  <c r="E5" i="1"/>
  <c r="E4" i="1"/>
  <c r="F6" i="1"/>
  <c r="F15" i="1"/>
  <c r="F8" i="1"/>
  <c r="C7" i="1"/>
  <c r="F7" i="1"/>
  <c r="C6" i="1"/>
  <c r="D8" i="1"/>
  <c r="D7" i="1"/>
  <c r="K4" i="5" l="1"/>
  <c r="K7" i="5" s="1"/>
  <c r="K8" i="5" s="1"/>
  <c r="B30" i="1"/>
  <c r="B15" i="1"/>
  <c r="C6" i="3"/>
  <c r="D6" i="2"/>
  <c r="C7" i="3"/>
  <c r="D7" i="2"/>
  <c r="E5" i="2"/>
  <c r="D5" i="3"/>
  <c r="B6" i="2"/>
  <c r="E6" i="2"/>
  <c r="D6" i="3"/>
  <c r="B24" i="1"/>
  <c r="B7" i="2"/>
  <c r="B5" i="2"/>
  <c r="B3" i="3"/>
  <c r="C3" i="2"/>
  <c r="E3" i="3"/>
  <c r="B4" i="3"/>
  <c r="C4" i="2"/>
  <c r="E4" i="3"/>
  <c r="E7" i="2"/>
  <c r="D7" i="3"/>
  <c r="B5" i="3"/>
  <c r="C5" i="2"/>
  <c r="B20" i="1"/>
  <c r="E4" i="2"/>
  <c r="D4" i="3"/>
  <c r="E5" i="3"/>
  <c r="C3" i="3"/>
  <c r="D3" i="2"/>
  <c r="C6" i="2"/>
  <c r="B6" i="3"/>
  <c r="D3" i="3"/>
  <c r="E3" i="2"/>
  <c r="B21" i="1"/>
  <c r="B4" i="2"/>
  <c r="B16" i="1"/>
  <c r="B17" i="1"/>
  <c r="E6" i="3"/>
  <c r="C4" i="3"/>
  <c r="D4" i="2"/>
  <c r="C7" i="2"/>
  <c r="B7" i="3"/>
  <c r="B25" i="1"/>
  <c r="E7" i="3"/>
  <c r="D5" i="2"/>
  <c r="C5" i="3"/>
  <c r="B3" i="2"/>
  <c r="E11" i="5" l="1"/>
  <c r="E12" i="5" s="1"/>
  <c r="H5" i="5"/>
  <c r="H6" i="5" s="1"/>
  <c r="E4" i="5"/>
  <c r="E5" i="5" s="1"/>
  <c r="A14" i="4"/>
  <c r="A22" i="4" s="1"/>
  <c r="B22" i="4" s="1"/>
  <c r="C22" i="4" s="1"/>
  <c r="A12" i="4"/>
  <c r="A13" i="4"/>
  <c r="A21" i="4" s="1"/>
  <c r="B21" i="4" s="1"/>
  <c r="C21" i="4" s="1"/>
  <c r="A16" i="4"/>
  <c r="A24" i="4" s="1"/>
  <c r="B24" i="4" s="1"/>
  <c r="C24" i="4" s="1"/>
  <c r="A15" i="4"/>
  <c r="A23" i="4" s="1"/>
  <c r="B23" i="4" s="1"/>
  <c r="C23" i="4" s="1"/>
  <c r="B11" i="4"/>
  <c r="D11" i="4"/>
  <c r="F11" i="4"/>
  <c r="E8" i="2"/>
  <c r="D8" i="3"/>
  <c r="B8" i="2"/>
  <c r="E8" i="3"/>
  <c r="B8" i="3"/>
  <c r="C8" i="2"/>
  <c r="D8" i="2"/>
  <c r="C8" i="3"/>
  <c r="H7" i="5" l="1"/>
  <c r="H8" i="5" s="1"/>
  <c r="E14" i="5"/>
  <c r="E13" i="5"/>
  <c r="E6" i="5"/>
  <c r="E7" i="5"/>
  <c r="A4" i="4"/>
  <c r="A20" i="4"/>
  <c r="B20" i="4" s="1"/>
  <c r="C20" i="4" s="1"/>
  <c r="C11" i="4"/>
  <c r="C16" i="4" s="1"/>
  <c r="C8" i="4" s="1"/>
  <c r="A6" i="4"/>
  <c r="E11" i="4"/>
  <c r="E14" i="4" s="1"/>
  <c r="E6" i="4" s="1"/>
  <c r="B14" i="4"/>
  <c r="B6" i="4" s="1"/>
  <c r="B15" i="4"/>
  <c r="B7" i="4" s="1"/>
  <c r="A7" i="4"/>
  <c r="B13" i="4"/>
  <c r="B5" i="4" s="1"/>
  <c r="A5" i="4"/>
  <c r="D16" i="4"/>
  <c r="D8" i="4" s="1"/>
  <c r="A8" i="4"/>
  <c r="B12" i="4"/>
  <c r="B16" i="4"/>
  <c r="B8" i="4" s="1"/>
  <c r="F16" i="4"/>
  <c r="F8" i="4" s="1"/>
  <c r="F14" i="4"/>
  <c r="F6" i="4" s="1"/>
  <c r="F13" i="4"/>
  <c r="F5" i="4" s="1"/>
  <c r="D13" i="4"/>
  <c r="D5" i="4" s="1"/>
  <c r="F15" i="4"/>
  <c r="F7" i="4" s="1"/>
  <c r="D15" i="4"/>
  <c r="D7" i="4" s="1"/>
  <c r="D12" i="4"/>
  <c r="D4" i="4" s="1"/>
  <c r="D14" i="4"/>
  <c r="D6" i="4" s="1"/>
  <c r="F12" i="4"/>
  <c r="F4" i="4" s="1"/>
  <c r="E15" i="5" l="1"/>
  <c r="E8" i="5"/>
  <c r="B4" i="4"/>
  <c r="C15" i="4"/>
  <c r="C7" i="4" s="1"/>
  <c r="C13" i="4"/>
  <c r="C5" i="4" s="1"/>
  <c r="C14" i="4"/>
  <c r="C6" i="4" s="1"/>
  <c r="C12" i="4"/>
  <c r="C4" i="4" s="1"/>
  <c r="E15" i="4"/>
  <c r="E7" i="4" s="1"/>
  <c r="E13" i="4"/>
  <c r="E5" i="4" s="1"/>
  <c r="E12" i="4"/>
  <c r="E4" i="4" s="1"/>
  <c r="E16" i="4"/>
  <c r="E8" i="4" s="1"/>
</calcChain>
</file>

<file path=xl/sharedStrings.xml><?xml version="1.0" encoding="utf-8"?>
<sst xmlns="http://schemas.openxmlformats.org/spreadsheetml/2006/main" count="108" uniqueCount="72">
  <si>
    <t>GOOGL</t>
  </si>
  <si>
    <t>FINANCIAL YEAR</t>
  </si>
  <si>
    <t>SALES ($m.)</t>
  </si>
  <si>
    <t>EPS</t>
  </si>
  <si>
    <t>EQUITY ($m.)</t>
  </si>
  <si>
    <t>FCF ($m.)</t>
  </si>
  <si>
    <t>ROIC</t>
  </si>
  <si>
    <t>CURRENT ASSETS</t>
  </si>
  <si>
    <t>CURRENT LIABILITIES</t>
  </si>
  <si>
    <t>TOTAL LIABILITIES</t>
  </si>
  <si>
    <t>TICKER</t>
  </si>
  <si>
    <t>PRICE/EARNINGS RATIO</t>
  </si>
  <si>
    <t>5 YR LOW</t>
  </si>
  <si>
    <t>5 YR HIGH</t>
  </si>
  <si>
    <t>5 YR AVERAGE</t>
  </si>
  <si>
    <t>DEBT RATIOS</t>
  </si>
  <si>
    <t>Current Ratio</t>
  </si>
  <si>
    <t>Debt-to-Equity Ratio</t>
  </si>
  <si>
    <t>Return on Invested Capital</t>
  </si>
  <si>
    <t>1 YR AVERAGE</t>
  </si>
  <si>
    <t>Trailling PE</t>
  </si>
  <si>
    <t>Forward PE</t>
  </si>
  <si>
    <t>Change</t>
  </si>
  <si>
    <t>PE Prediction</t>
  </si>
  <si>
    <t>(-ve is better)</t>
  </si>
  <si>
    <t>GROWTH</t>
  </si>
  <si>
    <t>1YR</t>
  </si>
  <si>
    <t>2YR</t>
  </si>
  <si>
    <t>3YR</t>
  </si>
  <si>
    <t>4YR</t>
  </si>
  <si>
    <t>ROIC %</t>
  </si>
  <si>
    <t>FY2014</t>
  </si>
  <si>
    <t>FY2015</t>
  </si>
  <si>
    <t>FY2016</t>
  </si>
  <si>
    <t>FY2017</t>
  </si>
  <si>
    <t>FY2018</t>
  </si>
  <si>
    <t>AVG GROWTH</t>
  </si>
  <si>
    <t>GROWTH / YR</t>
  </si>
  <si>
    <t>Compounded annual growth rate</t>
  </si>
  <si>
    <t>INPUT INFO</t>
  </si>
  <si>
    <t>Growth/PE</t>
  </si>
  <si>
    <t>EPS (TTM)</t>
  </si>
  <si>
    <t>TIME FRAME (Yrs)</t>
  </si>
  <si>
    <t>Price</t>
  </si>
  <si>
    <t>ESTIMATED ANNUAL RETURN</t>
  </si>
  <si>
    <t>STOCK PRICE IN 5 YEARS</t>
  </si>
  <si>
    <t>avg equity</t>
  </si>
  <si>
    <t>min equity</t>
  </si>
  <si>
    <t>avg growth</t>
  </si>
  <si>
    <t>growth / 2</t>
  </si>
  <si>
    <t>growth * 1.25</t>
  </si>
  <si>
    <t>avg equity (5y)</t>
  </si>
  <si>
    <t>min equity (5y)</t>
  </si>
  <si>
    <t>STOCK PRICE IN 1 YEAR based on ForwardPE</t>
  </si>
  <si>
    <t>avg growth (5y)</t>
  </si>
  <si>
    <t>Estimate future stock price based on different Growth Rate and PE ratio</t>
  </si>
  <si>
    <t>Estimate future stock price based on different Growth Rate and Future PE ratio</t>
  </si>
  <si>
    <t>AUTO: BUY ZONE CALC</t>
  </si>
  <si>
    <t>Manual: BUY ZONE CALC</t>
  </si>
  <si>
    <t>Payback Time</t>
  </si>
  <si>
    <t>Growth Estimate</t>
  </si>
  <si>
    <t>Free Cash Flow ($m.)</t>
  </si>
  <si>
    <t>FAIR VALUE</t>
  </si>
  <si>
    <t>Market Cap ($m.)</t>
  </si>
  <si>
    <t>STOCK PRICE</t>
  </si>
  <si>
    <t>BUY PRICE</t>
  </si>
  <si>
    <t>MARGIN OF SAFETY</t>
  </si>
  <si>
    <t>SELL PRICE</t>
  </si>
  <si>
    <t>REQURED RATE OF RETURN</t>
  </si>
  <si>
    <t>DECISION</t>
  </si>
  <si>
    <t>BUY</t>
  </si>
  <si>
    <t>Equity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</si>
</sst>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&quot;$&quot;#,##0"/>
  </numFmts>
  <fonts count="35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FF9900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b/>
      <sz val="14"/>
      <color theme="1"/>
      <name val="Calibri (Body)"/>
    </font>
    <font>
      <b/>
      <sz val="14"/>
      <color rgb="FFFF0000"/>
      <name val="Calibri (Body)"/>
    </font>
    <font>
      <sz val="14"/>
      <color theme="1"/>
      <name val="Calibri (Body)"/>
    </font>
    <font>
      <b/>
      <sz val="14"/>
      <color rgb="FF38761D"/>
      <name val="Calibri (Body)"/>
    </font>
    <font>
      <b/>
      <sz val="14"/>
      <color rgb="FFFF9900"/>
      <name val="Calibri (Body)"/>
    </font>
    <font>
      <b/>
      <sz val="14"/>
      <color rgb="FF9900FF"/>
      <name val="Calibri (Body)"/>
    </font>
    <font>
      <b/>
      <sz val="14"/>
      <color rgb="FF3D85C6"/>
      <name val="Calibri (Body)"/>
    </font>
    <font>
      <b/>
      <sz val="14"/>
      <color theme="2" tint="-0.499984740745262"/>
      <name val="Calibri (Body)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4"/>
      <color rgb="FFFF0000"/>
      <name val="Calibri"/>
      <family val="2"/>
    </font>
    <font>
      <b/>
      <sz val="14"/>
      <color rgb="FF38761D"/>
      <name val="Calibri"/>
      <family val="2"/>
    </font>
    <font>
      <b/>
      <sz val="14"/>
      <color rgb="FFFF9900"/>
      <name val="Calibri"/>
      <family val="2"/>
    </font>
    <font>
      <b/>
      <sz val="14"/>
      <color rgb="FF9900FF"/>
      <name val="Calibri"/>
      <family val="2"/>
    </font>
    <font>
      <b/>
      <sz val="14"/>
      <color rgb="FF45818E"/>
      <name val="Calibri"/>
      <family val="2"/>
    </font>
    <font>
      <b/>
      <sz val="14"/>
      <color rgb="FFCC4125"/>
      <name val="Calibri"/>
      <family val="2"/>
    </font>
    <font>
      <b/>
      <sz val="14"/>
      <color rgb="FF3D85C6"/>
      <name val="Calibri"/>
      <family val="2"/>
    </font>
    <font>
      <sz val="14"/>
      <color theme="2" tint="-0.249977111117893"/>
      <name val="Calibri"/>
      <family val="2"/>
      <scheme val="minor"/>
    </font>
    <font>
      <sz val="14"/>
      <color theme="1"/>
      <name val="Arial"/>
      <family val="2"/>
    </font>
    <font>
      <b/>
      <sz val="14"/>
      <color rgb="FF000000"/>
      <name val="Docs-Calibri"/>
    </font>
    <font>
      <sz val="12"/>
      <color rgb="FF000000"/>
      <name val="Calibri"/>
      <family val="2"/>
    </font>
    <font>
      <sz val="14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</font>
    <font>
      <sz val="12"/>
      <name val="Calibri"/>
      <family val="2"/>
    </font>
    <font>
      <b/>
      <sz val="16"/>
      <color theme="4"/>
      <name val="Calibri"/>
      <family val="2"/>
      <scheme val="minor"/>
    </font>
    <font>
      <b/>
      <sz val="12"/>
      <color rgb="FF999999"/>
      <name val="Calibri"/>
      <family val="2"/>
    </font>
    <font>
      <b/>
      <sz val="12"/>
      <color rgb="FF6AA84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2" borderId="1" xfId="0" applyFont="1" applyFill="1" applyBorder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13" fillId="2" borderId="0" xfId="0" applyFont="1" applyFill="1"/>
    <xf numFmtId="9" fontId="8" fillId="2" borderId="0" xfId="0" applyNumberFormat="1" applyFont="1" applyFill="1"/>
    <xf numFmtId="0" fontId="14" fillId="0" borderId="0" xfId="0" applyFont="1"/>
    <xf numFmtId="0" fontId="6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13" fillId="2" borderId="1" xfId="0" applyFont="1" applyFill="1" applyBorder="1"/>
    <xf numFmtId="0" fontId="6" fillId="2" borderId="2" xfId="0" applyFont="1" applyFill="1" applyBorder="1"/>
    <xf numFmtId="0" fontId="6" fillId="2" borderId="2" xfId="0" applyFont="1" applyFill="1" applyBorder="1" applyAlignment="1">
      <alignment horizontal="right"/>
    </xf>
    <xf numFmtId="0" fontId="16" fillId="2" borderId="1" xfId="0" applyFont="1" applyFill="1" applyBorder="1"/>
    <xf numFmtId="0" fontId="16" fillId="2" borderId="1" xfId="0" applyFont="1" applyFill="1" applyBorder="1" applyAlignment="1">
      <alignment horizontal="right"/>
    </xf>
    <xf numFmtId="0" fontId="14" fillId="2" borderId="1" xfId="0" applyFont="1" applyFill="1" applyBorder="1"/>
    <xf numFmtId="0" fontId="27" fillId="2" borderId="1" xfId="0" applyFont="1" applyFill="1" applyBorder="1"/>
    <xf numFmtId="0" fontId="14" fillId="2" borderId="0" xfId="0" applyFont="1" applyFill="1"/>
    <xf numFmtId="0" fontId="18" fillId="2" borderId="1" xfId="0" applyFont="1" applyFill="1" applyBorder="1"/>
    <xf numFmtId="0" fontId="19" fillId="2" borderId="1" xfId="0" applyFont="1" applyFill="1" applyBorder="1"/>
    <xf numFmtId="0" fontId="20" fillId="2" borderId="1" xfId="0" applyFont="1" applyFill="1" applyBorder="1"/>
    <xf numFmtId="0" fontId="21" fillId="2" borderId="1" xfId="0" applyFont="1" applyFill="1" applyBorder="1"/>
    <xf numFmtId="0" fontId="22" fillId="2" borderId="1" xfId="0" applyFont="1" applyFill="1" applyBorder="1"/>
    <xf numFmtId="164" fontId="14" fillId="2" borderId="0" xfId="0" applyNumberFormat="1" applyFont="1" applyFill="1"/>
    <xf numFmtId="0" fontId="23" fillId="2" borderId="1" xfId="0" applyFont="1" applyFill="1" applyBorder="1"/>
    <xf numFmtId="0" fontId="24" fillId="2" borderId="1" xfId="0" applyFont="1" applyFill="1" applyBorder="1"/>
    <xf numFmtId="0" fontId="25" fillId="2" borderId="0" xfId="0" applyFont="1" applyFill="1"/>
    <xf numFmtId="0" fontId="26" fillId="2" borderId="0" xfId="0" applyFont="1" applyFill="1"/>
    <xf numFmtId="0" fontId="17" fillId="0" borderId="1" xfId="0" applyFont="1" applyFill="1" applyBorder="1"/>
    <xf numFmtId="165" fontId="14" fillId="3" borderId="1" xfId="0" applyNumberFormat="1" applyFont="1" applyFill="1" applyBorder="1"/>
    <xf numFmtId="0" fontId="14" fillId="3" borderId="1" xfId="0" applyNumberFormat="1" applyFont="1" applyFill="1" applyBorder="1"/>
    <xf numFmtId="2" fontId="17" fillId="3" borderId="1" xfId="0" applyNumberFormat="1" applyFont="1" applyFill="1" applyBorder="1"/>
    <xf numFmtId="0" fontId="14" fillId="3" borderId="1" xfId="0" applyFont="1" applyFill="1" applyBorder="1"/>
    <xf numFmtId="0" fontId="17" fillId="3" borderId="1" xfId="0" applyFont="1" applyFill="1" applyBorder="1"/>
    <xf numFmtId="10" fontId="17" fillId="3" borderId="1" xfId="0" applyNumberFormat="1" applyFont="1" applyFill="1" applyBorder="1"/>
    <xf numFmtId="0" fontId="14" fillId="2" borderId="4" xfId="0" applyFont="1" applyFill="1" applyBorder="1"/>
    <xf numFmtId="2" fontId="17" fillId="3" borderId="4" xfId="0" applyNumberFormat="1" applyFont="1" applyFill="1" applyBorder="1"/>
    <xf numFmtId="0" fontId="25" fillId="2" borderId="8" xfId="0" applyFont="1" applyFill="1" applyBorder="1"/>
    <xf numFmtId="0" fontId="25" fillId="2" borderId="3" xfId="0" applyFont="1" applyFill="1" applyBorder="1"/>
    <xf numFmtId="0" fontId="25" fillId="2" borderId="9" xfId="0" applyFont="1" applyFill="1" applyBorder="1"/>
    <xf numFmtId="0" fontId="29" fillId="2" borderId="4" xfId="0" applyFont="1" applyFill="1" applyBorder="1" applyAlignment="1">
      <alignment horizontal="right"/>
    </xf>
    <xf numFmtId="0" fontId="29" fillId="2" borderId="10" xfId="0" applyFont="1" applyFill="1" applyBorder="1" applyAlignment="1">
      <alignment horizontal="right"/>
    </xf>
    <xf numFmtId="0" fontId="29" fillId="2" borderId="11" xfId="0" applyFont="1" applyFill="1" applyBorder="1" applyAlignment="1">
      <alignment horizontal="right"/>
    </xf>
    <xf numFmtId="0" fontId="7" fillId="2" borderId="1" xfId="0" applyFont="1" applyFill="1" applyBorder="1"/>
    <xf numFmtId="0" fontId="9" fillId="2" borderId="1" xfId="0" applyFont="1" applyFill="1" applyBorder="1"/>
    <xf numFmtId="0" fontId="10" fillId="2" borderId="1" xfId="0" applyFont="1" applyFill="1" applyBorder="1"/>
    <xf numFmtId="0" fontId="11" fillId="2" borderId="1" xfId="0" applyFont="1" applyFill="1" applyBorder="1"/>
    <xf numFmtId="0" fontId="12" fillId="2" borderId="1" xfId="0" applyFont="1" applyFill="1" applyBorder="1"/>
    <xf numFmtId="10" fontId="8" fillId="3" borderId="1" xfId="0" applyNumberFormat="1" applyFont="1" applyFill="1" applyBorder="1"/>
    <xf numFmtId="9" fontId="29" fillId="2" borderId="1" xfId="0" applyNumberFormat="1" applyFont="1" applyFill="1" applyBorder="1"/>
    <xf numFmtId="0" fontId="15" fillId="2" borderId="0" xfId="0" applyFont="1" applyFill="1"/>
    <xf numFmtId="0" fontId="8" fillId="2" borderId="0" xfId="0" applyFont="1" applyFill="1"/>
    <xf numFmtId="0" fontId="7" fillId="2" borderId="0" xfId="0" applyFont="1" applyFill="1"/>
    <xf numFmtId="10" fontId="8" fillId="2" borderId="0" xfId="0" applyNumberFormat="1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10" fontId="29" fillId="2" borderId="1" xfId="0" applyNumberFormat="1" applyFont="1" applyFill="1" applyBorder="1"/>
    <xf numFmtId="0" fontId="5" fillId="2" borderId="0" xfId="0" applyFont="1" applyFill="1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8" fontId="4" fillId="2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3" xfId="0" applyFont="1" applyFill="1" applyBorder="1"/>
    <xf numFmtId="0" fontId="0" fillId="2" borderId="0" xfId="0" applyFill="1" applyBorder="1"/>
    <xf numFmtId="0" fontId="1" fillId="2" borderId="12" xfId="0" applyFont="1" applyFill="1" applyBorder="1"/>
    <xf numFmtId="2" fontId="1" fillId="2" borderId="12" xfId="0" applyNumberFormat="1" applyFont="1" applyFill="1" applyBorder="1"/>
    <xf numFmtId="8" fontId="4" fillId="3" borderId="2" xfId="0" applyNumberFormat="1" applyFont="1" applyFill="1" applyBorder="1"/>
    <xf numFmtId="10" fontId="1" fillId="0" borderId="5" xfId="0" applyNumberFormat="1" applyFont="1" applyFill="1" applyBorder="1"/>
    <xf numFmtId="8" fontId="4" fillId="3" borderId="7" xfId="0" applyNumberFormat="1" applyFont="1" applyFill="1" applyBorder="1"/>
    <xf numFmtId="10" fontId="1" fillId="0" borderId="8" xfId="0" applyNumberFormat="1" applyFont="1" applyFill="1" applyBorder="1"/>
    <xf numFmtId="8" fontId="4" fillId="3" borderId="9" xfId="0" applyNumberFormat="1" applyFont="1" applyFill="1" applyBorder="1"/>
    <xf numFmtId="10" fontId="1" fillId="0" borderId="13" xfId="0" applyNumberFormat="1" applyFont="1" applyFill="1" applyBorder="1"/>
    <xf numFmtId="8" fontId="4" fillId="3" borderId="14" xfId="0" applyNumberFormat="1" applyFont="1" applyFill="1" applyBorder="1"/>
    <xf numFmtId="0" fontId="1" fillId="2" borderId="5" xfId="0" applyFont="1" applyFill="1" applyBorder="1"/>
    <xf numFmtId="2" fontId="1" fillId="2" borderId="7" xfId="0" applyNumberFormat="1" applyFont="1" applyFill="1" applyBorder="1"/>
    <xf numFmtId="8" fontId="4" fillId="3" borderId="12" xfId="0" applyNumberFormat="1" applyFont="1" applyFill="1" applyBorder="1"/>
    <xf numFmtId="8" fontId="4" fillId="3" borderId="15" xfId="0" applyNumberFormat="1" applyFont="1" applyFill="1" applyBorder="1"/>
    <xf numFmtId="0" fontId="1" fillId="2" borderId="15" xfId="0" applyFont="1" applyFill="1" applyBorder="1"/>
    <xf numFmtId="10" fontId="28" fillId="3" borderId="2" xfId="0" applyNumberFormat="1" applyFont="1" applyFill="1" applyBorder="1"/>
    <xf numFmtId="10" fontId="28" fillId="3" borderId="0" xfId="0" applyNumberFormat="1" applyFont="1" applyFill="1" applyBorder="1"/>
    <xf numFmtId="10" fontId="1" fillId="2" borderId="5" xfId="0" applyNumberFormat="1" applyFont="1" applyFill="1" applyBorder="1"/>
    <xf numFmtId="10" fontId="28" fillId="3" borderId="6" xfId="0" applyNumberFormat="1" applyFont="1" applyFill="1" applyBorder="1"/>
    <xf numFmtId="10" fontId="1" fillId="2" borderId="8" xfId="0" applyNumberFormat="1" applyFont="1" applyFill="1" applyBorder="1"/>
    <xf numFmtId="10" fontId="28" fillId="3" borderId="3" xfId="0" applyNumberFormat="1" applyFont="1" applyFill="1" applyBorder="1"/>
    <xf numFmtId="10" fontId="1" fillId="2" borderId="13" xfId="0" applyNumberFormat="1" applyFont="1" applyFill="1" applyBorder="1"/>
    <xf numFmtId="10" fontId="28" fillId="3" borderId="12" xfId="0" applyNumberFormat="1" applyFont="1" applyFill="1" applyBorder="1"/>
    <xf numFmtId="10" fontId="28" fillId="3" borderId="15" xfId="0" applyNumberFormat="1" applyFont="1" applyFill="1" applyBorder="1"/>
    <xf numFmtId="2" fontId="1" fillId="2" borderId="5" xfId="0" applyNumberFormat="1" applyFont="1" applyFill="1" applyBorder="1"/>
    <xf numFmtId="8" fontId="4" fillId="3" borderId="5" xfId="0" applyNumberFormat="1" applyFont="1" applyFill="1" applyBorder="1"/>
    <xf numFmtId="0" fontId="4" fillId="2" borderId="0" xfId="0" applyFont="1" applyFill="1" applyBorder="1" applyAlignment="1">
      <alignment horizontal="center"/>
    </xf>
    <xf numFmtId="8" fontId="4" fillId="2" borderId="0" xfId="0" applyNumberFormat="1" applyFont="1" applyFill="1" applyBorder="1"/>
    <xf numFmtId="0" fontId="4" fillId="2" borderId="0" xfId="0" applyFont="1" applyFill="1" applyBorder="1" applyAlignment="1">
      <alignment horizontal="left"/>
    </xf>
    <xf numFmtId="0" fontId="30" fillId="2" borderId="14" xfId="0" applyFont="1" applyFill="1" applyBorder="1" applyAlignment="1">
      <alignment vertical="center" shrinkToFit="1"/>
    </xf>
    <xf numFmtId="0" fontId="30" fillId="2" borderId="7" xfId="0" applyFont="1" applyFill="1" applyBorder="1" applyAlignment="1">
      <alignment vertical="center" shrinkToFit="1"/>
    </xf>
    <xf numFmtId="0" fontId="30" fillId="2" borderId="9" xfId="0" applyFont="1" applyFill="1" applyBorder="1" applyAlignment="1">
      <alignment vertical="center" shrinkToFit="1"/>
    </xf>
    <xf numFmtId="0" fontId="30" fillId="2" borderId="12" xfId="0" applyFont="1" applyFill="1" applyBorder="1" applyAlignment="1">
      <alignment vertical="center" shrinkToFit="1"/>
    </xf>
    <xf numFmtId="0" fontId="30" fillId="2" borderId="2" xfId="0" applyFont="1" applyFill="1" applyBorder="1" applyAlignment="1">
      <alignment vertical="center" shrinkToFit="1"/>
    </xf>
    <xf numFmtId="0" fontId="30" fillId="2" borderId="15" xfId="0" applyFont="1" applyFill="1" applyBorder="1" applyAlignment="1">
      <alignment vertical="center" shrinkToFit="1"/>
    </xf>
    <xf numFmtId="8" fontId="4" fillId="3" borderId="13" xfId="0" applyNumberFormat="1" applyFont="1" applyFill="1" applyBorder="1"/>
    <xf numFmtId="8" fontId="4" fillId="3" borderId="8" xfId="0" applyNumberFormat="1" applyFont="1" applyFill="1" applyBorder="1"/>
    <xf numFmtId="9" fontId="31" fillId="3" borderId="12" xfId="0" applyNumberFormat="1" applyFont="1" applyFill="1" applyBorder="1" applyAlignment="1">
      <alignment vertical="center" shrinkToFit="1"/>
    </xf>
    <xf numFmtId="9" fontId="31" fillId="3" borderId="2" xfId="0" applyNumberFormat="1" applyFont="1" applyFill="1" applyBorder="1" applyAlignment="1">
      <alignment vertical="center" shrinkToFit="1"/>
    </xf>
    <xf numFmtId="9" fontId="31" fillId="3" borderId="15" xfId="0" applyNumberFormat="1" applyFont="1" applyFill="1" applyBorder="1" applyAlignment="1">
      <alignment vertical="center" shrinkToFit="1"/>
    </xf>
    <xf numFmtId="0" fontId="4" fillId="2" borderId="1" xfId="0" applyFont="1" applyFill="1" applyBorder="1" applyAlignment="1">
      <alignment horizontal="right"/>
    </xf>
    <xf numFmtId="9" fontId="32" fillId="2" borderId="3" xfId="0" applyNumberFormat="1" applyFont="1" applyFill="1" applyBorder="1" applyAlignment="1">
      <alignment horizontal="center"/>
    </xf>
    <xf numFmtId="9" fontId="32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right" vertical="center"/>
    </xf>
    <xf numFmtId="8" fontId="4" fillId="2" borderId="1" xfId="0" applyNumberFormat="1" applyFont="1" applyFill="1" applyBorder="1" applyAlignment="1">
      <alignment horizontal="right" vertical="center"/>
    </xf>
    <xf numFmtId="10" fontId="4" fillId="2" borderId="1" xfId="0" applyNumberFormat="1" applyFont="1" applyFill="1" applyBorder="1"/>
    <xf numFmtId="9" fontId="4" fillId="2" borderId="1" xfId="0" applyNumberFormat="1" applyFont="1" applyFill="1" applyBorder="1"/>
    <xf numFmtId="8" fontId="5" fillId="2" borderId="1" xfId="0" applyNumberFormat="1" applyFont="1" applyFill="1" applyBorder="1"/>
    <xf numFmtId="0" fontId="33" fillId="2" borderId="1" xfId="0" applyFont="1" applyFill="1" applyBorder="1"/>
    <xf numFmtId="0" fontId="5" fillId="2" borderId="1" xfId="0" applyFont="1" applyFill="1" applyBorder="1"/>
    <xf numFmtId="0" fontId="34" fillId="2" borderId="1" xfId="0" applyFont="1" applyFill="1" applyBorder="1"/>
    <xf numFmtId="0" fontId="2" fillId="2" borderId="1" xfId="0" applyFont="1" applyFill="1" applyBorder="1"/>
    <xf numFmtId="0" fontId="4" fillId="2" borderId="1" xfId="0" applyNumberFormat="1" applyFont="1" applyFill="1" applyBorder="1"/>
    <xf numFmtId="0" fontId="3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9" fontId="4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D0AEC"/>
      <color rgb="FFBA20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GROWTH!$A$3</c:f>
              <c:strCache>
                <c:ptCount val="1"/>
                <c:pt idx="0">
                  <c:v>SALES ($m.)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GROWTH!$B$2:$E$2</c:f>
              <c:strCache>
                <c:ptCount val="4"/>
                <c:pt idx="0">
                  <c:v>1YR</c:v>
                </c:pt>
                <c:pt idx="1">
                  <c:v>2YR</c:v>
                </c:pt>
                <c:pt idx="2">
                  <c:v>3YR</c:v>
                </c:pt>
                <c:pt idx="3">
                  <c:v>4YR</c:v>
                </c:pt>
              </c:strCache>
            </c:strRef>
          </c:xVal>
          <c:yVal>
            <c:numRef>
              <c:f>GROWTH!$B$3:$E$3</c:f>
              <c:numCache>
                <c:formatCode>0.00%</c:formatCode>
                <c:ptCount val="4"/>
                <c:pt idx="0">
                  <c:v>0.23421586757475973</c:v>
                </c:pt>
                <c:pt idx="1">
                  <c:v>0.23110947474870097</c:v>
                </c:pt>
                <c:pt idx="2">
                  <c:v>0.22193925428985023</c:v>
                </c:pt>
                <c:pt idx="3">
                  <c:v>0.19991083246218541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5-5342-9916-609EBC896BC1}"/>
            </c:ext>
          </c:extLst>
        </c:ser>
        <c:ser>
          <c:idx val="2"/>
          <c:order val="1"/>
          <c:tx>
            <c:strRef>
              <c:f>GROWTH!$A$4</c:f>
              <c:strCache>
                <c:ptCount val="1"/>
                <c:pt idx="0">
                  <c:v>EPS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GROWTH!$B$2:$E$2</c:f>
              <c:strCache>
                <c:ptCount val="4"/>
                <c:pt idx="0">
                  <c:v>1YR</c:v>
                </c:pt>
                <c:pt idx="1">
                  <c:v>2YR</c:v>
                </c:pt>
                <c:pt idx="2">
                  <c:v>3YR</c:v>
                </c:pt>
                <c:pt idx="3">
                  <c:v>4YR</c:v>
                </c:pt>
              </c:strCache>
            </c:strRef>
          </c:xVal>
          <c:yVal>
            <c:numRef>
              <c:f>GROWTH!$B$4:$E$4</c:f>
              <c:numCache>
                <c:formatCode>0.00%</c:formatCode>
                <c:ptCount val="4"/>
                <c:pt idx="0">
                  <c:v>1.427777777777778</c:v>
                </c:pt>
                <c:pt idx="1">
                  <c:v>0.25264531582293448</c:v>
                </c:pt>
                <c:pt idx="2">
                  <c:v>0.24144775025901291</c:v>
                </c:pt>
                <c:pt idx="3">
                  <c:v>0.20729050855011433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C5-5342-9916-609EBC896BC1}"/>
            </c:ext>
          </c:extLst>
        </c:ser>
        <c:ser>
          <c:idx val="1"/>
          <c:order val="2"/>
          <c:tx>
            <c:strRef>
              <c:f>GROWTH!$A$5</c:f>
              <c:strCache>
                <c:ptCount val="1"/>
                <c:pt idx="0">
                  <c:v>EQUITY ($m.)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GROWTH!$B$2:$E$2</c:f>
              <c:strCache>
                <c:ptCount val="4"/>
                <c:pt idx="0">
                  <c:v>1YR</c:v>
                </c:pt>
                <c:pt idx="1">
                  <c:v>2YR</c:v>
                </c:pt>
                <c:pt idx="2">
                  <c:v>3YR</c:v>
                </c:pt>
                <c:pt idx="3">
                  <c:v>4YR</c:v>
                </c:pt>
              </c:strCache>
            </c:strRef>
          </c:xVal>
          <c:yVal>
            <c:numRef>
              <c:f>GROWTH!$B$5:$E$5</c:f>
              <c:numCache>
                <c:formatCode>0.00%</c:formatCode>
                <c:ptCount val="4"/>
                <c:pt idx="0">
                  <c:v>0.16475849497055775</c:v>
                </c:pt>
                <c:pt idx="1">
                  <c:v>0.13029571332072334</c:v>
                </c:pt>
                <c:pt idx="2">
                  <c:v>0.1386177942897116</c:v>
                </c:pt>
                <c:pt idx="3">
                  <c:v>0.14357796061274317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C5-5342-9916-609EBC896BC1}"/>
            </c:ext>
          </c:extLst>
        </c:ser>
        <c:ser>
          <c:idx val="0"/>
          <c:order val="3"/>
          <c:tx>
            <c:strRef>
              <c:f>GROWTH!$A$6</c:f>
              <c:strCache>
                <c:ptCount val="1"/>
                <c:pt idx="0">
                  <c:v>FCF ($m.)</c:v>
                </c:pt>
              </c:strCache>
            </c:strRef>
          </c:tx>
          <c:spPr>
            <a:ln w="28575" cap="rnd">
              <a:solidFill>
                <a:srgbClr val="9D0AE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GROWTH!$B$2:$E$2</c:f>
              <c:strCache>
                <c:ptCount val="4"/>
                <c:pt idx="0">
                  <c:v>1YR</c:v>
                </c:pt>
                <c:pt idx="1">
                  <c:v>2YR</c:v>
                </c:pt>
                <c:pt idx="2">
                  <c:v>3YR</c:v>
                </c:pt>
                <c:pt idx="3">
                  <c:v>4YR</c:v>
                </c:pt>
              </c:strCache>
            </c:strRef>
          </c:xVal>
          <c:yVal>
            <c:numRef>
              <c:f>GROWTH!$B$6:$E$6</c:f>
              <c:numCache>
                <c:formatCode>0.00%</c:formatCode>
                <c:ptCount val="4"/>
                <c:pt idx="0">
                  <c:v>-4.4822127801382922E-2</c:v>
                </c:pt>
                <c:pt idx="1">
                  <c:v>-6.2046099239995232E-2</c:v>
                </c:pt>
                <c:pt idx="2">
                  <c:v>0.11242077175800112</c:v>
                </c:pt>
                <c:pt idx="3">
                  <c:v>0.17413810344383429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C5-5342-9916-609EBC896BC1}"/>
            </c:ext>
          </c:extLst>
        </c:ser>
        <c:ser>
          <c:idx val="4"/>
          <c:order val="4"/>
          <c:tx>
            <c:strRef>
              <c:f>GROWTH!$A$7</c:f>
              <c:strCache>
                <c:ptCount val="1"/>
                <c:pt idx="0">
                  <c:v>ROIC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GROWTH!$B$2:$E$2</c:f>
              <c:strCache>
                <c:ptCount val="4"/>
                <c:pt idx="0">
                  <c:v>1YR</c:v>
                </c:pt>
                <c:pt idx="1">
                  <c:v>2YR</c:v>
                </c:pt>
                <c:pt idx="2">
                  <c:v>3YR</c:v>
                </c:pt>
                <c:pt idx="3">
                  <c:v>4YR</c:v>
                </c:pt>
              </c:strCache>
            </c:strRef>
          </c:xVal>
          <c:yVal>
            <c:numRef>
              <c:f>GROWTH!$B$7:$E$7</c:f>
              <c:numCache>
                <c:formatCode>0.00%</c:formatCode>
                <c:ptCount val="4"/>
                <c:pt idx="0">
                  <c:v>1.1557734204793022</c:v>
                </c:pt>
                <c:pt idx="1">
                  <c:v>0.10186679296902529</c:v>
                </c:pt>
                <c:pt idx="2">
                  <c:v>6.5284737673440077E-2</c:v>
                </c:pt>
                <c:pt idx="3">
                  <c:v>3.5688936024080485E-2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C5-5342-9916-609EBC896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43392"/>
        <c:axId val="133145696"/>
      </c:scatterChart>
      <c:valAx>
        <c:axId val="133143392"/>
        <c:scaling>
          <c:orientation val="maxMin"/>
          <c:min val="0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5696"/>
        <c:crosses val="autoZero"/>
        <c:crossBetween val="midCat"/>
      </c:valAx>
      <c:valAx>
        <c:axId val="1331456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33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'GROWTH YoY'!$A$3</c:f>
              <c:strCache>
                <c:ptCount val="1"/>
                <c:pt idx="0">
                  <c:v>SALES ($m.)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'GROWTH YoY'!$B$2:$E$2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xVal>
          <c:yVal>
            <c:numRef>
              <c:f>'GROWTH YoY'!$B$3:$E$3</c:f>
              <c:numCache>
                <c:formatCode>0.00%</c:formatCode>
                <c:ptCount val="4"/>
                <c:pt idx="0">
                  <c:v>0.23421586757475982</c:v>
                </c:pt>
                <c:pt idx="1">
                  <c:v>0.22801090038993266</c:v>
                </c:pt>
                <c:pt idx="2">
                  <c:v>0.20380322447292271</c:v>
                </c:pt>
                <c:pt idx="3">
                  <c:v>0.13617975485219921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36-3F45-A679-8EAF9D262BFF}"/>
            </c:ext>
          </c:extLst>
        </c:ser>
        <c:ser>
          <c:idx val="2"/>
          <c:order val="1"/>
          <c:tx>
            <c:strRef>
              <c:f>'GROWTH YoY'!$A$4</c:f>
              <c:strCache>
                <c:ptCount val="1"/>
                <c:pt idx="0">
                  <c:v>EPS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'GROWTH YoY'!$B$2:$E$2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xVal>
          <c:yVal>
            <c:numRef>
              <c:f>'GROWTH YoY'!$B$4:$E$4</c:f>
              <c:numCache>
                <c:formatCode>0.00%</c:formatCode>
                <c:ptCount val="4"/>
                <c:pt idx="0">
                  <c:v>1.427777777777778</c:v>
                </c:pt>
                <c:pt idx="1">
                  <c:v>-0.35368043087971279</c:v>
                </c:pt>
                <c:pt idx="2">
                  <c:v>0.21935201401050794</c:v>
                </c:pt>
                <c:pt idx="3">
                  <c:v>0.11035488575595526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36-3F45-A679-8EAF9D262BFF}"/>
            </c:ext>
          </c:extLst>
        </c:ser>
        <c:ser>
          <c:idx val="1"/>
          <c:order val="2"/>
          <c:tx>
            <c:strRef>
              <c:f>'GROWTH YoY'!$A$5</c:f>
              <c:strCache>
                <c:ptCount val="1"/>
                <c:pt idx="0">
                  <c:v>EQUITY ($m.)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'GROWTH YoY'!$B$2:$E$2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xVal>
          <c:yVal>
            <c:numRef>
              <c:f>'GROWTH YoY'!$B$5:$E$5</c:f>
              <c:numCache>
                <c:formatCode>0.00%</c:formatCode>
                <c:ptCount val="4"/>
                <c:pt idx="0">
                  <c:v>0.16475849497055775</c:v>
                </c:pt>
                <c:pt idx="1">
                  <c:v>9.685261371155672E-2</c:v>
                </c:pt>
                <c:pt idx="2">
                  <c:v>0.15544622748917569</c:v>
                </c:pt>
                <c:pt idx="3">
                  <c:v>0.15858848449836319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36-3F45-A679-8EAF9D262BFF}"/>
            </c:ext>
          </c:extLst>
        </c:ser>
        <c:ser>
          <c:idx val="0"/>
          <c:order val="3"/>
          <c:tx>
            <c:strRef>
              <c:f>'GROWTH YoY'!$A$6</c:f>
              <c:strCache>
                <c:ptCount val="1"/>
                <c:pt idx="0">
                  <c:v>FCF ($m.)</c:v>
                </c:pt>
              </c:strCache>
            </c:strRef>
          </c:tx>
          <c:spPr>
            <a:ln w="28575" cap="rnd">
              <a:solidFill>
                <a:srgbClr val="9D0AE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'GROWTH YoY'!$B$2:$E$2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xVal>
          <c:yVal>
            <c:numRef>
              <c:f>'GROWTH YoY'!$B$6:$E$6</c:f>
              <c:numCache>
                <c:formatCode>0.00%</c:formatCode>
                <c:ptCount val="4"/>
                <c:pt idx="0">
                  <c:v>-4.4822127801382991E-2</c:v>
                </c:pt>
                <c:pt idx="1">
                  <c:v>-7.8959484346224684E-2</c:v>
                </c:pt>
                <c:pt idx="2">
                  <c:v>0.56474755358107698</c:v>
                </c:pt>
                <c:pt idx="3">
                  <c:v>0.38060505594695399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36-3F45-A679-8EAF9D262BFF}"/>
            </c:ext>
          </c:extLst>
        </c:ser>
        <c:ser>
          <c:idx val="4"/>
          <c:order val="4"/>
          <c:tx>
            <c:strRef>
              <c:f>'GROWTH YoY'!$A$7</c:f>
              <c:strCache>
                <c:ptCount val="1"/>
                <c:pt idx="0">
                  <c:v>ROIC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'GROWTH YoY'!$B$2:$E$2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xVal>
          <c:yVal>
            <c:numRef>
              <c:f>'GROWTH YoY'!$B$7:$E$7</c:f>
              <c:numCache>
                <c:formatCode>0.00%</c:formatCode>
                <c:ptCount val="4"/>
                <c:pt idx="0">
                  <c:v>1.1557734204793024</c:v>
                </c:pt>
                <c:pt idx="1">
                  <c:v>-0.43680981595092017</c:v>
                </c:pt>
                <c:pt idx="2">
                  <c:v>-4.276114844227262E-3</c:v>
                </c:pt>
                <c:pt idx="3">
                  <c:v>-4.8255813953488276E-2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36-3F45-A679-8EAF9D262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43392"/>
        <c:axId val="133145696"/>
      </c:scatterChart>
      <c:valAx>
        <c:axId val="13314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5696"/>
        <c:crosses val="autoZero"/>
        <c:crossBetween val="midCat"/>
      </c:valAx>
      <c:valAx>
        <c:axId val="13314569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33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0</xdr:rowOff>
    </xdr:from>
    <xdr:to>
      <xdr:col>11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1E515-EF03-8642-9455-813A054EE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11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3E345-DE2F-544F-917E-DBE6D3F4E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479070/Library/Containers/com.microsoft.Excel/Data/Library/Application%20Support/Microsoft/Office/16.0/Add-Ins/quickfs.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QF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E5E0A-F8D3-C04D-8731-164C2B533113}">
  <dimension ref="A1:G30"/>
  <sheetViews>
    <sheetView tabSelected="1" workbookViewId="0">
      <selection activeCell="K9" sqref="K9"/>
    </sheetView>
  </sheetViews>
  <sheetFormatPr baseColWidth="10" defaultRowHeight="19"/>
  <cols>
    <col min="1" max="1" width="23.1640625" style="16" bestFit="1" customWidth="1"/>
    <col min="2" max="2" width="12.5" style="16" bestFit="1" customWidth="1"/>
    <col min="3" max="6" width="11.1640625" style="16" bestFit="1" customWidth="1"/>
    <col min="7" max="16384" width="10.83203125" style="16"/>
  </cols>
  <sheetData>
    <row r="1" spans="1:7">
      <c r="A1" s="12" t="s">
        <v>10</v>
      </c>
      <c r="B1" s="27" t="s">
        <v>0</v>
      </c>
      <c r="C1" s="31">
        <f ca="1">[1]!QFS(INPUT!$B$1, "price")</f>
        <v>1044.6400000000001</v>
      </c>
    </row>
    <row r="3" spans="1:7">
      <c r="A3" s="12" t="s">
        <v>1</v>
      </c>
      <c r="B3" s="13" t="s">
        <v>31</v>
      </c>
      <c r="C3" s="13" t="s">
        <v>32</v>
      </c>
      <c r="D3" s="13" t="s">
        <v>33</v>
      </c>
      <c r="E3" s="13" t="s">
        <v>34</v>
      </c>
      <c r="F3" s="13" t="s">
        <v>35</v>
      </c>
    </row>
    <row r="4" spans="1:7">
      <c r="A4" s="17" t="s">
        <v>2</v>
      </c>
      <c r="B4" s="28">
        <f ca="1">[1]!QFS($B$1, "revenue", $B$3)</f>
        <v>66001</v>
      </c>
      <c r="C4" s="28">
        <f ca="1">[1]!QFS($B$1, "revenue", $C$3)</f>
        <v>74989</v>
      </c>
      <c r="D4" s="28">
        <f ca="1">[1]!QFS($B$1, "revenue", $D$3)</f>
        <v>90272</v>
      </c>
      <c r="E4" s="28">
        <f ca="1">[1]!QFS($B$1, "revenue", $E$3)</f>
        <v>110855</v>
      </c>
      <c r="F4" s="28">
        <f ca="1">[1]!QFS($B$1, "revenue", $F$3)</f>
        <v>136819</v>
      </c>
    </row>
    <row r="5" spans="1:7">
      <c r="A5" s="18" t="s">
        <v>3</v>
      </c>
      <c r="B5" s="28">
        <f ca="1">[1]!QFS($B$1, "eps_diluted", $B$3)</f>
        <v>20.57</v>
      </c>
      <c r="C5" s="28">
        <f ca="1">[1]!QFS($B$1, "eps_diluted", $C$3)</f>
        <v>22.84</v>
      </c>
      <c r="D5" s="28">
        <f ca="1">[1]!QFS($B$1, "eps_diluted", $D$3)</f>
        <v>27.85</v>
      </c>
      <c r="E5" s="28">
        <f ca="1">[1]!QFS($B$1, "eps_diluted", $E$3)</f>
        <v>18</v>
      </c>
      <c r="F5" s="28">
        <f ca="1">[1]!QFS($B$1, "eps_diluted", $F$3)</f>
        <v>43.7</v>
      </c>
    </row>
    <row r="6" spans="1:7">
      <c r="A6" s="19" t="s">
        <v>4</v>
      </c>
      <c r="B6" s="28">
        <f ca="1">[1]!QFS($B$1, "total_equity", $B$3)</f>
        <v>103860</v>
      </c>
      <c r="C6" s="28">
        <f ca="1">[1]!QFS($B$1, "total_equity", $C$3)</f>
        <v>120331</v>
      </c>
      <c r="D6" s="28">
        <f ca="1">[1]!QFS($B$1, "total_equity", $D$3)</f>
        <v>139036</v>
      </c>
      <c r="E6" s="28">
        <f ca="1">[1]!QFS($B$1, "total_equity", $E$3)</f>
        <v>152502</v>
      </c>
      <c r="F6" s="28">
        <f ca="1">[1]!QFS($B$1, "total_equity", $F$3)</f>
        <v>177628</v>
      </c>
    </row>
    <row r="7" spans="1:7">
      <c r="A7" s="20" t="s">
        <v>5</v>
      </c>
      <c r="B7" s="28">
        <f ca="1">[1]!QFS($B$1, "fcf", $B$3)</f>
        <v>12065</v>
      </c>
      <c r="C7" s="28">
        <f ca="1">[1]!QFS($B$1, "fcf", $C$3)</f>
        <v>16657</v>
      </c>
      <c r="D7" s="28">
        <f ca="1">[1]!QFS($B$1, "fcf", $D$3)</f>
        <v>26064</v>
      </c>
      <c r="E7" s="28">
        <f ca="1">[1]!QFS($B$1, "fcf", $E$3)</f>
        <v>24006</v>
      </c>
      <c r="F7" s="28">
        <f ca="1">[1]!QFS($B$1, "fcf", $F$3)</f>
        <v>22930</v>
      </c>
    </row>
    <row r="8" spans="1:7">
      <c r="A8" s="21" t="s">
        <v>30</v>
      </c>
      <c r="B8" s="29">
        <f ca="1">[1]!QFS($B$1, "roic", $B$3) * 100</f>
        <v>17.2</v>
      </c>
      <c r="C8" s="29">
        <f ca="1">[1]!QFS($B$1, "roic", $C$3) * 100</f>
        <v>16.37</v>
      </c>
      <c r="D8" s="29">
        <f ca="1">[1]!QFS($B$1, "roic", $D$3) * 100</f>
        <v>16.3</v>
      </c>
      <c r="E8" s="29">
        <f ca="1">[1]!QFS($B$1, "roic", $E$3) * 100</f>
        <v>9.1800000000000015</v>
      </c>
      <c r="F8" s="29">
        <f ca="1">[1]!QFS($B$1, "roic", $F$3) * 100</f>
        <v>19.79</v>
      </c>
    </row>
    <row r="9" spans="1:7">
      <c r="A9" s="21" t="s">
        <v>7</v>
      </c>
      <c r="B9" s="22"/>
      <c r="C9" s="22"/>
      <c r="D9" s="22"/>
      <c r="E9" s="22"/>
      <c r="F9" s="28">
        <f ca="1">[1]!QFS($B$1, "total_current_assets", $F$3)</f>
        <v>135676</v>
      </c>
    </row>
    <row r="10" spans="1:7">
      <c r="A10" s="23" t="s">
        <v>8</v>
      </c>
      <c r="B10" s="22"/>
      <c r="C10" s="22"/>
      <c r="D10" s="22"/>
      <c r="E10" s="22"/>
      <c r="F10" s="28">
        <f ca="1">[1]!QFS($B$1, "total_current_liabilities", $F$3)</f>
        <v>34620</v>
      </c>
    </row>
    <row r="11" spans="1:7">
      <c r="A11" s="24" t="s">
        <v>9</v>
      </c>
      <c r="B11" s="22"/>
      <c r="C11" s="22"/>
      <c r="D11" s="22"/>
      <c r="E11" s="22"/>
      <c r="F11" s="28">
        <f ca="1">[1]!QFS($B$1, "total_liabilities", $F$3)</f>
        <v>55164</v>
      </c>
    </row>
    <row r="14" spans="1:7">
      <c r="A14" s="12" t="s">
        <v>11</v>
      </c>
      <c r="B14" s="34"/>
      <c r="C14" s="39" t="s">
        <v>31</v>
      </c>
      <c r="D14" s="40" t="s">
        <v>32</v>
      </c>
      <c r="E14" s="40" t="s">
        <v>33</v>
      </c>
      <c r="F14" s="40" t="s">
        <v>34</v>
      </c>
      <c r="G14" s="41" t="s">
        <v>35</v>
      </c>
    </row>
    <row r="15" spans="1:7">
      <c r="A15" s="12" t="s">
        <v>12</v>
      </c>
      <c r="B15" s="35">
        <f ca="1">MIN(C15:G15)</f>
        <v>23.647600000000001</v>
      </c>
      <c r="C15" s="36">
        <f ca="1">[1]!QFS(INPUT!$B$1, "price_to_earnings", C14)</f>
        <v>25.570499999999999</v>
      </c>
      <c r="D15" s="37">
        <f ca="1">[1]!QFS(INPUT!$B$1, "price_to_earnings", D14)</f>
        <v>32.711399999999998</v>
      </c>
      <c r="E15" s="37">
        <f ca="1">[1]!QFS(INPUT!$B$1, "price_to_earnings", E14)</f>
        <v>28.124700000000001</v>
      </c>
      <c r="F15" s="37">
        <f ca="1">[1]!QFS(INPUT!$B$1, "price_to_earnings", F14)</f>
        <v>57.801400000000001</v>
      </c>
      <c r="G15" s="38">
        <f ca="1">[1]!QFS(INPUT!$B$1, "price_to_earnings", G14)</f>
        <v>23.647600000000001</v>
      </c>
    </row>
    <row r="16" spans="1:7">
      <c r="A16" s="12" t="s">
        <v>13</v>
      </c>
      <c r="B16" s="30">
        <f ca="1">MAX(C15:G15)</f>
        <v>57.801400000000001</v>
      </c>
    </row>
    <row r="17" spans="1:3">
      <c r="A17" s="12" t="s">
        <v>14</v>
      </c>
      <c r="B17" s="30">
        <f ca="1">AVERAGE(C15:G15)</f>
        <v>33.571120000000001</v>
      </c>
    </row>
    <row r="18" spans="1:3">
      <c r="A18" s="26"/>
      <c r="B18" s="26"/>
    </row>
    <row r="19" spans="1:3">
      <c r="A19" s="12" t="s">
        <v>15</v>
      </c>
      <c r="B19" s="14"/>
    </row>
    <row r="20" spans="1:3">
      <c r="A20" s="12" t="s">
        <v>16</v>
      </c>
      <c r="B20" s="30">
        <f ca="1">F9/F10</f>
        <v>3.919006354708261</v>
      </c>
    </row>
    <row r="21" spans="1:3">
      <c r="A21" s="12" t="s">
        <v>17</v>
      </c>
      <c r="B21" s="30">
        <f ca="1">F11/F6</f>
        <v>0.31055914608057289</v>
      </c>
      <c r="C21" s="25"/>
    </row>
    <row r="22" spans="1:3">
      <c r="A22" s="26"/>
      <c r="B22" s="26"/>
    </row>
    <row r="23" spans="1:3">
      <c r="A23" s="12" t="s">
        <v>18</v>
      </c>
      <c r="B23" s="14"/>
    </row>
    <row r="24" spans="1:3">
      <c r="A24" s="12" t="s">
        <v>19</v>
      </c>
      <c r="B24" s="30">
        <f ca="1">F8</f>
        <v>19.79</v>
      </c>
    </row>
    <row r="25" spans="1:3">
      <c r="A25" s="12" t="s">
        <v>14</v>
      </c>
      <c r="B25" s="30">
        <f ca="1">AVERAGE(B8:F8)</f>
        <v>15.768000000000001</v>
      </c>
    </row>
    <row r="26" spans="1:3">
      <c r="A26" s="26"/>
      <c r="B26" s="26"/>
    </row>
    <row r="27" spans="1:3">
      <c r="A27" s="15" t="s">
        <v>23</v>
      </c>
      <c r="B27" s="14" t="s">
        <v>24</v>
      </c>
    </row>
    <row r="28" spans="1:3">
      <c r="A28" s="12" t="s">
        <v>20</v>
      </c>
      <c r="B28" s="32">
        <f ca="1">[1]!QFS(INPUT!$B$1, "pe", F3)</f>
        <v>26.2</v>
      </c>
    </row>
    <row r="29" spans="1:3">
      <c r="A29" s="12" t="s">
        <v>21</v>
      </c>
      <c r="B29" s="27">
        <v>19.489999999999998</v>
      </c>
    </row>
    <row r="30" spans="1:3">
      <c r="A30" s="12" t="s">
        <v>22</v>
      </c>
      <c r="B30" s="33">
        <f ca="1">(B29-B28)/B28</f>
        <v>-0.25610687022900769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0A935-086F-CF4C-9C52-790F14719F53}">
  <dimension ref="A1:E8"/>
  <sheetViews>
    <sheetView workbookViewId="0">
      <selection activeCell="H4" sqref="H4"/>
    </sheetView>
  </sheetViews>
  <sheetFormatPr baseColWidth="10" defaultRowHeight="19"/>
  <cols>
    <col min="1" max="1" width="14.5" style="16" customWidth="1"/>
    <col min="2" max="16384" width="10.83203125" style="16"/>
  </cols>
  <sheetData>
    <row r="1" spans="1:5" ht="21">
      <c r="A1" s="106" t="s">
        <v>38</v>
      </c>
      <c r="B1" s="106"/>
      <c r="C1" s="106"/>
      <c r="D1" s="106"/>
      <c r="E1" s="106"/>
    </row>
    <row r="2" spans="1:5">
      <c r="A2" s="10" t="s">
        <v>25</v>
      </c>
      <c r="B2" s="11" t="s">
        <v>26</v>
      </c>
      <c r="C2" s="11" t="s">
        <v>27</v>
      </c>
      <c r="D2" s="11" t="s">
        <v>28</v>
      </c>
      <c r="E2" s="11" t="s">
        <v>29</v>
      </c>
    </row>
    <row r="3" spans="1:5">
      <c r="A3" s="42" t="s">
        <v>2</v>
      </c>
      <c r="B3" s="47">
        <f ca="1">RATE(1,,-INPUT!E4,INPUT!F4)</f>
        <v>0.23421586757475973</v>
      </c>
      <c r="C3" s="47">
        <f ca="1">RATE(2,,-INPUT!D4,INPUT!F4)</f>
        <v>0.23110947474870097</v>
      </c>
      <c r="D3" s="47">
        <f ca="1">RATE(3,,-INPUT!C4,INPUT!F4)</f>
        <v>0.22193925428985023</v>
      </c>
      <c r="E3" s="47">
        <f ca="1">RATE(4,,-INPUT!B4,INPUT!F4)</f>
        <v>0.19991083246218541</v>
      </c>
    </row>
    <row r="4" spans="1:5">
      <c r="A4" s="43" t="s">
        <v>3</v>
      </c>
      <c r="B4" s="47">
        <f ca="1">RATE(1,,-INPUT!E5,INPUT!F5)</f>
        <v>1.427777777777778</v>
      </c>
      <c r="C4" s="47">
        <f ca="1">RATE(2,,-INPUT!D5,INPUT!F5)</f>
        <v>0.25264531582293448</v>
      </c>
      <c r="D4" s="47">
        <f ca="1">RATE(3,,-INPUT!C5,INPUT!F5)</f>
        <v>0.24144775025901291</v>
      </c>
      <c r="E4" s="47">
        <f ca="1">RATE(4,,-INPUT!B5,INPUT!F5)</f>
        <v>0.20729050855011433</v>
      </c>
    </row>
    <row r="5" spans="1:5">
      <c r="A5" s="44" t="s">
        <v>4</v>
      </c>
      <c r="B5" s="47">
        <f ca="1">RATE(1,,-INPUT!E6,INPUT!F6)</f>
        <v>0.16475849497055775</v>
      </c>
      <c r="C5" s="47">
        <f ca="1">RATE(2,,-INPUT!D6,INPUT!F6)</f>
        <v>0.13029571332072334</v>
      </c>
      <c r="D5" s="47">
        <f ca="1">RATE(3,,-INPUT!C6,INPUT!F6)</f>
        <v>0.1386177942897116</v>
      </c>
      <c r="E5" s="47">
        <f ca="1">RATE(4,,-INPUT!B6,INPUT!F6)</f>
        <v>0.14357796061274317</v>
      </c>
    </row>
    <row r="6" spans="1:5">
      <c r="A6" s="45" t="s">
        <v>5</v>
      </c>
      <c r="B6" s="47">
        <f ca="1">RATE(1,,-INPUT!E7,INPUT!F7)</f>
        <v>-4.4822127801382922E-2</v>
      </c>
      <c r="C6" s="47">
        <f ca="1">RATE(2,,-INPUT!D7,INPUT!F7)</f>
        <v>-6.2046099239995232E-2</v>
      </c>
      <c r="D6" s="47">
        <f ca="1">RATE(3,,-INPUT!C7,INPUT!F7)</f>
        <v>0.11242077175800112</v>
      </c>
      <c r="E6" s="47">
        <f ca="1">RATE(4,,-INPUT!B7,INPUT!F7)</f>
        <v>0.17413810344383429</v>
      </c>
    </row>
    <row r="7" spans="1:5">
      <c r="A7" s="46" t="s">
        <v>6</v>
      </c>
      <c r="B7" s="47">
        <f ca="1">RATE(1,,-INPUT!E8,INPUT!F8)</f>
        <v>1.1557734204793022</v>
      </c>
      <c r="C7" s="47">
        <f ca="1">RATE(2,,-INPUT!D8,INPUT!F8)</f>
        <v>0.10186679296902529</v>
      </c>
      <c r="D7" s="47">
        <f ca="1">RATE(3,,-INPUT!C8,INPUT!F8)</f>
        <v>6.5284737673440077E-2</v>
      </c>
      <c r="E7" s="47">
        <f ca="1">RATE(4,,-INPUT!B8,INPUT!F8)</f>
        <v>3.5688936024080485E-2</v>
      </c>
    </row>
    <row r="8" spans="1:5">
      <c r="A8" s="9" t="s">
        <v>36</v>
      </c>
      <c r="B8" s="48">
        <f ca="1">AVERAGE(B3:B6)</f>
        <v>0.44548250313042814</v>
      </c>
      <c r="C8" s="48">
        <f t="shared" ref="C8:E8" ca="1" si="0">AVERAGE(C3:C6)</f>
        <v>0.13800110116309089</v>
      </c>
      <c r="D8" s="48">
        <f t="shared" ca="1" si="0"/>
        <v>0.17860639264914399</v>
      </c>
      <c r="E8" s="48">
        <f t="shared" ca="1" si="0"/>
        <v>0.18122935126721931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6CBF-1D84-7D48-9767-A29DDE828320}">
  <dimension ref="A1:K8"/>
  <sheetViews>
    <sheetView workbookViewId="0">
      <selection activeCell="M5" sqref="M5"/>
    </sheetView>
  </sheetViews>
  <sheetFormatPr baseColWidth="10" defaultRowHeight="19"/>
  <cols>
    <col min="1" max="1" width="14.33203125" style="50" bestFit="1" customWidth="1"/>
    <col min="2" max="6" width="10.83203125" style="50"/>
    <col min="7" max="7" width="10.83203125" style="50" customWidth="1"/>
    <col min="8" max="16384" width="10.83203125" style="50"/>
  </cols>
  <sheetData>
    <row r="1" spans="1:11" ht="21">
      <c r="A1" s="49"/>
    </row>
    <row r="2" spans="1:11">
      <c r="A2" s="7" t="s">
        <v>37</v>
      </c>
      <c r="B2" s="8">
        <v>2018</v>
      </c>
      <c r="C2" s="8">
        <v>2017</v>
      </c>
      <c r="D2" s="8">
        <v>2016</v>
      </c>
      <c r="E2" s="8">
        <v>2015</v>
      </c>
      <c r="G2" s="2"/>
      <c r="H2" s="3"/>
      <c r="I2" s="3"/>
      <c r="J2" s="3"/>
      <c r="K2" s="3"/>
    </row>
    <row r="3" spans="1:11">
      <c r="A3" s="42" t="s">
        <v>2</v>
      </c>
      <c r="B3" s="47">
        <f ca="1">(INPUT!F4 - INPUT!E4) / INPUT!E4</f>
        <v>0.23421586757475982</v>
      </c>
      <c r="C3" s="47">
        <f ca="1">(INPUT!E4 - INPUT!D4) / INPUT!D4</f>
        <v>0.22801090038993266</v>
      </c>
      <c r="D3" s="47">
        <f ca="1">(INPUT!D4 - INPUT!C4) / INPUT!C4</f>
        <v>0.20380322447292271</v>
      </c>
      <c r="E3" s="47">
        <f ca="1">(INPUT!C4 - INPUT!B4) / INPUT!B4</f>
        <v>0.13617975485219921</v>
      </c>
      <c r="G3" s="51"/>
      <c r="H3" s="52"/>
      <c r="I3" s="52"/>
      <c r="J3" s="52"/>
      <c r="K3" s="52"/>
    </row>
    <row r="4" spans="1:11">
      <c r="A4" s="43" t="s">
        <v>3</v>
      </c>
      <c r="B4" s="47">
        <f ca="1">(INPUT!F5 - INPUT!E5) / INPUT!E5</f>
        <v>1.427777777777778</v>
      </c>
      <c r="C4" s="47">
        <f ca="1">(INPUT!E5 - INPUT!D5) / INPUT!D5</f>
        <v>-0.35368043087971279</v>
      </c>
      <c r="D4" s="47">
        <f ca="1">(INPUT!D5 - INPUT!C5) / INPUT!C5</f>
        <v>0.21935201401050794</v>
      </c>
      <c r="E4" s="47">
        <f ca="1">(INPUT!C5 - INPUT!B5) / INPUT!B5</f>
        <v>0.11035488575595526</v>
      </c>
      <c r="G4" s="53"/>
      <c r="H4" s="52"/>
      <c r="I4" s="52"/>
      <c r="J4" s="52"/>
      <c r="K4" s="52"/>
    </row>
    <row r="5" spans="1:11">
      <c r="A5" s="44" t="s">
        <v>4</v>
      </c>
      <c r="B5" s="47">
        <f ca="1">(INPUT!F6 - INPUT!E6) / INPUT!E6</f>
        <v>0.16475849497055775</v>
      </c>
      <c r="C5" s="47">
        <f ca="1">(INPUT!E6 - INPUT!D6) / INPUT!D6</f>
        <v>9.685261371155672E-2</v>
      </c>
      <c r="D5" s="47">
        <f ca="1">(INPUT!D6 - INPUT!C6) / INPUT!C6</f>
        <v>0.15544622748917569</v>
      </c>
      <c r="E5" s="47">
        <f ca="1">(INPUT!C6 - INPUT!B6) / INPUT!B6</f>
        <v>0.15858848449836319</v>
      </c>
      <c r="G5" s="54"/>
      <c r="H5" s="52"/>
      <c r="I5" s="52"/>
      <c r="J5" s="52"/>
      <c r="K5" s="52"/>
    </row>
    <row r="6" spans="1:11">
      <c r="A6" s="45" t="s">
        <v>5</v>
      </c>
      <c r="B6" s="47">
        <f ca="1">(INPUT!F7 - INPUT!E7) / INPUT!E7</f>
        <v>-4.4822127801382991E-2</v>
      </c>
      <c r="C6" s="47">
        <f ca="1">(INPUT!E7 - INPUT!D7) / INPUT!D7</f>
        <v>-7.8959484346224684E-2</v>
      </c>
      <c r="D6" s="47">
        <f ca="1">(INPUT!D7 - INPUT!C7) / INPUT!C7</f>
        <v>0.56474755358107698</v>
      </c>
      <c r="E6" s="47">
        <f ca="1">(INPUT!C7 - INPUT!B7) / INPUT!B7</f>
        <v>0.38060505594695399</v>
      </c>
      <c r="G6" s="55"/>
      <c r="H6" s="52"/>
      <c r="I6" s="52"/>
      <c r="J6" s="52"/>
      <c r="K6" s="52"/>
    </row>
    <row r="7" spans="1:11">
      <c r="A7" s="46" t="s">
        <v>6</v>
      </c>
      <c r="B7" s="47">
        <f ca="1">(INPUT!F8 - INPUT!E8) / INPUT!E8</f>
        <v>1.1557734204793024</v>
      </c>
      <c r="C7" s="47">
        <f ca="1">(INPUT!E8 - INPUT!D8) / INPUT!D8</f>
        <v>-0.43680981595092017</v>
      </c>
      <c r="D7" s="47">
        <f ca="1">(INPUT!D8 - INPUT!C8) / INPUT!C8</f>
        <v>-4.276114844227262E-3</v>
      </c>
      <c r="E7" s="47">
        <f ca="1">(INPUT!C8 - INPUT!B8) / INPUT!B8</f>
        <v>-4.8255813953488276E-2</v>
      </c>
      <c r="G7" s="56"/>
      <c r="H7" s="52"/>
      <c r="I7" s="52"/>
      <c r="J7" s="52"/>
      <c r="K7" s="52"/>
    </row>
    <row r="8" spans="1:11">
      <c r="A8" s="9" t="s">
        <v>36</v>
      </c>
      <c r="B8" s="57">
        <f ca="1">AVERAGE(B3:B6)</f>
        <v>0.4454825031304282</v>
      </c>
      <c r="C8" s="57">
        <f ca="1">AVERAGE(C3:C6)</f>
        <v>-2.6944100281112025E-2</v>
      </c>
      <c r="D8" s="57">
        <f ca="1">AVERAGE(D3:D6)</f>
        <v>0.28583725488842082</v>
      </c>
      <c r="E8" s="57">
        <f ca="1">AVERAGE(E3:E6)</f>
        <v>0.19643204526336791</v>
      </c>
      <c r="G8" s="4"/>
      <c r="H8" s="5"/>
      <c r="I8" s="5"/>
      <c r="J8" s="5"/>
      <c r="K8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AE230-54B4-EB48-9587-59B6C7DF0190}">
  <dimension ref="A1:I24"/>
  <sheetViews>
    <sheetView workbookViewId="0">
      <selection activeCell="J24" sqref="J24"/>
    </sheetView>
  </sheetViews>
  <sheetFormatPr baseColWidth="10" defaultRowHeight="21"/>
  <cols>
    <col min="1" max="16384" width="10.83203125" style="49"/>
  </cols>
  <sheetData>
    <row r="1" spans="1:9">
      <c r="A1" s="107" t="s">
        <v>55</v>
      </c>
      <c r="B1" s="107"/>
      <c r="C1" s="107"/>
      <c r="D1" s="107"/>
      <c r="E1" s="107"/>
      <c r="F1" s="107"/>
      <c r="G1" s="107"/>
      <c r="H1" s="107"/>
      <c r="I1" s="107"/>
    </row>
    <row r="2" spans="1:9">
      <c r="A2" s="64"/>
      <c r="B2" s="60" t="s">
        <v>44</v>
      </c>
      <c r="C2" s="60"/>
      <c r="D2" s="60"/>
      <c r="E2" s="60"/>
      <c r="F2" s="60"/>
      <c r="G2" s="65"/>
      <c r="H2" s="60" t="s">
        <v>39</v>
      </c>
      <c r="I2" s="60"/>
    </row>
    <row r="3" spans="1:9">
      <c r="A3" s="79" t="s">
        <v>40</v>
      </c>
      <c r="B3" s="66">
        <v>23.25</v>
      </c>
      <c r="C3" s="66">
        <v>28.465</v>
      </c>
      <c r="D3" s="66">
        <v>33.68</v>
      </c>
      <c r="E3" s="66">
        <v>49.575000000000003</v>
      </c>
      <c r="F3" s="66">
        <v>65.47</v>
      </c>
      <c r="G3" s="58"/>
      <c r="H3" s="1" t="s">
        <v>41</v>
      </c>
      <c r="I3" s="108">
        <f ca="1">[1]!QFS(INPUT!$B$1, "eps_diluted", "TTM")</f>
        <v>39.869999999999997</v>
      </c>
    </row>
    <row r="4" spans="1:9">
      <c r="A4" s="82">
        <f ca="1">A12</f>
        <v>0.14431249079843397</v>
      </c>
      <c r="B4" s="87">
        <f ca="1">RATE($I$4,,-$I$5,B12)</f>
        <v>0.12108352279945897</v>
      </c>
      <c r="C4" s="83">
        <f t="shared" ref="C4:F4" ca="1" si="0">RATE($I$4,,-$I$5,C12)</f>
        <v>0.16461447574353208</v>
      </c>
      <c r="D4" s="87">
        <f t="shared" ca="1" si="0"/>
        <v>0.2024685363428245</v>
      </c>
      <c r="E4" s="83">
        <f t="shared" ca="1" si="0"/>
        <v>0.27890320816453368</v>
      </c>
      <c r="F4" s="87">
        <f t="shared" ca="1" si="0"/>
        <v>0.34050434780410654</v>
      </c>
      <c r="G4" s="58"/>
      <c r="H4" s="1" t="s">
        <v>42</v>
      </c>
      <c r="I4" s="108">
        <v>5</v>
      </c>
    </row>
    <row r="5" spans="1:9">
      <c r="A5" s="86">
        <f t="shared" ref="A5:A8" ca="1" si="1">A13</f>
        <v>0.13029571332072334</v>
      </c>
      <c r="B5" s="88">
        <f t="shared" ref="B5:F5" ca="1" si="2">RATE($I$4,,-$I$5,B13)</f>
        <v>0.10735127885115096</v>
      </c>
      <c r="C5" s="81">
        <f t="shared" ca="1" si="2"/>
        <v>0.15034901758894914</v>
      </c>
      <c r="D5" s="88">
        <f t="shared" ca="1" si="2"/>
        <v>0.18773940069727646</v>
      </c>
      <c r="E5" s="81">
        <f t="shared" ca="1" si="2"/>
        <v>0.26323781795568368</v>
      </c>
      <c r="F5" s="88">
        <f t="shared" ca="1" si="2"/>
        <v>0.324084400191615</v>
      </c>
      <c r="G5" s="58"/>
      <c r="H5" s="1" t="s">
        <v>43</v>
      </c>
      <c r="I5" s="109">
        <f ca="1">[1]!QFS(INPUT!$B$1, "price")</f>
        <v>1044.6400000000001</v>
      </c>
    </row>
    <row r="6" spans="1:9">
      <c r="A6" s="82">
        <f t="shared" ca="1" si="1"/>
        <v>9.0614675633609656E-2</v>
      </c>
      <c r="B6" s="87">
        <f t="shared" ref="B6:F6" ca="1" si="3">RATE($I$4,,-$I$5,B14)</f>
        <v>6.847574627050243E-2</v>
      </c>
      <c r="C6" s="83">
        <f t="shared" ca="1" si="3"/>
        <v>0.10996397305388776</v>
      </c>
      <c r="D6" s="87">
        <f t="shared" ca="1" si="3"/>
        <v>0.14604170038212672</v>
      </c>
      <c r="E6" s="83">
        <f t="shared" ca="1" si="3"/>
        <v>0.21888961167061613</v>
      </c>
      <c r="F6" s="87">
        <f t="shared" ca="1" si="3"/>
        <v>0.27760006660905312</v>
      </c>
      <c r="G6" s="58"/>
      <c r="H6" s="1" t="s">
        <v>21</v>
      </c>
      <c r="I6" s="109">
        <f>INPUT!B29</f>
        <v>19.489999999999998</v>
      </c>
    </row>
    <row r="7" spans="1:9">
      <c r="A7" s="86">
        <f t="shared" ca="1" si="1"/>
        <v>0.18122935126721931</v>
      </c>
      <c r="B7" s="88">
        <f t="shared" ref="B7:F7" ca="1" si="4">RATE($I$4,,-$I$5,B15)</f>
        <v>0.15725098956558417</v>
      </c>
      <c r="C7" s="81">
        <f t="shared" ca="1" si="4"/>
        <v>0.20218630201239468</v>
      </c>
      <c r="D7" s="88">
        <f t="shared" ca="1" si="4"/>
        <v>0.24126157891727879</v>
      </c>
      <c r="E7" s="81">
        <f t="shared" ca="1" si="4"/>
        <v>0.32016212272550326</v>
      </c>
      <c r="F7" s="88">
        <f t="shared" ca="1" si="4"/>
        <v>0.38375058723908179</v>
      </c>
      <c r="G7" s="58"/>
      <c r="H7" s="58"/>
      <c r="I7" s="58"/>
    </row>
    <row r="8" spans="1:9">
      <c r="A8" s="84">
        <f t="shared" ca="1" si="1"/>
        <v>0.22653668908402413</v>
      </c>
      <c r="B8" s="80">
        <f t="shared" ref="B8:F8" ca="1" si="5">RATE($I$4,,-$I$5,B16)</f>
        <v>0.20163861121329005</v>
      </c>
      <c r="C8" s="85">
        <f t="shared" ca="1" si="5"/>
        <v>0.24829746649106088</v>
      </c>
      <c r="D8" s="80">
        <f t="shared" ca="1" si="5"/>
        <v>0.28887151818517887</v>
      </c>
      <c r="E8" s="85">
        <f t="shared" ca="1" si="5"/>
        <v>0.37079837825292988</v>
      </c>
      <c r="F8" s="80">
        <f t="shared" ca="1" si="5"/>
        <v>0.43682584755404391</v>
      </c>
      <c r="G8" s="58"/>
      <c r="H8" s="58"/>
      <c r="I8" s="58"/>
    </row>
    <row r="9" spans="1:9">
      <c r="A9" s="58"/>
      <c r="B9" s="58"/>
      <c r="C9" s="58"/>
      <c r="D9" s="58"/>
      <c r="E9" s="58"/>
      <c r="F9" s="58"/>
      <c r="G9" s="58"/>
      <c r="H9" s="58"/>
      <c r="I9" s="58"/>
    </row>
    <row r="10" spans="1:9">
      <c r="A10" s="58"/>
      <c r="B10" s="62" t="s">
        <v>45</v>
      </c>
      <c r="C10" s="62"/>
      <c r="D10" s="62"/>
      <c r="E10" s="62"/>
      <c r="F10" s="62"/>
      <c r="G10" s="58"/>
      <c r="H10" s="58"/>
      <c r="I10" s="58"/>
    </row>
    <row r="11" spans="1:9">
      <c r="A11" s="75" t="s">
        <v>40</v>
      </c>
      <c r="B11" s="67">
        <f ca="1">INPUT!$B$15</f>
        <v>23.647600000000001</v>
      </c>
      <c r="C11" s="67">
        <f ca="1">(B11+D11)/2</f>
        <v>28.609360000000002</v>
      </c>
      <c r="D11" s="67">
        <f ca="1">INPUT!$B$17</f>
        <v>33.571120000000001</v>
      </c>
      <c r="E11" s="67">
        <f ca="1">(D11+F11)/2</f>
        <v>45.686260000000004</v>
      </c>
      <c r="F11" s="76">
        <f ca="1">INPUT!$B$16</f>
        <v>57.801400000000001</v>
      </c>
      <c r="G11" s="58"/>
      <c r="H11" s="58"/>
      <c r="I11" s="58"/>
    </row>
    <row r="12" spans="1:9">
      <c r="A12" s="69">
        <f ca="1">AVERAGE(GROWTH!B5:E5)</f>
        <v>0.14431249079843397</v>
      </c>
      <c r="B12" s="77">
        <f ca="1">(B$11*$I$3*(1+$A12)^$I$4)</f>
        <v>1849.9351270796874</v>
      </c>
      <c r="C12" s="77">
        <f t="shared" ref="C12:F16" ca="1" si="6">(C$11*$I$3*(1+$A12)^$I$4)</f>
        <v>2238.0901244637312</v>
      </c>
      <c r="D12" s="77">
        <f t="shared" ca="1" si="6"/>
        <v>2626.2451218477745</v>
      </c>
      <c r="E12" s="77">
        <f t="shared" ca="1" si="6"/>
        <v>3574.0040088167784</v>
      </c>
      <c r="F12" s="70">
        <f t="shared" ca="1" si="6"/>
        <v>4521.7628957857814</v>
      </c>
      <c r="G12" s="97" t="s">
        <v>46</v>
      </c>
      <c r="H12" s="58"/>
      <c r="I12" s="58"/>
    </row>
    <row r="13" spans="1:9">
      <c r="A13" s="73">
        <f ca="1">MIN(GROWTH!B5:E5)</f>
        <v>0.13029571332072334</v>
      </c>
      <c r="B13" s="78">
        <f t="shared" ref="B13:B16" ca="1" si="7">(B$11*$I$3*(1+$A13)^$I$4)</f>
        <v>1739.3769436654341</v>
      </c>
      <c r="C13" s="78">
        <f t="shared" ca="1" si="6"/>
        <v>2104.3345268451822</v>
      </c>
      <c r="D13" s="78">
        <f t="shared" ca="1" si="6"/>
        <v>2469.2921100249296</v>
      </c>
      <c r="E13" s="78">
        <f t="shared" ca="1" si="6"/>
        <v>3360.4098211363685</v>
      </c>
      <c r="F13" s="74">
        <f t="shared" ca="1" si="6"/>
        <v>4251.5275322478064</v>
      </c>
      <c r="G13" s="98" t="s">
        <v>47</v>
      </c>
      <c r="H13" s="58"/>
      <c r="I13" s="58"/>
    </row>
    <row r="14" spans="1:9">
      <c r="A14" s="69">
        <f ca="1">AVERAGE(GROWTH!E3:E6)/2</f>
        <v>9.0614675633609656E-2</v>
      </c>
      <c r="B14" s="77">
        <f t="shared" ca="1" si="7"/>
        <v>1454.7554512640249</v>
      </c>
      <c r="C14" s="77">
        <f t="shared" ca="1" si="6"/>
        <v>1759.9935053525494</v>
      </c>
      <c r="D14" s="77">
        <f t="shared" ca="1" si="6"/>
        <v>2065.2315594410734</v>
      </c>
      <c r="E14" s="77">
        <f t="shared" ca="1" si="6"/>
        <v>2810.531968693042</v>
      </c>
      <c r="F14" s="70">
        <f t="shared" ca="1" si="6"/>
        <v>3555.8323779450093</v>
      </c>
      <c r="G14" s="99" t="s">
        <v>49</v>
      </c>
      <c r="H14" s="58"/>
      <c r="I14" s="58"/>
    </row>
    <row r="15" spans="1:9">
      <c r="A15" s="73">
        <f ca="1">AVERAGE(GROWTH!E3:E6)</f>
        <v>0.18122935126721931</v>
      </c>
      <c r="B15" s="78">
        <f t="shared" ca="1" si="7"/>
        <v>2168.2255379922553</v>
      </c>
      <c r="C15" s="78">
        <f t="shared" ca="1" si="6"/>
        <v>2623.1645062337875</v>
      </c>
      <c r="D15" s="78">
        <f t="shared" ca="1" si="6"/>
        <v>3078.1034744753192</v>
      </c>
      <c r="E15" s="78">
        <f t="shared" ca="1" si="6"/>
        <v>4188.9289258679137</v>
      </c>
      <c r="F15" s="74">
        <f t="shared" ca="1" si="6"/>
        <v>5299.7543772605059</v>
      </c>
      <c r="G15" s="99" t="s">
        <v>48</v>
      </c>
      <c r="H15" s="58"/>
      <c r="I15" s="58"/>
    </row>
    <row r="16" spans="1:9">
      <c r="A16" s="71">
        <f ca="1">AVERAGE(GROWTH!E3:E6)*1.25</f>
        <v>0.22653668908402413</v>
      </c>
      <c r="B16" s="68">
        <f t="shared" ca="1" si="7"/>
        <v>2617.194655249581</v>
      </c>
      <c r="C16" s="68">
        <f t="shared" ca="1" si="6"/>
        <v>3166.3367141744261</v>
      </c>
      <c r="D16" s="68">
        <f t="shared" ca="1" si="6"/>
        <v>3715.4787730992707</v>
      </c>
      <c r="E16" s="68">
        <f t="shared" ca="1" si="6"/>
        <v>5056.3201124149064</v>
      </c>
      <c r="F16" s="72">
        <f t="shared" ca="1" si="6"/>
        <v>6397.1614517305406</v>
      </c>
      <c r="G16" s="98" t="s">
        <v>50</v>
      </c>
      <c r="H16" s="58"/>
      <c r="I16" s="58"/>
    </row>
    <row r="18" spans="1:9">
      <c r="A18" s="107" t="s">
        <v>56</v>
      </c>
      <c r="B18" s="107"/>
      <c r="C18" s="107"/>
      <c r="D18" s="107"/>
      <c r="E18" s="107"/>
      <c r="F18" s="107"/>
      <c r="G18" s="107"/>
      <c r="H18" s="107"/>
      <c r="I18" s="107"/>
    </row>
    <row r="19" spans="1:9">
      <c r="A19" s="75" t="s">
        <v>40</v>
      </c>
      <c r="B19" s="89">
        <f>I6</f>
        <v>19.489999999999998</v>
      </c>
      <c r="C19" s="105"/>
      <c r="D19" s="93" t="s">
        <v>53</v>
      </c>
      <c r="E19" s="91"/>
      <c r="F19" s="91"/>
      <c r="G19" s="91"/>
    </row>
    <row r="20" spans="1:9">
      <c r="A20" s="69">
        <f ca="1">A12</f>
        <v>0.14431249079843397</v>
      </c>
      <c r="B20" s="90">
        <f ca="1">(B$19*$I$3*(1+$A20)^$I$4)</f>
        <v>1524.6890012848282</v>
      </c>
      <c r="C20" s="102">
        <f ca="1">RATE($I$4,,-$I$5,B20)</f>
        <v>7.855655651370759E-2</v>
      </c>
      <c r="D20" s="95" t="s">
        <v>51</v>
      </c>
      <c r="E20" s="92"/>
      <c r="F20" s="92"/>
    </row>
    <row r="21" spans="1:9">
      <c r="A21" s="73">
        <f t="shared" ref="A21:A24" ca="1" si="8">A13</f>
        <v>0.13029571332072334</v>
      </c>
      <c r="B21" s="100">
        <f t="shared" ref="B21:B24" ca="1" si="9">(B$19*$I$3*(1+$A21)^$I$4)</f>
        <v>1433.5685918249339</v>
      </c>
      <c r="C21" s="103">
        <f t="shared" ref="C21:C24" ca="1" si="10">RATE($I$4,,-$I$5,B21)</f>
        <v>6.534522886028897E-2</v>
      </c>
      <c r="D21" s="96" t="s">
        <v>52</v>
      </c>
    </row>
    <row r="22" spans="1:9">
      <c r="A22" s="69">
        <f t="shared" ca="1" si="8"/>
        <v>9.0614675633609656E-2</v>
      </c>
      <c r="B22" s="90">
        <f t="shared" ca="1" si="9"/>
        <v>1198.9877934816152</v>
      </c>
      <c r="C22" s="102">
        <f t="shared" ca="1" si="10"/>
        <v>2.794439324186335E-2</v>
      </c>
      <c r="D22" s="94" t="s">
        <v>49</v>
      </c>
    </row>
    <row r="23" spans="1:9">
      <c r="A23" s="73">
        <f t="shared" ca="1" si="8"/>
        <v>0.18122935126721931</v>
      </c>
      <c r="B23" s="100">
        <f t="shared" ca="1" si="9"/>
        <v>1787.0192212093004</v>
      </c>
      <c r="C23" s="104">
        <f t="shared" ca="1" si="10"/>
        <v>0.11335205356591267</v>
      </c>
      <c r="D23" s="94" t="s">
        <v>54</v>
      </c>
    </row>
    <row r="24" spans="1:9">
      <c r="A24" s="71">
        <f t="shared" ca="1" si="8"/>
        <v>0.22653668908402413</v>
      </c>
      <c r="B24" s="101">
        <f t="shared" ca="1" si="9"/>
        <v>2157.0528861624152</v>
      </c>
      <c r="C24" s="103">
        <f t="shared" ca="1" si="10"/>
        <v>0.15605588372862519</v>
      </c>
      <c r="D24" s="96" t="s">
        <v>50</v>
      </c>
    </row>
  </sheetData>
  <mergeCells count="5">
    <mergeCell ref="A1:I1"/>
    <mergeCell ref="A18:I18"/>
    <mergeCell ref="H2:I2"/>
    <mergeCell ref="B2:F2"/>
    <mergeCell ref="B10:F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B3CFD-76EF-9945-B6B4-5335762D9010}">
  <dimension ref="A3:K15"/>
  <sheetViews>
    <sheetView workbookViewId="0">
      <selection activeCell="D21" sqref="D21"/>
    </sheetView>
  </sheetViews>
  <sheetFormatPr baseColWidth="10" defaultRowHeight="19"/>
  <cols>
    <col min="1" max="1" width="25" style="16" bestFit="1" customWidth="1"/>
    <col min="2" max="3" width="10.83203125" style="16"/>
    <col min="4" max="4" width="15.1640625" style="16" bestFit="1" customWidth="1"/>
    <col min="5" max="6" width="10.83203125" style="16"/>
    <col min="7" max="7" width="15.1640625" style="16" bestFit="1" customWidth="1"/>
    <col min="8" max="9" width="10.83203125" style="16"/>
    <col min="10" max="10" width="18.83203125" style="16" bestFit="1" customWidth="1"/>
    <col min="11" max="16384" width="10.83203125" style="16"/>
  </cols>
  <sheetData>
    <row r="3" spans="1:11">
      <c r="A3" s="60" t="s">
        <v>39</v>
      </c>
      <c r="B3" s="60"/>
      <c r="D3" s="60" t="s">
        <v>57</v>
      </c>
      <c r="E3" s="60"/>
      <c r="F3" s="58"/>
      <c r="G3" s="60" t="s">
        <v>58</v>
      </c>
      <c r="H3" s="60"/>
      <c r="I3" s="59"/>
      <c r="J3" s="60" t="s">
        <v>59</v>
      </c>
      <c r="K3" s="60"/>
    </row>
    <row r="4" spans="1:11">
      <c r="A4" s="1" t="s">
        <v>41</v>
      </c>
      <c r="B4" s="63">
        <f ca="1">[1]!QFS(INPUT!$B$1, "eps_diluted", "TTM")</f>
        <v>39.869999999999997</v>
      </c>
      <c r="C4" s="58"/>
      <c r="D4" s="1" t="s">
        <v>60</v>
      </c>
      <c r="E4" s="110">
        <f ca="1">AVERAGE(GROWTH!E3:E6)</f>
        <v>0.18122935126721931</v>
      </c>
      <c r="F4" s="58"/>
      <c r="G4" s="1" t="s">
        <v>60</v>
      </c>
      <c r="H4" s="120">
        <v>0.15</v>
      </c>
      <c r="I4" s="58"/>
      <c r="J4" s="1" t="s">
        <v>61</v>
      </c>
      <c r="K4" s="112">
        <f ca="1">INPUT!F7</f>
        <v>22930</v>
      </c>
    </row>
    <row r="5" spans="1:11">
      <c r="A5" s="1" t="s">
        <v>42</v>
      </c>
      <c r="B5" s="63">
        <v>5</v>
      </c>
      <c r="C5" s="58"/>
      <c r="D5" s="113" t="s">
        <v>62</v>
      </c>
      <c r="E5" s="61">
        <f ca="1">(B4*INPUT!B17*(1+E4)^B5)/(1+B8)^B5</f>
        <v>1530.3614363499621</v>
      </c>
      <c r="F5" s="58"/>
      <c r="G5" s="113" t="s">
        <v>62</v>
      </c>
      <c r="H5" s="61">
        <f ca="1">(B4*INPUT!B17*(1+H4)^B5)/(1+B8)^B5</f>
        <v>1338.4805543999998</v>
      </c>
      <c r="I5" s="58"/>
      <c r="J5" s="1" t="s">
        <v>63</v>
      </c>
      <c r="K5" s="114">
        <f ca="1">[1]!QFS(INPUT!$B$1, "mkt_cap")</f>
        <v>732166</v>
      </c>
    </row>
    <row r="6" spans="1:11">
      <c r="A6" s="1" t="s">
        <v>64</v>
      </c>
      <c r="B6" s="63">
        <f ca="1">[1]!QFS(INPUT!$B$1, "price")</f>
        <v>1044.6400000000001</v>
      </c>
      <c r="C6" s="58"/>
      <c r="D6" s="115" t="s">
        <v>65</v>
      </c>
      <c r="E6" s="61">
        <f ca="1">E5*(1-B7)</f>
        <v>1147.7710772624716</v>
      </c>
      <c r="F6" s="58"/>
      <c r="G6" s="115" t="s">
        <v>65</v>
      </c>
      <c r="H6" s="61">
        <f ca="1">H5*(1-B7)</f>
        <v>1003.8604157999998</v>
      </c>
      <c r="I6" s="58"/>
      <c r="J6" s="1" t="s">
        <v>60</v>
      </c>
      <c r="K6" s="114">
        <v>15</v>
      </c>
    </row>
    <row r="7" spans="1:11">
      <c r="A7" s="1" t="s">
        <v>66</v>
      </c>
      <c r="B7" s="111">
        <v>0.25</v>
      </c>
      <c r="C7" s="58"/>
      <c r="D7" s="116" t="s">
        <v>67</v>
      </c>
      <c r="E7" s="61">
        <f ca="1">E5</f>
        <v>1530.3614363499621</v>
      </c>
      <c r="F7" s="58"/>
      <c r="G7" s="116" t="s">
        <v>67</v>
      </c>
      <c r="H7" s="61">
        <f ca="1">H5</f>
        <v>1338.4805543999998</v>
      </c>
      <c r="I7" s="58"/>
      <c r="J7" s="1" t="s">
        <v>59</v>
      </c>
      <c r="K7" s="117">
        <f ca="1">LN(1+K6*(K5/K4+1))/LN(1+K6)-1</f>
        <v>1.237790036482258</v>
      </c>
    </row>
    <row r="8" spans="1:11">
      <c r="A8" s="1" t="s">
        <v>68</v>
      </c>
      <c r="B8" s="111">
        <v>0.15</v>
      </c>
      <c r="C8" s="58"/>
      <c r="D8" s="1" t="s">
        <v>69</v>
      </c>
      <c r="E8" s="118" t="str">
        <f ca="1">_xlfn.IFS(B6&lt;E6,"BUY",B6&gt;E7,"SELL",B6&lt;E7,"HOLD")</f>
        <v>BUY</v>
      </c>
      <c r="F8" s="58"/>
      <c r="G8" s="1" t="s">
        <v>69</v>
      </c>
      <c r="H8" s="119" t="str">
        <f ca="1">_xlfn.IFS(B6&lt;H6,"BUY",B6&gt;H7,"SELL",B6&lt;H7,"HOLD")</f>
        <v>HOLD</v>
      </c>
      <c r="I8" s="58"/>
      <c r="J8" s="1" t="s">
        <v>70</v>
      </c>
      <c r="K8" s="118" t="str">
        <f ca="1">_xlfn.IFS(K7&gt;8,"NO",K7&lt;8,"YES", K7=8, "YES")</f>
        <v>YES</v>
      </c>
    </row>
    <row r="10" spans="1:11">
      <c r="D10" s="60" t="s">
        <v>57</v>
      </c>
      <c r="E10" s="60"/>
    </row>
    <row r="11" spans="1:11">
      <c r="D11" s="1" t="s">
        <v>71</v>
      </c>
      <c r="E11" s="110">
        <f ca="1">AVERAGE(GROWTH!B5:E5)</f>
        <v>0.14431249079843397</v>
      </c>
    </row>
    <row r="12" spans="1:11">
      <c r="D12" s="113" t="s">
        <v>62</v>
      </c>
      <c r="E12" s="61">
        <f ca="1">(B4*INPUT!B17*(1+E11)^B5)/(1+B8)^B5</f>
        <v>1305.7079757733361</v>
      </c>
    </row>
    <row r="13" spans="1:11">
      <c r="D13" s="115" t="s">
        <v>65</v>
      </c>
      <c r="E13" s="61">
        <f ca="1">E12*(1-B7)</f>
        <v>979.28098183000202</v>
      </c>
    </row>
    <row r="14" spans="1:11">
      <c r="D14" s="116" t="s">
        <v>67</v>
      </c>
      <c r="E14" s="61">
        <f ca="1">E12</f>
        <v>1305.7079757733361</v>
      </c>
    </row>
    <row r="15" spans="1:11">
      <c r="D15" s="1" t="s">
        <v>69</v>
      </c>
      <c r="E15" s="118" t="str">
        <f ca="1">_xlfn.IFS(B6&lt;E13,"BUY",B6&gt;E14,"SELL",B6&lt;E14,"HOLD")</f>
        <v>HOLD</v>
      </c>
    </row>
  </sheetData>
  <mergeCells count="5">
    <mergeCell ref="A3:B3"/>
    <mergeCell ref="D3:E3"/>
    <mergeCell ref="G3:H3"/>
    <mergeCell ref="J3:K3"/>
    <mergeCell ref="D10:E10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525F-DC1B-ED41-9F4A-C857AF0D4FF2}">
  <dimension ref="A1"/>
  <sheetViews>
    <sheetView workbookViewId="0">
      <selection activeCell="D4" sqref="D4"/>
    </sheetView>
  </sheetViews>
  <sheetFormatPr baseColWidth="10" defaultRowHeight="19"/>
  <cols>
    <col min="1" max="16384" width="10.83203125" style="6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GROWTH</vt:lpstr>
      <vt:lpstr>GROWTH YoY</vt:lpstr>
      <vt:lpstr>VALUE MATRIX</vt:lpstr>
      <vt:lpstr>BUY ZONE</vt:lpstr>
      <vt:lpstr>DISCOUNTED 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Asish Biswas</dc:creator>
  <cp:lastModifiedBy>Asish Biswas</cp:lastModifiedBy>
  <dcterms:created xsi:type="dcterms:W3CDTF">2019-06-05T19:53:04Z</dcterms:created>
  <dcterms:modified xsi:type="dcterms:W3CDTF">2019-06-06T15:58:11Z</dcterms:modified>
</cp:coreProperties>
</file>