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sit\Personal\Berkley BootCamp\Module-1\kickstarter-challenge\"/>
    </mc:Choice>
  </mc:AlternateContent>
  <xr:revisionPtr revIDLastSave="0" documentId="13_ncr:1_{E0147F21-6C18-4655-ACF3-8135C52ECA6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Kick Starter" sheetId="1" r:id="rId1"/>
    <sheet name="Theater Outcomes by Launch Date" sheetId="13" r:id="rId2"/>
    <sheet name="Outcomes Based on Goals" sheetId="15" r:id="rId3"/>
  </sheets>
  <definedNames>
    <definedName name="_xlnm._FilterDatabase" localSheetId="0" hidden="1">'Kick Starter'!$A$1:$U$1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5" l="1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G2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F2" i="15"/>
  <c r="E2" i="15"/>
  <c r="D2" i="15"/>
  <c r="C2" i="15"/>
  <c r="B2" i="15"/>
  <c r="U2491" i="1"/>
  <c r="U2974" i="1"/>
  <c r="U3038" i="1"/>
  <c r="U3102" i="1"/>
  <c r="U3166" i="1"/>
  <c r="U3230" i="1"/>
  <c r="U3337" i="1"/>
  <c r="U3353" i="1"/>
  <c r="U3369" i="1"/>
  <c r="U338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<sst xmlns="http://schemas.openxmlformats.org/spreadsheetml/2006/main" count="32975" uniqueCount="8400">
  <si>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</si>
  <si>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</si>
  <si>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</si>
  <si>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</si>
  <si>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</si>
  <si>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</si>
  <si>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</si>
  <si>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</si>
  <si>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</si>
  <si>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</si>
  <si>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</si>
  <si>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</si>
  <si>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</si>
  <si>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</si>
  <si>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</si>
  <si>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</si>
  <si>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</si>
  <si>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</si>
  <si>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</si>
  <si>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</si>
  <si>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</si>
  <si>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</si>
  <si>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</si>
  <si>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</si>
  <si>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</si>
  <si>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</si>
  <si>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</si>
  <si>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</si>
  <si>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</si>
  <si>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</si>
  <si>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</si>
  <si>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</si>
  <si>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</si>
  <si>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</si>
  <si>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</si>
  <si>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</si>
  <si>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</si>
  <si>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</si>
  <si>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</si>
  <si>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</si>
  <si>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</si>
  <si>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</si>
  <si>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</si>
  <si>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</si>
  <si>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</si>
  <si>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</si>
  <si>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</si>
  <si>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</si>
  <si>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</si>
  <si>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</si>
  <si>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</si>
  <si>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</si>
  <si>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</si>
  <si>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</si>
  <si>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</si>
  <si>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</si>
  <si>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</si>
  <si>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</si>
  <si>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</si>
  <si>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</si>
  <si>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</si>
  <si>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</si>
  <si>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</si>
  <si>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</si>
  <si>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</si>
  <si>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</si>
  <si>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</si>
  <si>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</si>
  <si>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</si>
  <si>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</si>
  <si>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</si>
  <si>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</si>
  <si>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</si>
  <si>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</si>
  <si>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</si>
  <si>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</si>
  <si>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</si>
  <si>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</si>
  <si>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</si>
  <si>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</si>
  <si>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</si>
  <si>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</si>
  <si>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</si>
  <si>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</si>
  <si>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</si>
  <si>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</si>
  <si>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</si>
  <si>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</si>
  <si>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</si>
  <si>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</si>
  <si>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</si>
  <si>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</si>
  <si>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</si>
  <si>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</si>
  <si>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</si>
  <si>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</si>
  <si>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</si>
  <si>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</si>
  <si>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</si>
  <si>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</si>
  <si>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</si>
  <si>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</si>
  <si>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</si>
  <si>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</si>
  <si>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</si>
  <si>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</si>
  <si>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</si>
  <si>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</si>
  <si>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</si>
  <si>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</si>
  <si>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</si>
  <si>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</si>
  <si>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</si>
  <si>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</si>
  <si>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</si>
  <si>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</si>
  <si>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</si>
  <si>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</si>
  <si>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</si>
  <si>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</si>
  <si>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</si>
  <si>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</si>
  <si>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</si>
  <si>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</si>
  <si>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</si>
  <si>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</si>
  <si>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</si>
  <si>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</si>
  <si>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</si>
  <si>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</si>
  <si>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</si>
  <si>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</si>
  <si>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</si>
  <si>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</si>
  <si>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</si>
  <si>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</si>
  <si>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</si>
  <si>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</si>
  <si>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</si>
  <si>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</si>
  <si>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</si>
  <si>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</si>
  <si>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</si>
  <si>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</si>
  <si>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</si>
  <si>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</si>
  <si>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</si>
  <si>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</si>
  <si>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</si>
  <si>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</si>
  <si>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</si>
  <si>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</si>
  <si>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</si>
  <si>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</si>
  <si>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</si>
  <si>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</si>
  <si>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</si>
  <si>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</si>
  <si>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</si>
  <si>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</si>
  <si>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</si>
  <si>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</si>
  <si>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</si>
  <si>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</si>
  <si>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</si>
  <si>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</si>
  <si>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</si>
  <si>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</si>
  <si>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</si>
  <si>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</si>
  <si>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</si>
  <si>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</si>
  <si>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</si>
  <si>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</si>
  <si>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</si>
  <si>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</si>
  <si>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</si>
  <si>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</si>
  <si>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</si>
  <si>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</si>
  <si>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</si>
  <si>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</si>
  <si>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</si>
  <si>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</si>
  <si>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</si>
  <si>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</si>
  <si>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</si>
  <si>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</si>
  <si>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</si>
  <si>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</si>
  <si>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</si>
  <si>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</si>
  <si>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</si>
  <si>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</si>
  <si>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</si>
  <si>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</si>
  <si>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</si>
  <si>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</si>
  <si>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</si>
  <si>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</si>
  <si>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</si>
  <si>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</si>
  <si>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</si>
  <si>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</si>
  <si>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</si>
  <si>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</si>
  <si>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</si>
  <si>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</si>
  <si>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</si>
  <si>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</si>
  <si>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</si>
  <si>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</si>
  <si>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</si>
  <si>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</si>
  <si>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</si>
  <si>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</si>
  <si>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</si>
  <si>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</si>
  <si>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</si>
  <si>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</si>
  <si>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</si>
  <si>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</si>
  <si>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</si>
  <si>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</si>
  <si>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</si>
  <si>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</si>
  <si>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</si>
  <si>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</si>
  <si>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</si>
  <si>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</si>
  <si>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</si>
  <si>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</si>
  <si>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</si>
  <si>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</si>
  <si>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</si>
  <si>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</si>
  <si>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</si>
  <si>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</si>
  <si>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</si>
  <si>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</si>
  <si>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</si>
  <si>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</si>
  <si>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</si>
  <si>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</si>
  <si>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</si>
  <si>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</si>
  <si>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</si>
  <si>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</si>
  <si>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</si>
  <si>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</si>
  <si>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</si>
  <si>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</si>
  <si>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</si>
  <si>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</si>
  <si>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</si>
  <si>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</si>
  <si>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</si>
  <si>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</si>
  <si>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</si>
  <si>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</si>
  <si>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</si>
  <si>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</si>
  <si>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</si>
  <si>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</si>
  <si>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</si>
  <si>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</si>
  <si>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</si>
  <si>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</si>
  <si>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</si>
  <si>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</si>
  <si>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</si>
  <si>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</si>
  <si>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</si>
  <si>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</si>
  <si>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</si>
  <si>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</si>
  <si>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</si>
  <si>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</si>
  <si>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</si>
  <si>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</si>
  <si>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</si>
  <si>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</si>
  <si>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</si>
  <si>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</si>
  <si>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</si>
  <si>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</si>
  <si>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</si>
  <si>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</si>
  <si>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</si>
  <si>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</si>
  <si>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</si>
  <si>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</si>
  <si>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</si>
  <si>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</si>
  <si>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</si>
  <si>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</si>
  <si>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</si>
  <si>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</si>
  <si>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</si>
  <si>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</si>
  <si>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</si>
  <si>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</si>
  <si>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</si>
  <si>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</si>
  <si>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</si>
  <si>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</si>
  <si>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</si>
  <si>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</si>
  <si>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</si>
  <si>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</si>
  <si>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</si>
  <si>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</si>
  <si>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</si>
  <si>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</si>
  <si>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</si>
  <si>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</si>
  <si>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</si>
  <si>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</si>
  <si>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</si>
  <si>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</si>
  <si>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</si>
  <si>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</si>
  <si>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</si>
  <si>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</si>
  <si>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</si>
  <si>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</si>
  <si>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</si>
  <si>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</si>
  <si>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</si>
  <si>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</si>
  <si>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</si>
  <si>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</si>
  <si>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</si>
  <si>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</si>
  <si>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</si>
  <si>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</si>
  <si>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</si>
  <si>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</si>
  <si>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</si>
  <si>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</si>
  <si>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</si>
  <si>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</si>
  <si>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</si>
  <si>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</si>
  <si>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</si>
  <si>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</si>
  <si>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</si>
  <si>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</si>
  <si>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</si>
  <si>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</si>
  <si>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</si>
  <si>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</si>
  <si>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</si>
  <si>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</si>
  <si>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</si>
  <si>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</si>
  <si>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</si>
  <si>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</si>
  <si>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</si>
  <si>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</si>
  <si>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</si>
  <si>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</si>
  <si>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</si>
  <si>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</si>
  <si>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</si>
  <si>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</si>
  <si>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</si>
  <si>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</si>
  <si>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</si>
  <si>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</si>
  <si>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</si>
  <si>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</si>
  <si>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</si>
  <si>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</si>
  <si>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</si>
  <si>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</si>
  <si>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</si>
  <si>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</si>
  <si>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</si>
  <si>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</si>
  <si>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</si>
  <si>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</si>
  <si>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</si>
  <si>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</si>
  <si>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</si>
  <si>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</si>
  <si>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</si>
  <si>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</si>
  <si>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</si>
  <si>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</si>
  <si>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</si>
  <si>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</si>
  <si>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</si>
  <si>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</si>
  <si>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</si>
  <si>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</si>
  <si>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</si>
  <si>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</si>
  <si>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</si>
  <si>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</si>
  <si>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</si>
  <si>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</si>
  <si>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</si>
  <si>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</si>
  <si>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</si>
  <si>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</si>
  <si>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</si>
  <si>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</si>
  <si>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</si>
  <si>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</si>
  <si>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</si>
  <si>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</si>
  <si>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</si>
  <si>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</si>
  <si>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</si>
  <si>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</si>
  <si>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</si>
  <si>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</si>
  <si>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</si>
  <si>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</si>
  <si>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</si>
  <si>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</si>
  <si>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</si>
  <si>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</si>
  <si>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</si>
  <si>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</si>
  <si>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</si>
  <si>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</si>
  <si>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</si>
  <si>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</si>
  <si>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</si>
  <si>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</si>
  <si>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</si>
  <si>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</si>
  <si>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</si>
  <si>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</si>
  <si>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</si>
  <si>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</si>
  <si>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</si>
  <si>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</si>
  <si>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</si>
  <si>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</si>
  <si>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</si>
  <si>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</si>
  <si>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</si>
  <si>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</si>
  <si>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</si>
  <si>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</si>
  <si>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</si>
  <si>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</si>
  <si>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</si>
  <si>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</si>
  <si>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</si>
  <si>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</si>
  <si>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</si>
  <si>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</si>
  <si>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</si>
  <si>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</si>
  <si>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</si>
  <si>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</si>
  <si>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</si>
  <si>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</si>
  <si>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</si>
  <si>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</si>
  <si>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</si>
  <si>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</si>
  <si>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</si>
  <si>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</si>
  <si>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</si>
  <si>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</si>
  <si>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</si>
  <si>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</si>
  <si>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</si>
  <si>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</si>
  <si>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</si>
  <si>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</si>
  <si>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</si>
  <si>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</si>
  <si>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</si>
  <si>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</si>
  <si>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</si>
  <si>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</si>
  <si>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</si>
  <si>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</si>
  <si>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</si>
  <si>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</si>
  <si>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</si>
  <si>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</si>
  <si>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</si>
  <si>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</si>
  <si>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</si>
  <si>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</si>
  <si>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</si>
  <si>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</si>
  <si>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</si>
  <si>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</si>
  <si>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</si>
  <si>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</si>
  <si>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</si>
  <si>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</si>
  <si>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</si>
  <si>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</si>
  <si>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</si>
  <si>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</si>
  <si>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</si>
  <si>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</si>
  <si>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</si>
  <si>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</si>
  <si>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</si>
  <si>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</si>
  <si>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</si>
  <si>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</si>
  <si>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</si>
  <si>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</si>
  <si>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</si>
  <si>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</si>
  <si>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</si>
  <si>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</si>
  <si>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</si>
  <si>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</si>
  <si>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</si>
  <si>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</si>
  <si>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</si>
  <si>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</si>
  <si>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</si>
  <si>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</si>
  <si>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</si>
  <si>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</si>
  <si>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</si>
  <si>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</si>
  <si>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</si>
  <si>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</si>
  <si>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</si>
  <si>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</si>
  <si>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</si>
  <si>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</si>
  <si>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</si>
  <si>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</si>
  <si>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</si>
  <si>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</si>
  <si>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</si>
  <si>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</si>
  <si>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</si>
  <si>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</si>
  <si>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</si>
  <si>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</si>
  <si>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</si>
  <si>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</si>
  <si>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</si>
  <si>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</si>
  <si>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</si>
  <si>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</si>
  <si>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</si>
  <si>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</si>
  <si>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</si>
  <si>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</si>
  <si>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</si>
  <si>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</si>
  <si>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</si>
  <si>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</si>
  <si>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</si>
  <si>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</si>
  <si>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</si>
  <si>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</si>
  <si>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</si>
  <si>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</si>
  <si>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</si>
  <si>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</si>
  <si>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</si>
  <si>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</si>
  <si>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</si>
  <si>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</si>
  <si>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</si>
  <si>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</si>
  <si>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</si>
  <si>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</si>
  <si>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</si>
  <si>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</si>
  <si>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</si>
  <si>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</si>
  <si>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</si>
  <si>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</si>
  <si>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</si>
  <si>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</si>
  <si>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</si>
  <si>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</si>
  <si>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</si>
  <si>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</si>
  <si>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</si>
  <si>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</si>
  <si>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</si>
  <si>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</si>
  <si>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</si>
  <si>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</si>
  <si>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</si>
  <si>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</si>
  <si>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</si>
  <si>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</si>
  <si>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</si>
  <si>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</si>
  <si>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</si>
  <si>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</si>
  <si>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</si>
  <si>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</si>
  <si>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</si>
  <si>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</si>
  <si>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</si>
  <si>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</si>
  <si>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</si>
  <si>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</si>
  <si>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</si>
  <si>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</si>
  <si>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</si>
  <si>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</si>
  <si>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</si>
  <si>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</si>
  <si>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</si>
  <si>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</si>
  <si>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</si>
  <si>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</si>
  <si>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</si>
  <si>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</si>
  <si>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</si>
  <si>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</si>
  <si>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</si>
  <si>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</si>
  <si>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</si>
  <si>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</si>
  <si>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</si>
  <si>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</si>
  <si>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</si>
  <si>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</si>
  <si>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</si>
  <si>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</si>
  <si>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</si>
  <si>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</si>
  <si>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</si>
  <si>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</si>
  <si>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</si>
  <si>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</si>
  <si>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</si>
  <si>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</si>
  <si>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</si>
  <si>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</si>
  <si>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</si>
  <si>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</si>
  <si>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</si>
  <si>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</si>
  <si>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</si>
  <si>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</si>
  <si>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</si>
  <si>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</si>
  <si>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</si>
  <si>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</si>
  <si>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</si>
  <si>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</si>
  <si>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</si>
  <si>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</si>
  <si>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</si>
  <si>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</si>
  <si>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</si>
  <si>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</si>
  <si>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</si>
  <si>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</si>
  <si>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</si>
  <si>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</si>
  <si>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</si>
  <si>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</si>
  <si>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</si>
  <si>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</si>
  <si>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</si>
  <si>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</si>
  <si>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</si>
  <si>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</si>
  <si>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</si>
  <si>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</si>
  <si>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</si>
  <si>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</si>
  <si>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</si>
  <si>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</si>
  <si>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</si>
  <si>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</si>
  <si>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</si>
  <si>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</si>
  <si>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</si>
  <si>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</si>
  <si>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</si>
  <si>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</si>
  <si>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</si>
  <si>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</si>
  <si>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</si>
  <si>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</si>
  <si>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</si>
  <si>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</si>
  <si>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</si>
  <si>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</si>
  <si>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</si>
  <si>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</si>
  <si>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</si>
  <si>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</si>
  <si>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</si>
  <si>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</si>
  <si>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</si>
  <si>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</si>
  <si>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</si>
  <si>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</si>
  <si>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</si>
  <si>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</si>
  <si>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</si>
  <si>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</si>
  <si>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</si>
  <si>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</si>
  <si>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</si>
  <si>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</si>
  <si>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</si>
  <si>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</si>
  <si>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</si>
  <si>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</si>
  <si>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</si>
  <si>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</si>
  <si>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</si>
  <si>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</si>
  <si>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</si>
  <si>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</si>
  <si>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</si>
  <si>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</si>
  <si>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</si>
  <si>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</si>
  <si>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</si>
  <si>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</si>
  <si>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</si>
  <si>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</si>
  <si>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</si>
  <si>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</si>
  <si>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</si>
  <si>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</si>
  <si>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</si>
  <si>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</si>
  <si>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</si>
  <si>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</si>
  <si>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</si>
  <si>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</si>
  <si>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</si>
  <si>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</si>
  <si>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</si>
  <si>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</si>
  <si>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</si>
  <si>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</si>
  <si>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</si>
  <si>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</si>
  <si>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</si>
  <si>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</si>
  <si>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</si>
  <si>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</si>
  <si>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</si>
  <si>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</si>
  <si>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</si>
  <si>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</si>
  <si>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</si>
  <si>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</si>
  <si>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</si>
  <si>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</si>
  <si>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</si>
  <si>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</si>
  <si>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</si>
  <si>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</si>
  <si>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</si>
  <si>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</si>
  <si>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</si>
  <si>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</si>
  <si>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</si>
  <si>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</si>
  <si>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</si>
  <si>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</si>
  <si>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</si>
  <si>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</si>
  <si>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</si>
  <si>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</si>
  <si>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</si>
  <si>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</si>
  <si>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</si>
  <si>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</si>
  <si>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</si>
  <si>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</si>
  <si>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</si>
  <si>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</si>
  <si>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</si>
  <si>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</si>
  <si>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</si>
  <si>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</si>
  <si>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</si>
  <si>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</si>
  <si>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</si>
  <si>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</si>
  <si>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</si>
  <si>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</si>
  <si>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</si>
  <si>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</si>
  <si>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</si>
  <si>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</si>
  <si>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</si>
  <si>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</si>
  <si>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</si>
  <si>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</si>
  <si>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</si>
  <si>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</si>
  <si>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</si>
  <si>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</si>
  <si>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</si>
  <si>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</si>
  <si>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</si>
  <si>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</si>
  <si>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</si>
  <si>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</si>
  <si>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</si>
  <si>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</si>
  <si>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</si>
  <si>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</si>
  <si>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</si>
  <si>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</si>
  <si>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</si>
  <si>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</si>
  <si>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</si>
  <si>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</si>
  <si>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</si>
  <si>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</si>
  <si>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</si>
  <si>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</si>
  <si>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</si>
  <si>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</si>
  <si>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</si>
  <si>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</si>
  <si>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</si>
  <si>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</si>
  <si>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</si>
  <si>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</si>
  <si>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</si>
  <si>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</si>
  <si>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</si>
  <si>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</si>
  <si>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</si>
  <si>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</si>
  <si>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</si>
  <si>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</si>
  <si>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</si>
  <si>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</si>
  <si>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</si>
  <si>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</si>
  <si>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</si>
  <si>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</si>
  <si>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</si>
  <si>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</si>
  <si>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</si>
  <si>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</si>
  <si>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</si>
  <si>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</si>
  <si>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</si>
  <si>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</si>
  <si>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</si>
  <si>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</si>
  <si>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</si>
  <si>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</si>
  <si>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</si>
  <si>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</si>
  <si>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</si>
  <si>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</si>
  <si>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</si>
  <si>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</si>
  <si>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</si>
  <si>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</si>
  <si>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</si>
  <si>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</si>
  <si>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</si>
  <si>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</si>
  <si>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</si>
  <si>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</si>
  <si>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</si>
  <si>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</si>
  <si>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</si>
  <si>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</si>
  <si>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</si>
  <si>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</si>
  <si>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</si>
  <si>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</si>
  <si>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</si>
  <si>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</si>
  <si>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</si>
  <si>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</si>
  <si>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</si>
  <si>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</si>
  <si>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</si>
  <si>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</si>
  <si>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</si>
  <si>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</si>
  <si>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</si>
  <si>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</si>
  <si>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</si>
  <si>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</si>
  <si>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</si>
  <si>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</si>
  <si>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</si>
  <si>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</si>
  <si>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</si>
  <si>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</si>
  <si>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</si>
  <si>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</si>
  <si>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</si>
  <si>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</si>
  <si>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</si>
  <si>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</si>
  <si>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</si>
  <si>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</si>
  <si>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</si>
  <si>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</si>
  <si>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</si>
  <si>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</si>
  <si>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</si>
  <si>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</si>
  <si>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</si>
  <si>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</si>
  <si>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</si>
  <si>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</si>
  <si>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</si>
  <si>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</si>
  <si>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</si>
  <si>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</si>
  <si>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</si>
  <si>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</si>
  <si>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</si>
  <si>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</si>
  <si>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</si>
  <si>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</si>
  <si>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</si>
  <si>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</si>
  <si>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</si>
  <si>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</si>
  <si>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</si>
  <si>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</si>
  <si>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</si>
  <si>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</si>
  <si>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</si>
  <si>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</si>
  <si>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</si>
  <si>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</si>
  <si>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</si>
  <si>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</si>
  <si>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</si>
  <si>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</si>
  <si>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</si>
  <si>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</si>
  <si>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</si>
  <si>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</si>
  <si>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</si>
  <si>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</si>
  <si>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</si>
  <si>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</si>
  <si>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</si>
  <si>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</si>
  <si>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</si>
  <si>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</si>
  <si>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</si>
  <si>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</si>
  <si>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</si>
  <si>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</si>
  <si>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</si>
  <si>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</si>
  <si>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</si>
  <si>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</si>
  <si>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</si>
  <si>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</si>
  <si>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</si>
  <si>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</si>
  <si>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</si>
  <si>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</si>
  <si>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</si>
  <si>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</si>
  <si>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</si>
  <si>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</si>
  <si>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</si>
  <si>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</si>
  <si>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</si>
  <si>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</si>
  <si>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</si>
  <si>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</si>
  <si>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</si>
  <si>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</si>
  <si>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</si>
  <si>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</si>
  <si>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</si>
  <si>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</si>
  <si>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</si>
  <si>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</si>
  <si>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</si>
  <si>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</si>
  <si>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</si>
  <si>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</si>
  <si>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</si>
  <si>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</si>
  <si>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</si>
  <si>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</si>
  <si>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</si>
  <si>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</si>
  <si>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</si>
  <si>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</si>
  <si>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</si>
  <si>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</si>
  <si>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</si>
  <si>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</si>
  <si>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</si>
  <si>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</si>
  <si>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</si>
  <si>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</si>
  <si>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</si>
  <si>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</si>
  <si>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</si>
  <si>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</si>
  <si>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</si>
  <si>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</si>
  <si>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</si>
  <si>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</si>
  <si>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</si>
  <si>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</si>
  <si>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</si>
  <si>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</si>
  <si>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</si>
  <si>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</si>
  <si>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</si>
  <si>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</si>
  <si>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</si>
  <si>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</si>
  <si>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</si>
  <si>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</si>
  <si>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</si>
  <si>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</si>
  <si>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</si>
  <si>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</si>
  <si>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</si>
  <si>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</si>
  <si>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</si>
  <si>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</si>
  <si>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</si>
  <si>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</si>
  <si>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</si>
  <si>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</si>
  <si>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</si>
  <si>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</si>
  <si>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</si>
  <si>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</si>
  <si>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</si>
  <si>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</si>
  <si>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</si>
  <si>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</si>
  <si>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</si>
  <si>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</si>
  <si>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</si>
  <si>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</si>
  <si>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</si>
  <si>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</si>
  <si>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</si>
  <si>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</si>
  <si>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</si>
  <si>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</si>
  <si>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</si>
  <si>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</si>
  <si>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</si>
  <si>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</si>
  <si>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</si>
  <si>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</si>
  <si>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</si>
  <si>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</si>
  <si>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</si>
  <si>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</si>
  <si>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</si>
  <si>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</si>
  <si>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</si>
  <si>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</si>
  <si>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</si>
  <si>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</si>
  <si>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</si>
  <si>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</si>
  <si>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</si>
  <si>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</si>
  <si>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</si>
  <si>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</si>
  <si>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</si>
  <si>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</si>
  <si>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</si>
  <si>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</si>
  <si>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</si>
  <si>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</si>
  <si>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</si>
  <si>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</si>
  <si>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</si>
  <si>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</si>
  <si>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</si>
  <si>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</si>
  <si>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</si>
  <si>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</si>
  <si>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</si>
  <si>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</si>
  <si>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</si>
  <si>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</si>
  <si>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</si>
  <si>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</si>
  <si>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</si>
  <si>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</si>
  <si>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</si>
  <si>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</si>
  <si>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</si>
  <si>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</si>
  <si>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</si>
  <si>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</si>
  <si>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</si>
  <si>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</si>
  <si>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</si>
  <si>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</si>
  <si>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</si>
  <si>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</si>
  <si>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</si>
  <si>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</si>
  <si>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</si>
  <si>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</si>
  <si>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</si>
  <si>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</si>
  <si>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</si>
  <si>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</si>
  <si>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</si>
  <si>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</si>
  <si>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</si>
  <si>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</si>
  <si>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</si>
  <si>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</si>
  <si>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</si>
  <si>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</si>
  <si>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</si>
  <si>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</si>
  <si>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</si>
  <si>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</si>
  <si>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</si>
  <si>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</si>
  <si>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</si>
  <si>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</si>
  <si>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</si>
  <si>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</si>
  <si>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</si>
  <si>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</si>
  <si>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</si>
  <si>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</si>
  <si>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</si>
  <si>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</si>
  <si>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</si>
  <si>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</si>
  <si>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</si>
  <si>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</si>
  <si>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</si>
  <si>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</si>
  <si>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</si>
  <si>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</si>
  <si>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</si>
  <si>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</si>
  <si>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</si>
  <si>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</si>
  <si>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</si>
  <si>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</si>
  <si>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</si>
  <si>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</si>
  <si>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</si>
  <si>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</si>
  <si>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</si>
  <si>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</si>
  <si>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</si>
  <si>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</si>
  <si>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</si>
  <si>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</si>
  <si>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</si>
  <si>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</si>
  <si>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</si>
  <si>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</si>
  <si>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</si>
  <si>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</si>
  <si>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</si>
  <si>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</si>
  <si>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</si>
  <si>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</si>
  <si>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</si>
  <si>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</si>
  <si>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</si>
  <si>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</si>
  <si>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</si>
  <si>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</si>
  <si>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</si>
  <si>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</si>
  <si>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</si>
  <si>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</si>
  <si>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</si>
  <si>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</si>
  <si>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</si>
  <si>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</si>
  <si>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</si>
  <si>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</si>
  <si>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</si>
  <si>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</si>
  <si>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</si>
  <si>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</si>
  <si>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</si>
  <si>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</si>
  <si>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</si>
  <si>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</si>
  <si>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</si>
  <si>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</si>
  <si>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</si>
  <si>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</si>
  <si>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</si>
  <si>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</si>
  <si>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</si>
  <si>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</si>
  <si>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</si>
  <si>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</si>
  <si>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</si>
  <si>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</si>
  <si>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</si>
  <si>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</si>
  <si>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</si>
  <si>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</si>
  <si>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</si>
  <si>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</si>
  <si>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</si>
  <si>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</si>
  <si>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</si>
  <si>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</si>
  <si>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</si>
  <si>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</si>
  <si>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</si>
  <si>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</si>
  <si>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</si>
  <si>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</si>
  <si>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</si>
  <si>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</si>
  <si>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</si>
  <si>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</si>
  <si>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</si>
  <si>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</si>
  <si>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</si>
  <si>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</si>
  <si>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</si>
  <si>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</si>
  <si>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</si>
  <si>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</si>
  <si>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</si>
  <si>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</si>
  <si>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</si>
  <si>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</si>
  <si>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</si>
  <si>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</si>
  <si>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</si>
  <si>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</si>
  <si>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</si>
  <si>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</si>
  <si>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</si>
  <si>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</si>
  <si>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</si>
  <si>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</si>
  <si>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</si>
  <si>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</si>
  <si>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</si>
  <si>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</si>
  <si>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</si>
  <si>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</si>
  <si>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</si>
  <si>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</si>
  <si>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</si>
  <si>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</si>
  <si>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</si>
  <si>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</si>
  <si>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</si>
  <si>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</si>
  <si>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</si>
  <si>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</si>
  <si>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</si>
  <si>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</si>
  <si>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</si>
  <si>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</si>
  <si>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</si>
  <si>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</si>
  <si>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</si>
  <si>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</si>
  <si>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</si>
  <si>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</si>
  <si>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</si>
  <si>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</si>
  <si>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</si>
  <si>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</si>
  <si>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</si>
  <si>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</si>
  <si>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</si>
  <si>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</si>
  <si>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</si>
  <si>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</si>
  <si>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</si>
  <si>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</si>
  <si>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</si>
  <si>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</si>
  <si>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</si>
  <si>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</si>
  <si>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</si>
  <si>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</si>
  <si>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</si>
  <si>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</si>
  <si>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</si>
  <si>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</si>
  <si>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</si>
  <si>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</si>
  <si>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</si>
  <si>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</si>
  <si>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</si>
  <si>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</si>
  <si>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</si>
  <si>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</si>
  <si>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</si>
  <si>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</si>
  <si>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</si>
  <si>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</si>
  <si>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</si>
  <si>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</si>
  <si>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</si>
  <si>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</si>
  <si>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</si>
  <si>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</si>
  <si>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</si>
  <si>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</si>
  <si>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</si>
  <si>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</si>
  <si>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</si>
  <si>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</si>
  <si>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</si>
  <si>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</si>
  <si>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</si>
  <si>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</si>
  <si>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</si>
  <si>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</si>
  <si>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</si>
  <si>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</si>
  <si>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</si>
  <si>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</si>
  <si>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</si>
  <si>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</si>
  <si>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</si>
  <si>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</si>
  <si>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</si>
  <si>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</si>
  <si>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</si>
  <si>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</si>
  <si>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</si>
  <si>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</si>
  <si>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</si>
  <si>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</si>
  <si>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</si>
  <si>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</si>
  <si>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</si>
  <si>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</si>
  <si>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</si>
  <si>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</si>
  <si>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</si>
  <si>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</si>
  <si>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</si>
  <si>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</si>
  <si>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</si>
  <si>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</si>
  <si>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</si>
  <si>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</si>
  <si>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</si>
  <si>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</si>
  <si>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</si>
  <si>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</si>
  <si>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</si>
  <si>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</si>
  <si>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</si>
  <si>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</si>
  <si>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</si>
  <si>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</si>
  <si>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</si>
  <si>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</si>
  <si>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</si>
  <si>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</si>
  <si>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</si>
  <si>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</si>
  <si>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</si>
  <si>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</si>
  <si>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</si>
  <si>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</si>
  <si>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</si>
  <si>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</si>
  <si>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</si>
  <si>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</si>
  <si>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</si>
  <si>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</si>
  <si>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</si>
  <si>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</si>
  <si>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</si>
  <si>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</si>
  <si>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</si>
  <si>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</si>
  <si>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</si>
  <si>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</si>
  <si>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</si>
  <si>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</si>
  <si>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</si>
  <si>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</si>
  <si>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</si>
  <si>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</si>
  <si>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</si>
  <si>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</si>
  <si>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</si>
  <si>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</si>
  <si>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</si>
  <si>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</si>
  <si>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</si>
  <si>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</si>
  <si>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</si>
  <si>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</si>
  <si>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</si>
  <si>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</si>
  <si>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</si>
  <si>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</si>
  <si>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</si>
  <si>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</si>
  <si>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</si>
  <si>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</si>
  <si>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</si>
  <si>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</si>
  <si>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</si>
  <si>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</si>
  <si>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</si>
  <si>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</si>
  <si>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</si>
  <si>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</si>
  <si>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</si>
  <si>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</si>
  <si>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</si>
  <si>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</si>
  <si>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</si>
  <si>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</si>
  <si>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</si>
  <si>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</si>
  <si>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</si>
  <si>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</si>
  <si>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</si>
  <si>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</si>
  <si>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</si>
  <si>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</si>
  <si>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</si>
  <si>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</si>
  <si>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</si>
  <si>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</si>
  <si>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</si>
  <si>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</si>
  <si>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</si>
  <si>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</si>
  <si>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</si>
  <si>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</si>
  <si>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</si>
  <si>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</si>
  <si>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</si>
  <si>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</si>
  <si>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</si>
  <si>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</si>
  <si>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</si>
  <si>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</si>
  <si>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</si>
  <si>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</si>
  <si>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</si>
  <si>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</si>
  <si>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</si>
  <si>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</si>
  <si>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</si>
  <si>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</si>
  <si>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</si>
  <si>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</si>
  <si>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</si>
  <si>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</si>
  <si>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</si>
  <si>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</si>
  <si>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</si>
  <si>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</si>
  <si>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</si>
  <si>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</si>
  <si>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</si>
  <si>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</si>
  <si>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</si>
  <si>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</si>
  <si>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</si>
  <si>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</si>
  <si>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</si>
  <si>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</si>
  <si>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</si>
  <si>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</si>
  <si>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</si>
  <si>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</si>
  <si>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</si>
  <si>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</si>
  <si>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</si>
  <si>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</si>
  <si>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</si>
  <si>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</si>
  <si>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</si>
  <si>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</si>
  <si>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</si>
  <si>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</si>
  <si>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</si>
  <si>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</si>
  <si>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</si>
  <si>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</si>
  <si>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</si>
  <si>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</si>
  <si>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</si>
  <si>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</si>
  <si>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</si>
  <si>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</si>
  <si>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</si>
  <si>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</si>
  <si>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</si>
  <si>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</si>
  <si>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</si>
  <si>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</si>
  <si>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</si>
  <si>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</si>
  <si>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</si>
  <si>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</si>
  <si>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</si>
  <si>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</si>
  <si>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</si>
  <si>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</si>
  <si>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</si>
  <si>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</si>
  <si>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</si>
  <si>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</si>
  <si>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</si>
  <si>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</si>
  <si>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</si>
  <si>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</si>
  <si>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</si>
  <si>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</si>
  <si>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</si>
  <si>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</si>
  <si>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</si>
  <si>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</si>
  <si>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</si>
  <si>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</si>
  <si>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</si>
  <si>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</si>
  <si>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</si>
  <si>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</si>
  <si>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</si>
  <si>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</si>
  <si>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</si>
  <si>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</si>
  <si>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</si>
  <si>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</si>
  <si>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</si>
  <si>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</si>
  <si>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</si>
  <si>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</si>
  <si>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</si>
  <si>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</si>
  <si>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</si>
  <si>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</si>
  <si>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</si>
  <si>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</si>
  <si>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</si>
  <si>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</si>
  <si>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</si>
  <si>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</si>
  <si>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</si>
  <si>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</si>
  <si>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</si>
  <si>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</si>
  <si>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</si>
  <si>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</si>
  <si>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</si>
  <si>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</si>
  <si>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</si>
  <si>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</si>
  <si>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</si>
  <si>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</si>
  <si>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</si>
  <si>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</si>
  <si>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</si>
  <si>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</si>
  <si>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</si>
  <si>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</si>
  <si>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</si>
  <si>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</si>
  <si>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</si>
  <si>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</si>
  <si>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</si>
  <si>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</si>
  <si>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</si>
  <si>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</si>
  <si>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</si>
  <si>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</si>
  <si>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</si>
  <si>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</si>
  <si>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</si>
  <si>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</si>
  <si>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</si>
  <si>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</si>
  <si>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</si>
  <si>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</si>
  <si>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</si>
  <si>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</si>
  <si>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</si>
  <si>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</si>
  <si>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</si>
  <si>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</si>
  <si>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</si>
  <si>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</si>
  <si>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</si>
  <si>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</si>
  <si>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</si>
  <si>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</si>
  <si>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</si>
  <si>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</si>
  <si>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</si>
  <si>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</si>
  <si>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</si>
  <si>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</si>
  <si>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</si>
  <si>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</si>
  <si>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</si>
  <si>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</si>
  <si>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</si>
  <si>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</si>
  <si>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</si>
  <si>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</si>
  <si>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</si>
  <si>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</si>
  <si>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</si>
  <si>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</si>
  <si>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</si>
  <si>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</si>
  <si>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</si>
  <si>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</si>
  <si>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</si>
  <si>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</si>
  <si>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</si>
  <si>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</si>
  <si>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</si>
  <si>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</si>
  <si>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</si>
  <si>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</si>
  <si>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</si>
  <si>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</si>
  <si>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</si>
  <si>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</si>
  <si>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</si>
  <si>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</si>
  <si>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</si>
  <si>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</si>
  <si>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</si>
  <si>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</si>
  <si>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</si>
  <si>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</si>
  <si>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</si>
  <si>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</si>
  <si>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</si>
  <si>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</si>
  <si>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</si>
  <si>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</si>
  <si>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</si>
  <si>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</si>
  <si>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</si>
  <si>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</si>
  <si>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</si>
  <si>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</si>
  <si>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</si>
  <si>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</si>
  <si>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</si>
  <si>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</si>
  <si>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</si>
  <si>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</si>
  <si>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</si>
  <si>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</si>
  <si>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</si>
  <si>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</si>
  <si>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</si>
  <si>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</si>
  <si>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</si>
  <si>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</si>
  <si>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</si>
  <si>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</si>
  <si>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</si>
  <si>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</si>
  <si>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</si>
  <si>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</si>
  <si>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</si>
  <si>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</si>
  <si>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</si>
  <si>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</si>
  <si>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</si>
  <si>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</si>
  <si>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</si>
  <si>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</si>
  <si>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</si>
  <si>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</si>
  <si>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</si>
  <si>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</si>
  <si>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</si>
  <si>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</si>
  <si>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</si>
  <si>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</si>
  <si>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</si>
  <si>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</si>
  <si>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</si>
  <si>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</si>
  <si>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</si>
  <si>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</si>
  <si>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</si>
  <si>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</si>
  <si>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</si>
  <si>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</si>
  <si>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</si>
  <si>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</si>
  <si>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</si>
  <si>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</si>
  <si>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</si>
  <si>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</si>
  <si>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</si>
  <si>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</si>
  <si>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</si>
  <si>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</si>
  <si>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</si>
  <si>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</si>
  <si>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</si>
  <si>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</si>
  <si>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</si>
  <si>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</si>
  <si>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</si>
  <si>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</si>
  <si>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</si>
  <si>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</si>
  <si>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</si>
  <si>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</si>
  <si>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</si>
  <si>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</si>
  <si>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</si>
  <si>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</si>
  <si>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</si>
  <si>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</si>
  <si>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</si>
  <si>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</si>
  <si>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</si>
  <si>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</si>
  <si>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</si>
  <si>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</si>
  <si>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</si>
  <si>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</si>
  <si>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</si>
  <si>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</si>
  <si>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</si>
  <si>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</si>
  <si>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</si>
  <si>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</si>
  <si>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</si>
  <si>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</si>
  <si>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</si>
  <si>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</si>
  <si>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</si>
  <si>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</si>
  <si>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</si>
  <si>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</si>
  <si>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</si>
  <si>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</si>
  <si>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</si>
  <si>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</si>
  <si>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</si>
  <si>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</si>
  <si>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</si>
  <si>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</si>
  <si>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</si>
  <si>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</si>
  <si>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</si>
  <si>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</si>
  <si>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</si>
  <si>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</si>
  <si>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</si>
  <si>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</si>
  <si>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</si>
  <si>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</si>
  <si>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</si>
  <si>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</si>
  <si>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</si>
  <si>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</si>
  <si>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</si>
  <si>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</si>
  <si>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</si>
  <si>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</si>
  <si>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</si>
  <si>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</si>
  <si>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</si>
  <si>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</si>
  <si>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</si>
  <si>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</si>
  <si>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</si>
  <si>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</si>
  <si>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</si>
  <si>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</si>
  <si>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</si>
  <si>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</si>
  <si>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</si>
  <si>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</si>
  <si>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</si>
  <si>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</si>
  <si>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</si>
  <si>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</si>
  <si>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</si>
  <si>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</si>
  <si>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</si>
  <si>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</si>
  <si>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</si>
  <si>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</si>
  <si>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</si>
  <si>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</si>
  <si>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</si>
  <si>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</si>
  <si>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</si>
  <si>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</si>
  <si>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</si>
  <si>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</si>
  <si>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</si>
  <si>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</si>
  <si>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</si>
  <si>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</si>
  <si>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</si>
  <si>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</si>
  <si>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</si>
  <si>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</si>
  <si>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</si>
  <si>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</si>
  <si>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</si>
  <si>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</si>
  <si>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</si>
  <si>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</si>
  <si>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</si>
  <si>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</si>
  <si>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</si>
  <si>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</si>
  <si>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</si>
  <si>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</si>
  <si>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</si>
  <si>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</si>
  <si>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</si>
  <si>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</si>
  <si>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</si>
  <si>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</si>
  <si>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</si>
  <si>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</si>
  <si>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</si>
  <si>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</si>
  <si>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</si>
  <si>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</si>
  <si>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</si>
  <si>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</si>
  <si>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</si>
  <si>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</si>
  <si>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</si>
  <si>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</si>
  <si>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</si>
  <si>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</si>
  <si>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</si>
  <si>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</si>
  <si>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</si>
  <si>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</si>
  <si>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</si>
  <si>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</si>
  <si>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</si>
  <si>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</si>
  <si>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</si>
  <si>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</si>
  <si>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</si>
  <si>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</si>
  <si>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</si>
  <si>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</si>
  <si>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</si>
  <si>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</si>
  <si>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</si>
  <si>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</si>
  <si>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</si>
  <si>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</si>
  <si>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</si>
  <si>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</si>
  <si>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</si>
  <si>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</si>
  <si>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</si>
  <si>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</si>
  <si>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</si>
  <si>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</si>
  <si>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</si>
  <si>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</si>
  <si>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</si>
  <si>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</si>
  <si>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</si>
  <si>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</si>
  <si>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</si>
  <si>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</si>
  <si>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</si>
  <si>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</si>
  <si>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</si>
  <si>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</si>
  <si>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</si>
  <si>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</si>
  <si>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</si>
  <si>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</si>
  <si>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</si>
  <si>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</si>
  <si>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</si>
  <si>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</si>
  <si>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</si>
  <si>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</si>
  <si>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</si>
  <si>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</si>
  <si>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</si>
  <si>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</si>
  <si>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</si>
  <si>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</si>
  <si>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</si>
  <si>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</si>
  <si>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</si>
  <si>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</si>
  <si>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</si>
  <si>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</si>
  <si>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</si>
  <si>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</si>
  <si>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</si>
  <si>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</si>
  <si>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</si>
  <si>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</si>
  <si>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</si>
  <si>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</si>
  <si>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</si>
  <si>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</si>
  <si>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</si>
  <si>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</si>
  <si>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</si>
  <si>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</si>
  <si>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</si>
  <si>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</si>
  <si>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</si>
  <si>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</si>
  <si>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</si>
  <si>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</si>
  <si>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</si>
  <si>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</si>
  <si>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</si>
  <si>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</si>
  <si>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</si>
  <si>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</si>
  <si>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</si>
  <si>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</si>
  <si>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</si>
  <si>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</si>
  <si>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</si>
  <si>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</si>
  <si>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</si>
  <si>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</si>
  <si>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</si>
  <si>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</si>
  <si>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</si>
  <si>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</si>
  <si>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</si>
  <si>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</si>
  <si>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</si>
  <si>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</si>
  <si>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</si>
  <si>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</si>
  <si>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</si>
  <si>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</si>
  <si>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</si>
  <si>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</si>
  <si>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</si>
  <si>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</si>
  <si>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</si>
  <si>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</si>
  <si>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</si>
  <si>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</si>
  <si>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</si>
  <si>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</si>
  <si>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</si>
  <si>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</si>
  <si>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</si>
  <si>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</si>
  <si>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</si>
  <si>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</si>
  <si>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</si>
  <si>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</si>
  <si>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</si>
  <si>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</si>
  <si>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</si>
  <si>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</si>
  <si>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</si>
  <si>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</si>
  <si>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</si>
  <si>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</si>
  <si>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</si>
  <si>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</si>
  <si>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</si>
  <si>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</si>
  <si>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</si>
  <si>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</si>
  <si>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</si>
  <si>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</si>
  <si>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</si>
  <si>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</si>
  <si>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</si>
  <si>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</si>
  <si>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</si>
  <si>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</si>
  <si>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</si>
  <si>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</si>
  <si>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</si>
  <si>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</si>
  <si>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</si>
  <si>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</si>
  <si>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</si>
  <si>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</si>
  <si>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</si>
  <si>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</si>
  <si>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</si>
  <si>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</si>
  <si>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</si>
  <si>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</si>
  <si>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</si>
  <si>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</si>
  <si>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</si>
  <si>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</si>
  <si>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</si>
  <si>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</si>
  <si>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</si>
  <si>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</si>
  <si>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</si>
  <si>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</si>
  <si>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</si>
  <si>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</si>
  <si>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</si>
  <si>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</si>
  <si>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</si>
  <si>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</si>
  <si>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</si>
  <si>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</si>
  <si>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</si>
  <si>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</si>
  <si>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</si>
  <si>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</si>
  <si>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</si>
  <si>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</si>
  <si>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</si>
  <si>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</si>
  <si>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</si>
  <si>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</si>
  <si>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</si>
  <si>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</si>
  <si>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</si>
  <si>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</si>
  <si>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</si>
  <si>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</si>
  <si>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</si>
  <si>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</si>
  <si>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</si>
  <si>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</si>
  <si>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</si>
  <si>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</si>
  <si>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</si>
  <si>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</si>
  <si>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</si>
  <si>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</si>
  <si>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</si>
  <si>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</si>
  <si>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</si>
  <si>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</si>
  <si>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</si>
  <si>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</si>
  <si>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</si>
  <si>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</si>
  <si>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</si>
  <si>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</si>
  <si>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</si>
  <si>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</si>
  <si>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</si>
  <si>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</si>
  <si>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</si>
  <si>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</si>
  <si>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</si>
  <si>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</si>
  <si>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</si>
  <si>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</si>
  <si>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</si>
  <si>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</si>
  <si>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</si>
  <si>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</si>
  <si>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</si>
  <si>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</si>
  <si>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</si>
  <si>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</si>
  <si>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</si>
  <si>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</si>
  <si>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</si>
  <si>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</si>
  <si>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</si>
  <si>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</si>
  <si>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</si>
  <si>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</si>
  <si>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</si>
  <si>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</si>
  <si>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</si>
  <si>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</si>
  <si>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</si>
  <si>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</si>
  <si>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</si>
  <si>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</si>
  <si>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</si>
  <si>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</si>
  <si>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</si>
  <si>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</si>
  <si>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</si>
  <si>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</si>
  <si>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</si>
  <si>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</si>
  <si>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</si>
  <si>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</si>
  <si>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</si>
  <si>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</si>
  <si>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</si>
  <si>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</si>
  <si>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</si>
  <si>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</si>
  <si>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</si>
  <si>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</si>
  <si>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</si>
  <si>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</si>
  <si>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</si>
  <si>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</si>
  <si>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</si>
  <si>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</si>
  <si>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</si>
  <si>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</si>
  <si>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</si>
  <si>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</si>
  <si>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</si>
  <si>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</si>
  <si>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</si>
  <si>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</si>
  <si>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</si>
  <si>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</si>
  <si>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</si>
  <si>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</si>
  <si>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</si>
  <si>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</si>
  <si>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</si>
  <si>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</si>
  <si>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</si>
  <si>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</si>
  <si>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</si>
  <si>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</si>
  <si>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</si>
  <si>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</si>
  <si>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</si>
  <si>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</si>
  <si>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</si>
  <si>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</si>
  <si>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</si>
  <si>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</si>
  <si>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</si>
  <si>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</si>
  <si>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</si>
  <si>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</si>
  <si>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</si>
  <si>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</si>
  <si>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</si>
  <si>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</si>
  <si>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</si>
  <si>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</si>
  <si>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</si>
  <si>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</si>
  <si>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</si>
  <si>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</si>
  <si>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</si>
  <si>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</si>
  <si>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</si>
  <si>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</si>
  <si>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</si>
  <si>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</si>
  <si>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</si>
  <si>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</si>
  <si>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</si>
  <si>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</si>
  <si>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</si>
  <si>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</si>
  <si>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</si>
  <si>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</si>
  <si>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</si>
  <si>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</si>
  <si>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</si>
  <si>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</si>
  <si>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</si>
  <si>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</si>
  <si>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</si>
  <si>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</si>
  <si>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</si>
  <si>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</si>
  <si>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</si>
  <si>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</si>
  <si>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</si>
  <si>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</si>
  <si>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</si>
  <si>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</si>
  <si>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</si>
  <si>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</si>
  <si>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</si>
  <si>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</si>
  <si>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</si>
  <si>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</si>
  <si>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</si>
  <si>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</si>
  <si>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</si>
  <si>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</si>
  <si>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</si>
  <si>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</si>
  <si>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</si>
  <si>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</si>
  <si>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</si>
  <si>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</si>
  <si>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</si>
  <si>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</si>
  <si>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</si>
  <si>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</si>
  <si>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</si>
  <si>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</si>
  <si>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</si>
  <si>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</si>
  <si>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</si>
  <si>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</si>
  <si>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</si>
  <si>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</si>
  <si>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</si>
  <si>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</si>
  <si>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</si>
  <si>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</si>
  <si>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</si>
  <si>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</si>
  <si>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</si>
  <si>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</si>
  <si>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</si>
  <si>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</si>
  <si>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</si>
  <si>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</si>
  <si>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</si>
  <si>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</si>
  <si>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</si>
  <si>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</si>
  <si>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</si>
  <si>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</si>
  <si>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</si>
  <si>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</si>
  <si>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</si>
  <si>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</si>
  <si>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</si>
  <si>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</si>
  <si>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</si>
  <si>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</si>
  <si>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</si>
  <si>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</si>
  <si>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</si>
  <si>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</si>
  <si>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</si>
  <si>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</si>
  <si>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</si>
  <si>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</si>
  <si>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</si>
  <si>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</si>
  <si>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</si>
  <si>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</si>
  <si>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</si>
  <si>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</si>
  <si>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</si>
  <si>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</si>
  <si>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</si>
  <si>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</si>
  <si>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</si>
  <si>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</si>
  <si>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</si>
  <si>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</si>
  <si>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</si>
  <si>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</si>
  <si>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</si>
  <si>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</si>
  <si>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</si>
  <si>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</si>
  <si>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</si>
  <si>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</si>
  <si>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</si>
  <si>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</si>
  <si>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</si>
  <si>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</si>
  <si>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</si>
  <si>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</si>
  <si>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</si>
  <si>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</si>
  <si>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</si>
  <si>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</si>
  <si>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</si>
  <si>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</si>
  <si>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</si>
  <si>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</si>
  <si>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</si>
  <si>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</si>
  <si>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</si>
  <si>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</si>
  <si>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</si>
  <si>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</si>
  <si>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</si>
  <si>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</si>
  <si>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</si>
  <si>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</si>
  <si>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</si>
  <si>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</si>
  <si>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</si>
  <si>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</si>
  <si>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</si>
  <si>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</si>
  <si>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</si>
  <si>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</si>
  <si>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</si>
  <si>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</si>
  <si>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</si>
  <si>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</si>
  <si>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</si>
  <si>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</si>
  <si>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</si>
  <si>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</si>
  <si>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</si>
  <si>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</si>
  <si>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</si>
  <si>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</si>
  <si>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</si>
  <si>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</si>
  <si>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</si>
  <si>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</si>
  <si>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</si>
  <si>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</si>
  <si>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</si>
  <si>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</si>
  <si>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</si>
  <si>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</si>
  <si>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</si>
  <si>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</si>
  <si>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</si>
  <si>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</si>
  <si>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</si>
  <si>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</si>
  <si>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</si>
  <si>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</si>
  <si>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</si>
  <si>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</si>
  <si>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</si>
  <si>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</si>
  <si>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</si>
  <si>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</si>
  <si>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</si>
  <si>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</si>
  <si>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</si>
  <si>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</si>
  <si>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</si>
  <si>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</si>
  <si>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</si>
  <si>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</si>
  <si>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</si>
  <si>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</si>
  <si>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</si>
  <si>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</si>
  <si>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</si>
  <si>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</si>
  <si>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</si>
  <si>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</si>
  <si>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</si>
  <si>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</si>
  <si>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</si>
  <si>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</si>
  <si>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</si>
  <si>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</si>
  <si>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</si>
  <si>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</si>
  <si>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</si>
  <si>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</si>
  <si>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</si>
  <si>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</si>
  <si>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</si>
  <si>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</si>
  <si>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</si>
  <si>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</si>
  <si>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</si>
  <si>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</si>
  <si>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</si>
  <si>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</si>
  <si>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</si>
  <si>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</si>
  <si>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</si>
  <si>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</si>
  <si>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</si>
  <si>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</si>
  <si>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</si>
  <si>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</si>
  <si>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</si>
  <si>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</si>
  <si>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</si>
  <si>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</si>
  <si>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</si>
  <si>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</si>
  <si>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</si>
  <si>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</si>
  <si>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</si>
  <si>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</si>
  <si>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</si>
  <si>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</si>
  <si>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</si>
  <si>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</si>
  <si>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</si>
  <si>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</si>
  <si>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</si>
  <si>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</si>
  <si>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</si>
  <si>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</si>
  <si>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</si>
  <si>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</si>
  <si>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</si>
  <si>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</si>
  <si>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</si>
  <si>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</si>
  <si>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</si>
  <si>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</si>
  <si>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</si>
  <si>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</si>
  <si>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</si>
  <si>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</si>
  <si>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</si>
  <si>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</si>
  <si>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</si>
  <si>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</si>
  <si>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</si>
  <si>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</si>
  <si>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</si>
  <si>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</si>
  <si>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</si>
  <si>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</si>
  <si>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</si>
  <si>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</si>
  <si>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</si>
  <si>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</si>
  <si>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</si>
  <si>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</si>
  <si>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</si>
  <si>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</si>
  <si>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</si>
  <si>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</si>
  <si>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</si>
  <si>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</si>
  <si>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</si>
  <si>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</si>
  <si>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</si>
  <si>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</si>
  <si>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</si>
  <si>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</si>
  <si>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</si>
  <si>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</si>
  <si>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</si>
  <si>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</si>
  <si>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</si>
  <si>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</si>
  <si>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</si>
  <si>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</si>
  <si>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</si>
  <si>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</si>
  <si>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</si>
  <si>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</si>
  <si>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</si>
  <si>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</si>
  <si>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</si>
  <si>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</si>
  <si>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</si>
  <si>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</si>
  <si>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</si>
  <si>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</si>
  <si>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</si>
  <si>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</si>
  <si>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</si>
  <si>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</si>
  <si>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</si>
  <si>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</si>
  <si>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</si>
  <si>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</si>
  <si>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</si>
  <si>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</si>
  <si>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</si>
  <si>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</si>
  <si>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</si>
  <si>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</si>
  <si>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</si>
  <si>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</si>
  <si>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</si>
  <si>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</si>
  <si>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</si>
  <si>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</si>
  <si>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</si>
  <si>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</si>
  <si>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</si>
  <si>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</si>
  <si>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</si>
  <si>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</si>
  <si>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</si>
  <si>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</si>
  <si>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</si>
  <si>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</si>
  <si>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</si>
  <si>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</si>
  <si>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</si>
  <si>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</si>
  <si>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</si>
  <si>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</si>
  <si>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</si>
  <si>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</si>
  <si>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</si>
  <si>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</si>
  <si>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</si>
  <si>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</si>
  <si>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</si>
  <si>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</si>
  <si>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</si>
  <si>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</si>
  <si>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</si>
  <si>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</si>
  <si>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</si>
  <si>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</si>
  <si>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</si>
  <si>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</si>
  <si>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</si>
  <si>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</si>
  <si>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</si>
  <si>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</si>
  <si>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</si>
  <si>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</si>
  <si>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</si>
  <si>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</si>
  <si>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</si>
  <si>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</si>
  <si>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</si>
  <si>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</si>
  <si>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</si>
  <si>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</si>
  <si>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</si>
  <si>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</si>
  <si>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</si>
  <si>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</si>
  <si>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</si>
  <si>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</si>
  <si>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</si>
  <si>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</si>
  <si>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</si>
  <si>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</si>
  <si>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</si>
  <si>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</si>
  <si>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</si>
  <si>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</si>
  <si>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</si>
  <si>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</si>
  <si>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</si>
  <si>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</si>
  <si>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</si>
  <si>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</si>
  <si>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</si>
  <si>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</si>
  <si>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</si>
  <si>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</si>
  <si>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</si>
  <si>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</si>
  <si>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</si>
  <si>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</si>
  <si>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</si>
  <si>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</si>
  <si>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</si>
  <si>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</si>
  <si>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</si>
  <si>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</si>
  <si>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</si>
  <si>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</si>
  <si>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</si>
  <si>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</si>
  <si>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</si>
  <si>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</si>
  <si>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</si>
  <si>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</si>
  <si>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</si>
  <si>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</si>
  <si>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</si>
  <si>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</si>
  <si>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</si>
  <si>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</si>
  <si>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</si>
  <si>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</si>
  <si>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</si>
  <si>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</si>
  <si>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</si>
  <si>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</si>
  <si>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</si>
  <si>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</si>
  <si>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</si>
  <si>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</si>
  <si>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</si>
  <si>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</si>
  <si>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</si>
  <si>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</si>
  <si>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</si>
  <si>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</si>
  <si>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</si>
  <si>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</si>
  <si>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</si>
  <si>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</si>
  <si>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</si>
  <si>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</si>
  <si>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</si>
  <si>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</si>
  <si>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</si>
  <si>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</si>
  <si>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</si>
  <si>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</si>
  <si>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</si>
  <si>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</si>
  <si>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</si>
  <si>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</si>
  <si>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</si>
  <si>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</si>
  <si>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</si>
  <si>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</si>
  <si>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</si>
  <si>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</si>
  <si>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</si>
  <si>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</si>
  <si>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</si>
  <si>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</si>
  <si>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</si>
  <si>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</si>
  <si>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</si>
  <si>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</si>
  <si>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</si>
  <si>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</si>
  <si>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</si>
  <si>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</si>
  <si>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</si>
  <si>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</si>
  <si>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</si>
  <si>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</si>
  <si>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</si>
  <si>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</si>
  <si>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</si>
  <si>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</si>
  <si>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</si>
  <si>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</si>
  <si>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</si>
  <si>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</si>
  <si>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</si>
  <si>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</si>
  <si>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</si>
  <si>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</si>
  <si>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</si>
  <si>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</si>
  <si>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</si>
  <si>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</si>
  <si>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</si>
  <si>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</si>
  <si>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</si>
  <si>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</si>
  <si>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</si>
  <si>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</si>
  <si>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</si>
  <si>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</si>
  <si>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</si>
  <si>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</si>
  <si>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</si>
  <si>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</si>
  <si>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</si>
  <si>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</si>
  <si>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</si>
  <si>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</si>
  <si>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</si>
  <si>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</si>
  <si>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</si>
  <si>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</si>
  <si>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</si>
  <si>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</si>
  <si>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</si>
  <si>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</si>
  <si>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</si>
  <si>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</si>
  <si>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</si>
  <si>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</si>
  <si>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</si>
  <si>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</si>
  <si>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</si>
  <si>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</si>
  <si>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</si>
  <si>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</si>
  <si>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</si>
  <si>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</si>
  <si>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</si>
  <si>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</si>
  <si>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</si>
  <si>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</si>
  <si>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</si>
  <si>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</si>
  <si>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</si>
  <si>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</si>
  <si>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</si>
  <si>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</si>
  <si>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</si>
  <si>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</si>
  <si>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</si>
  <si>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</si>
  <si>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</si>
  <si>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</si>
  <si>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</si>
  <si>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</si>
  <si>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</si>
  <si>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</si>
  <si>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</si>
  <si>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</si>
  <si>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</si>
  <si>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</si>
  <si>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</si>
  <si>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</si>
  <si>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</si>
  <si>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</si>
  <si>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</si>
  <si>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</si>
  <si>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</si>
  <si>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</si>
  <si>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</si>
  <si>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</si>
  <si>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</si>
  <si>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</si>
  <si>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</si>
  <si>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</si>
  <si>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</si>
  <si>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</si>
  <si>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</si>
  <si>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</si>
  <si>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</si>
  <si>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</si>
  <si>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</si>
  <si>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</si>
  <si>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</si>
  <si>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</si>
  <si>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</si>
  <si>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</si>
  <si>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</si>
  <si>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</si>
  <si>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</si>
  <si>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</si>
  <si>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</si>
  <si>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</si>
  <si>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</si>
  <si>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</si>
  <si>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</si>
  <si>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</si>
  <si>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</si>
  <si>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</si>
  <si>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</si>
  <si>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</si>
  <si>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</si>
  <si>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</si>
  <si>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</si>
  <si>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</si>
  <si>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</si>
  <si>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</si>
  <si>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</si>
  <si>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</si>
  <si>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</si>
  <si>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</si>
  <si>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</si>
  <si>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</si>
  <si>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</si>
  <si>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</si>
  <si>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</si>
  <si>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</si>
  <si>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</si>
  <si>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</si>
  <si>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</si>
  <si>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</si>
  <si>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</si>
  <si>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</si>
  <si>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</si>
  <si>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</si>
  <si>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</si>
  <si>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</si>
  <si>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</si>
  <si>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</si>
  <si>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</si>
  <si>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</si>
  <si>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</si>
  <si>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</si>
  <si>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</si>
  <si>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</si>
  <si>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</si>
  <si>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</si>
  <si>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</si>
  <si>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</si>
  <si>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</si>
  <si>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</si>
  <si>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</si>
  <si>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</si>
  <si>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</si>
  <si>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</si>
  <si>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</si>
  <si>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</si>
  <si>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</si>
  <si>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</si>
  <si>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</si>
  <si>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</si>
  <si>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</si>
  <si>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</si>
  <si>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</si>
  <si>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</si>
  <si>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</si>
  <si>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</si>
  <si>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</si>
  <si>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</si>
  <si>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</si>
  <si>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</si>
  <si>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</si>
  <si>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</si>
  <si>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</si>
  <si>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</si>
  <si>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</si>
  <si>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</si>
  <si>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</si>
  <si>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</si>
  <si>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</si>
  <si>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</si>
  <si>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</si>
  <si>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</si>
  <si>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</si>
  <si>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</si>
  <si>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</si>
  <si>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</si>
  <si>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</si>
  <si>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</si>
  <si>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</si>
  <si>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</si>
  <si>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</si>
  <si>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</si>
  <si>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</si>
  <si>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</si>
  <si>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</si>
  <si>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</si>
  <si>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</si>
  <si>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</si>
  <si>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</si>
  <si>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</si>
  <si>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</si>
  <si>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</si>
  <si>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</si>
  <si>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</si>
  <si>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</si>
  <si>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</si>
  <si>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</si>
  <si>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</si>
  <si>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</si>
  <si>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</si>
  <si>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</si>
  <si>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</si>
  <si>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</si>
  <si>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</si>
  <si>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</si>
  <si>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</si>
  <si>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</si>
  <si>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</si>
  <si>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</si>
  <si>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</si>
  <si>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</si>
  <si>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</si>
  <si>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</si>
  <si>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</si>
  <si>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</si>
  <si>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</si>
  <si>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</si>
  <si>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</si>
  <si>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</si>
  <si>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</si>
  <si>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</si>
  <si>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</si>
  <si>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</si>
  <si>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</si>
  <si>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</si>
  <si>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</si>
  <si>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</si>
  <si>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</si>
  <si>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</si>
  <si>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</si>
  <si>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</si>
  <si>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</si>
  <si>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</si>
  <si>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</si>
  <si>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</si>
  <si>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</si>
  <si>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</si>
  <si>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</si>
  <si>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</si>
  <si>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</si>
  <si>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</si>
  <si>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</si>
  <si>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</si>
  <si>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</si>
  <si>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</si>
  <si>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</si>
  <si>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</si>
  <si>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</si>
  <si>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</si>
  <si>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</si>
  <si>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</si>
  <si>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</si>
  <si>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</si>
  <si>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</si>
  <si>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</si>
  <si>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</si>
  <si>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</si>
  <si>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</si>
  <si>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</si>
  <si>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</si>
  <si>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</si>
  <si>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</si>
  <si>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</si>
  <si>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</si>
  <si>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</si>
  <si>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</si>
  <si>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</si>
  <si>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</si>
  <si>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</si>
  <si>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</si>
  <si>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</si>
  <si>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</si>
  <si>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</si>
  <si>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</si>
  <si>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</si>
  <si>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</si>
  <si>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</si>
  <si>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</si>
  <si>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</si>
  <si>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</si>
  <si>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</si>
  <si>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</si>
  <si>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</si>
  <si>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</si>
  <si>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</si>
  <si>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</si>
  <si>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</si>
  <si>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</si>
  <si>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</si>
  <si>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</si>
  <si>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</si>
  <si>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</si>
  <si>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</si>
  <si>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</si>
  <si>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</si>
  <si>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</si>
  <si>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</si>
  <si>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</si>
  <si>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</si>
  <si>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</si>
  <si>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</si>
  <si>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</si>
  <si>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</si>
  <si>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</si>
  <si>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</si>
  <si>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</si>
  <si>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</si>
  <si>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</si>
  <si>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</si>
  <si>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</si>
  <si>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</si>
  <si>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</si>
  <si>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</si>
  <si>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</si>
  <si>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</si>
  <si>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</si>
  <si>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</si>
  <si>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</si>
  <si>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</si>
  <si>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</si>
  <si>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</si>
  <si>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</si>
  <si>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</si>
  <si>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</si>
  <si>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</si>
  <si>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</si>
  <si>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</si>
  <si>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</si>
  <si>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</si>
  <si>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</si>
  <si>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</si>
  <si>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</si>
  <si>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</si>
  <si>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</si>
  <si>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</si>
  <si>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</si>
  <si>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</si>
  <si>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</si>
  <si>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</si>
  <si>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</si>
  <si>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</si>
  <si>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</si>
  <si>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</si>
  <si>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</si>
  <si>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</si>
  <si>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</si>
  <si>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</si>
  <si>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</si>
  <si>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</si>
  <si>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</si>
  <si>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</si>
  <si>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</si>
  <si>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</si>
  <si>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</si>
  <si>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</si>
  <si>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</si>
  <si>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</si>
  <si>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</si>
  <si>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</si>
  <si>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</si>
  <si>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</si>
  <si>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</si>
  <si>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</si>
  <si>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</si>
  <si>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</si>
  <si>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</si>
  <si>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</si>
  <si>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</si>
  <si>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</si>
  <si>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</si>
  <si>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</si>
  <si>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</si>
  <si>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</si>
  <si>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</si>
  <si>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</si>
  <si>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</si>
  <si>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</si>
  <si>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</si>
  <si>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</si>
  <si>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</si>
  <si>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</si>
  <si>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</si>
  <si>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</si>
  <si>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</si>
  <si>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</si>
  <si>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</si>
  <si>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</si>
  <si>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</si>
  <si>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</si>
  <si>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</si>
  <si>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</si>
  <si>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</si>
  <si>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</si>
  <si>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</si>
  <si>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</si>
  <si>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</si>
  <si>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</si>
  <si>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</si>
  <si>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</si>
  <si>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</si>
  <si>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</si>
  <si>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</si>
  <si>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</si>
  <si>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</si>
  <si>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</si>
  <si>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</si>
  <si>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</si>
  <si>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</si>
  <si>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</si>
  <si>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</si>
  <si>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</si>
  <si>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</si>
  <si>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</si>
  <si>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</si>
  <si>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</si>
  <si>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</si>
  <si>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</si>
  <si>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</si>
  <si>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</si>
  <si>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</si>
  <si>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</si>
  <si>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</si>
  <si>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</si>
  <si>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</si>
  <si>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</si>
  <si>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</si>
  <si>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</si>
  <si>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</si>
  <si>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</si>
  <si>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</si>
  <si>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</si>
  <si>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</si>
  <si>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</si>
  <si>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</si>
  <si>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</si>
  <si>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</si>
  <si>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</si>
  <si>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</si>
  <si>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</si>
  <si>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</si>
  <si>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</si>
  <si>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</si>
  <si>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</si>
  <si>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</si>
  <si>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</si>
  <si>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</si>
  <si>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</si>
  <si>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</si>
  <si>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</si>
  <si>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</si>
  <si>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</si>
  <si>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</si>
  <si>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</si>
  <si>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</si>
  <si>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</si>
  <si>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</si>
  <si>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</si>
  <si>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</si>
  <si>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</si>
  <si>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</si>
  <si>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</si>
  <si>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</si>
  <si>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</si>
  <si>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</si>
  <si>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</si>
  <si>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</si>
  <si>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</si>
  <si>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</si>
  <si>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</si>
  <si>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</si>
  <si>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</si>
  <si>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</si>
  <si>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</si>
  <si>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</si>
  <si>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</si>
  <si>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</si>
  <si>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</si>
  <si>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</si>
  <si>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</si>
  <si>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</si>
  <si>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</si>
  <si>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</si>
  <si>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</si>
  <si>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</si>
  <si>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</si>
  <si>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</si>
  <si>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</si>
  <si>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</si>
  <si>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</si>
  <si>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</si>
  <si>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</si>
  <si>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</si>
  <si>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</si>
  <si>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</si>
  <si>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</si>
  <si>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</si>
  <si>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</si>
  <si>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</si>
  <si>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</si>
  <si>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</si>
  <si>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</si>
  <si>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</si>
  <si>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</si>
  <si>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</si>
  <si>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</si>
  <si>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</si>
  <si>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</si>
  <si>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</si>
  <si>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</si>
  <si>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</si>
  <si>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</si>
  <si>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</si>
  <si>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</si>
  <si>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</si>
  <si>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</si>
  <si>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</si>
  <si>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</si>
  <si>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</si>
  <si>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</si>
  <si>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</si>
  <si>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</si>
  <si>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</si>
  <si>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</si>
  <si>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</si>
  <si>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</si>
  <si>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</si>
  <si>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</si>
  <si>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</si>
  <si>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</si>
  <si>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</si>
  <si>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</si>
  <si>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</si>
  <si>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</si>
  <si>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</si>
  <si>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</si>
  <si>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</si>
  <si>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</si>
  <si>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</si>
  <si>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</si>
  <si>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</si>
  <si>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</si>
  <si>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</si>
  <si>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</si>
  <si>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</si>
  <si>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</si>
  <si>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</si>
  <si>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</si>
  <si>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</si>
  <si>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</si>
  <si>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</si>
  <si>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</si>
  <si>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</si>
  <si>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</si>
  <si>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</si>
  <si>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</si>
  <si>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</si>
  <si>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</si>
  <si>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</si>
  <si>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</si>
  <si>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</si>
  <si>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</si>
  <si>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</si>
  <si>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</si>
  <si>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</si>
  <si>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</si>
  <si>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</si>
  <si>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</si>
  <si>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</si>
  <si>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</si>
  <si>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</si>
  <si>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</si>
  <si>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</si>
  <si>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</si>
  <si>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</si>
  <si>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</si>
  <si>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</si>
  <si>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</si>
  <si>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</si>
  <si>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</si>
  <si>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</si>
  <si>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</si>
  <si>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</si>
  <si>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</si>
  <si>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</si>
  <si>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</si>
  <si>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</si>
  <si>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</si>
  <si>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</si>
  <si>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</si>
  <si>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</si>
  <si>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</si>
  <si>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</si>
  <si>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</si>
  <si>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</si>
  <si>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</si>
  <si>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</si>
  <si>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</si>
  <si>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</si>
  <si>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</si>
  <si>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</si>
  <si>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</si>
  <si>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</si>
  <si>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</si>
  <si>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</si>
  <si>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</si>
  <si>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</si>
  <si>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</si>
  <si>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</si>
  <si>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</si>
  <si>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</si>
  <si>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</si>
  <si>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</si>
  <si>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</si>
  <si>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</si>
  <si>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</si>
  <si>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</si>
  <si>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</si>
  <si>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</si>
  <si>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</si>
  <si>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</si>
  <si>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</si>
  <si>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</si>
  <si>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</si>
  <si>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</si>
  <si>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</si>
  <si>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</si>
  <si>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</si>
  <si>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</si>
  <si>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</si>
  <si>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</si>
  <si>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</si>
  <si>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</si>
  <si>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</si>
  <si>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</si>
  <si>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</si>
  <si>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</si>
  <si>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</si>
  <si>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</si>
  <si>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</si>
  <si>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</si>
  <si>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</si>
  <si>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</si>
  <si>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</si>
  <si>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</si>
  <si>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</si>
  <si>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</si>
  <si>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</si>
  <si>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</si>
  <si>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</si>
  <si>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</si>
  <si>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</si>
  <si>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</si>
  <si>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</si>
  <si>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</si>
  <si>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</si>
  <si>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</si>
  <si>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</si>
  <si>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</si>
  <si>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</si>
  <si>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</si>
  <si>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</si>
  <si>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</si>
  <si>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</si>
  <si>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</si>
  <si>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</si>
  <si>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</si>
  <si>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</si>
  <si>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</si>
  <si>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</si>
  <si>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</si>
  <si>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</si>
  <si>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</si>
  <si>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</si>
  <si>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</si>
  <si>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</si>
  <si>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</si>
  <si>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</si>
  <si>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</si>
  <si>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</si>
  <si>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</si>
  <si>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</si>
  <si>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</si>
  <si>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</si>
  <si>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</si>
  <si>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</si>
  <si>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</si>
  <si>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</si>
  <si>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</si>
  <si>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</si>
  <si>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</si>
  <si>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</si>
  <si>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</si>
  <si>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</si>
  <si>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</si>
  <si>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</si>
  <si>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</si>
  <si>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</si>
  <si>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</si>
  <si>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</si>
  <si>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</si>
  <si>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</si>
  <si>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</si>
  <si>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</si>
  <si>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</si>
  <si>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</si>
  <si>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</si>
  <si>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</si>
  <si>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</si>
  <si>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</si>
  <si>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</si>
  <si>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</si>
  <si>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</si>
  <si>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</si>
  <si>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</si>
  <si>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</si>
  <si>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</si>
  <si>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</si>
  <si>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</si>
  <si>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</si>
  <si>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</si>
  <si>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</si>
  <si>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</si>
  <si>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</si>
  <si>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</si>
  <si>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</si>
  <si>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</si>
  <si>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</si>
  <si>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</si>
  <si>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</si>
  <si>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</si>
  <si>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</si>
  <si>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</si>
  <si>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</si>
  <si>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</si>
  <si>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</si>
  <si>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</si>
  <si>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</si>
  <si>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</si>
  <si>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</si>
  <si>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</si>
  <si>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</si>
  <si>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</si>
  <si>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</si>
  <si>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</si>
  <si>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</si>
  <si>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</si>
  <si>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</si>
  <si>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</si>
  <si>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</si>
  <si>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</si>
  <si>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</si>
  <si>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</si>
  <si>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</si>
  <si>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</si>
  <si>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</si>
  <si>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</si>
  <si>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</si>
  <si>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</si>
  <si>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</si>
  <si>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</si>
  <si>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</si>
  <si>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</si>
  <si>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</si>
  <si>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</si>
  <si>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</si>
  <si>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</si>
  <si>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</si>
  <si>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</si>
  <si>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</si>
  <si>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</si>
  <si>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</si>
  <si>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</si>
  <si>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</si>
  <si>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</si>
  <si>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</si>
  <si>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</si>
  <si>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</si>
  <si>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</si>
  <si>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</si>
  <si>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</si>
  <si>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</si>
  <si>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</si>
  <si>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</si>
  <si>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</si>
  <si>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</si>
  <si>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</si>
  <si>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</si>
  <si>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</si>
  <si>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</si>
  <si>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</si>
  <si>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</si>
  <si>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</si>
  <si>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</si>
  <si>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</si>
  <si>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</si>
  <si>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</si>
  <si>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</si>
  <si>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</si>
  <si>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</si>
  <si>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</si>
  <si>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</si>
  <si>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</si>
  <si>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</si>
  <si>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</si>
  <si>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</si>
  <si>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</si>
  <si>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</si>
  <si>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</si>
  <si>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</si>
  <si>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</si>
  <si>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</si>
  <si>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</si>
  <si>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</si>
  <si>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</si>
  <si>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</si>
  <si>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</si>
  <si>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</si>
  <si>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</si>
  <si>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</si>
  <si>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</si>
  <si>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</si>
  <si>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</si>
  <si>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</si>
  <si>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</si>
  <si>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</si>
  <si>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</si>
  <si>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</si>
  <si>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</si>
  <si>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</si>
  <si>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</si>
  <si>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</si>
  <si>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</si>
  <si>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</si>
  <si>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</si>
  <si>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</si>
  <si>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</si>
  <si>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</si>
  <si>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</si>
  <si>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</si>
  <si>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</si>
  <si>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</si>
  <si>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</si>
  <si>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</si>
  <si>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</si>
  <si>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</si>
  <si>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</si>
  <si>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</si>
  <si>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</si>
  <si>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</si>
  <si>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</si>
  <si>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</si>
  <si>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</si>
  <si>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</si>
  <si>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</si>
  <si>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</si>
  <si>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</si>
  <si>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</si>
  <si>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</si>
  <si>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</si>
  <si>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</si>
  <si>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</si>
  <si>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</si>
  <si>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</si>
  <si>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</si>
  <si>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</si>
  <si>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</si>
  <si>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</si>
  <si>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</si>
  <si>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</si>
  <si>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</si>
  <si>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</si>
  <si>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</si>
  <si>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</si>
  <si>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</si>
  <si>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</si>
  <si>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</si>
  <si>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</si>
  <si>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</si>
  <si>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</si>
  <si>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</si>
  <si>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</si>
  <si>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</si>
  <si>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</si>
  <si>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</si>
  <si>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</si>
  <si>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</si>
  <si>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</si>
  <si>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</si>
  <si>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</si>
  <si>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</si>
  <si>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</si>
  <si>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</si>
  <si>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</si>
  <si>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</si>
  <si>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</si>
  <si>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</si>
  <si>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</si>
  <si>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</si>
  <si>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</si>
  <si>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</si>
  <si>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</si>
  <si>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</si>
  <si>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</si>
  <si>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</si>
  <si>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</si>
  <si>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</si>
  <si>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</si>
  <si>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</si>
  <si>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</si>
  <si>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</si>
  <si>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</si>
  <si>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</si>
  <si>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</si>
  <si>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</si>
  <si>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</si>
  <si>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</si>
  <si>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</si>
  <si>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</si>
  <si>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</si>
  <si>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</si>
  <si>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</si>
  <si>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</si>
  <si>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</si>
  <si>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</si>
  <si>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</si>
  <si>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</si>
  <si>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</si>
  <si>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</si>
  <si>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</si>
  <si>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</si>
  <si>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</si>
  <si>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</si>
  <si>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</si>
  <si>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</si>
  <si>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</si>
  <si>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</si>
  <si>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</si>
  <si>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</si>
  <si>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</si>
  <si>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</si>
  <si>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</si>
  <si>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</si>
  <si>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</si>
  <si>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</si>
  <si>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</si>
  <si>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</si>
  <si>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</si>
  <si>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</si>
  <si>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</si>
  <si>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</si>
  <si>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</si>
  <si>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</si>
  <si>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</si>
  <si>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</si>
  <si>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</si>
  <si>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</si>
  <si>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</si>
  <si>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</si>
  <si>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</si>
  <si>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</si>
  <si>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</si>
  <si>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</si>
  <si>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</si>
  <si>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</si>
  <si>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</si>
  <si>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</si>
  <si>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</si>
  <si>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</si>
  <si>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</si>
  <si>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</si>
  <si>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</si>
  <si>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</si>
  <si>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</si>
  <si>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</si>
  <si>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</si>
  <si>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</si>
  <si>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</si>
  <si>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</si>
  <si>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</si>
  <si>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</si>
  <si>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</si>
  <si>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</si>
  <si>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</si>
  <si>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</si>
  <si>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</si>
  <si>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</si>
  <si>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</si>
  <si>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</si>
  <si>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</si>
  <si>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</si>
  <si>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</si>
  <si>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</si>
  <si>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</si>
  <si>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</si>
  <si>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</si>
  <si>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</si>
  <si>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</si>
  <si>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</si>
  <si>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</si>
  <si>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</si>
  <si>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</si>
  <si>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</si>
  <si>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</si>
  <si>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</si>
  <si>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</si>
  <si>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</si>
  <si>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</si>
  <si>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</si>
  <si>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</si>
  <si>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</si>
  <si>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</si>
  <si>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</si>
  <si>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</si>
  <si>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</si>
  <si>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</si>
  <si>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</si>
  <si>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</si>
  <si>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</si>
  <si>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</si>
  <si>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</si>
  <si>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</si>
  <si>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</si>
  <si>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</si>
  <si>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</si>
  <si>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</si>
  <si>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</si>
  <si>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</si>
  <si>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</si>
  <si>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</si>
  <si>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</si>
  <si>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</si>
  <si>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</si>
  <si>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</si>
  <si>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</si>
  <si>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</si>
  <si>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</si>
  <si>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</si>
  <si>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</si>
  <si>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</si>
  <si>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</si>
  <si>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</si>
  <si>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</si>
  <si>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</si>
  <si>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</si>
  <si>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</si>
  <si>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</si>
  <si>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</si>
  <si>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</si>
  <si>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</si>
  <si>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</si>
  <si>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</si>
  <si>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</si>
  <si>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</si>
  <si>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</si>
  <si>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</si>
  <si>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</si>
  <si>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</si>
  <si>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</si>
  <si>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</si>
  <si>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</si>
  <si>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</si>
  <si>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</si>
  <si>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</si>
  <si>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</si>
  <si>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</si>
  <si>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</si>
  <si>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</si>
  <si>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</si>
  <si>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</si>
  <si>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</si>
  <si>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</si>
  <si>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</si>
  <si>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</si>
  <si>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</si>
  <si>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</si>
  <si>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</si>
  <si>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</si>
  <si>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</si>
  <si>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</si>
  <si>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</si>
  <si>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</si>
  <si>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</si>
  <si>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</si>
  <si>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</si>
  <si>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</si>
  <si>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</si>
  <si>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</si>
  <si>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</si>
  <si>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</si>
  <si>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</si>
  <si>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</si>
  <si>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</si>
  <si>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</si>
  <si>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</si>
  <si>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</si>
  <si>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</si>
  <si>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</si>
  <si>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</si>
  <si>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</si>
  <si>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</si>
  <si>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</si>
  <si>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</si>
  <si>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</si>
  <si>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</si>
  <si>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</si>
  <si>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</si>
  <si>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</si>
  <si>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</si>
  <si>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</si>
  <si>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</si>
  <si>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</si>
  <si>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</si>
  <si>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</si>
  <si>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</si>
  <si>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</si>
  <si>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</si>
  <si>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</si>
  <si>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</si>
  <si>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</si>
  <si>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</si>
  <si>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</si>
  <si>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</si>
  <si>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</si>
  <si>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</si>
  <si>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</si>
  <si>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</si>
  <si>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</si>
  <si>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</si>
  <si>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</si>
  <si>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</si>
  <si>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</si>
  <si>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</si>
  <si>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</si>
  <si>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</si>
  <si>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</si>
  <si>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</si>
  <si>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</si>
  <si>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</si>
  <si>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</si>
  <si>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</si>
  <si>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</si>
  <si>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</si>
  <si>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</si>
  <si>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</si>
  <si>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</si>
  <si>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</si>
  <si>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</si>
  <si>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</si>
  <si>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</si>
  <si>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</si>
  <si>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</si>
  <si>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</si>
  <si>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</si>
  <si>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</si>
  <si>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</si>
  <si>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</si>
  <si>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</si>
  <si>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</si>
  <si>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</si>
  <si>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</si>
  <si>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</si>
  <si>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</si>
  <si>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</si>
  <si>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</si>
  <si>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</si>
  <si>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</si>
  <si>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</si>
  <si>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</si>
  <si>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</si>
  <si>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</si>
  <si>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</si>
  <si>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</si>
  <si>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</si>
  <si>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</si>
  <si>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</si>
  <si>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</si>
  <si>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</si>
  <si>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</si>
  <si>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</si>
  <si>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</si>
  <si>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</si>
  <si>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</si>
  <si>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</si>
  <si>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</si>
  <si>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</si>
  <si>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</si>
  <si>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</si>
  <si>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</si>
  <si>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</si>
  <si>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</si>
  <si>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</si>
  <si>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</si>
  <si>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</si>
  <si>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</si>
  <si>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</si>
  <si>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</si>
  <si>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</si>
  <si>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</si>
  <si>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</si>
  <si>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</si>
  <si>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</si>
  <si>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</si>
  <si>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</si>
  <si>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</si>
  <si>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</si>
  <si>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</si>
  <si>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</si>
  <si>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</si>
  <si>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</si>
  <si>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</si>
  <si>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</si>
  <si>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</si>
  <si>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</si>
  <si>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</si>
  <si>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</si>
  <si>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</si>
  <si>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</si>
  <si>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</si>
  <si>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</si>
  <si>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</si>
  <si>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</si>
  <si>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</si>
  <si>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</si>
  <si>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</si>
  <si>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</si>
  <si>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</si>
  <si>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</si>
  <si>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</si>
  <si>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</si>
  <si>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</si>
  <si>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</si>
  <si>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</si>
  <si>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</si>
  <si>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</si>
  <si>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</si>
  <si>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</si>
  <si>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</si>
  <si>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</si>
  <si>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</si>
  <si>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</si>
  <si>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</si>
  <si>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</si>
  <si>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</si>
  <si>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</si>
  <si>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</si>
  <si>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</si>
  <si>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</si>
  <si>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</si>
  <si>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</si>
  <si>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</si>
  <si>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</si>
  <si>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</si>
  <si>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</si>
  <si>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</si>
  <si>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</si>
  <si>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</si>
  <si>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</si>
  <si>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</si>
  <si>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</si>
  <si>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</si>
  <si>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</si>
  <si>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</si>
  <si>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</si>
  <si>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</si>
  <si>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</si>
  <si>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</si>
  <si>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</si>
  <si>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</si>
  <si>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</si>
  <si>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</si>
  <si>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</si>
  <si>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</si>
  <si>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</si>
  <si>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</si>
  <si>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</si>
  <si>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</si>
  <si>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</si>
  <si>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</si>
  <si>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</si>
  <si>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</si>
  <si>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</si>
  <si>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</si>
  <si>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</si>
  <si>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</si>
  <si>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</si>
  <si>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</si>
  <si>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</si>
  <si>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</si>
  <si>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</si>
  <si>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</si>
  <si>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</si>
  <si>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</si>
  <si>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</si>
  <si>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</si>
  <si>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</si>
  <si>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</si>
  <si>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</si>
  <si>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</si>
  <si>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</si>
  <si>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</si>
  <si>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</si>
  <si>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</si>
  <si>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</si>
  <si>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</si>
  <si>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</si>
  <si>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</si>
  <si>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</si>
  <si>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</si>
  <si>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</si>
  <si>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</si>
  <si>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</si>
  <si>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</si>
  <si>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</si>
  <si>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</si>
  <si>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</si>
  <si>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</si>
  <si>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</si>
  <si>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</si>
  <si>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</si>
  <si>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</si>
  <si>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</si>
  <si>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</si>
  <si>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</si>
  <si>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</si>
  <si>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</si>
  <si>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</si>
  <si>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</si>
  <si>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</si>
  <si>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</si>
  <si>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</si>
  <si>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</si>
  <si>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</si>
  <si>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</si>
  <si>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</si>
  <si>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</si>
  <si>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</si>
  <si>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</si>
  <si>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</si>
  <si>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</si>
  <si>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</si>
  <si>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</si>
  <si>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</si>
  <si>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</si>
  <si>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</si>
  <si>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</si>
  <si>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</si>
  <si>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</si>
  <si>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</si>
  <si>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</si>
  <si>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</si>
  <si>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</si>
  <si>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</si>
  <si>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</si>
  <si>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</si>
  <si>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</si>
  <si>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</si>
  <si>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</si>
  <si>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</si>
  <si>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</si>
  <si>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</si>
  <si>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</si>
  <si>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</si>
  <si>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</si>
  <si>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</si>
  <si>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</si>
  <si>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</si>
  <si>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</si>
  <si>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</si>
  <si>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</si>
  <si>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</si>
  <si>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</si>
  <si>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</si>
  <si>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</si>
  <si>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</si>
  <si>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</si>
  <si>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</si>
  <si>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</si>
  <si>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</si>
  <si>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</si>
  <si>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</si>
  <si>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</si>
  <si>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</si>
  <si>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</si>
  <si>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</si>
  <si>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</si>
  <si>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</si>
  <si>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</si>
  <si>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</si>
  <si>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</si>
  <si>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</si>
  <si>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</si>
  <si>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</si>
  <si>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</si>
  <si>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</si>
  <si>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</si>
  <si>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</si>
  <si>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</si>
  <si>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</si>
  <si>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</si>
  <si>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</si>
  <si>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</si>
  <si>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</si>
  <si>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</si>
  <si>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</si>
  <si>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</si>
  <si>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</si>
  <si>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</si>
  <si>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</si>
  <si>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</si>
  <si>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</si>
  <si>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</si>
  <si>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</si>
  <si>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</si>
  <si>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</si>
  <si>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</si>
  <si>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</si>
  <si>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</si>
  <si>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</si>
  <si>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</si>
  <si>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</si>
  <si>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</si>
  <si>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</si>
  <si>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</si>
  <si>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</si>
  <si>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</si>
  <si>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</si>
  <si>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</si>
  <si>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</si>
  <si>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</si>
  <si>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</si>
  <si>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</si>
  <si>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</si>
  <si>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</si>
  <si>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</si>
  <si>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</si>
  <si>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</si>
  <si>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</si>
  <si>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</si>
  <si>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</si>
  <si>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</si>
  <si>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</si>
  <si>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</si>
  <si>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</si>
  <si>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</si>
  <si>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</si>
  <si>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</si>
  <si>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</si>
  <si>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</si>
  <si>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</si>
  <si>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</si>
  <si>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</si>
  <si>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</si>
  <si>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</si>
  <si>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</si>
  <si>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</si>
  <si>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</si>
  <si>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</si>
  <si>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</si>
  <si>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</si>
  <si>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</si>
  <si>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</si>
  <si>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</si>
  <si>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</si>
  <si>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</si>
  <si>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</si>
  <si>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</si>
  <si>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</si>
  <si>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</si>
  <si>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</si>
  <si>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</si>
  <si>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</si>
  <si>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</si>
  <si>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</si>
  <si>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</si>
  <si>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</si>
  <si>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</si>
  <si>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</si>
  <si>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</si>
  <si>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</si>
  <si>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</si>
  <si>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</si>
  <si>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</si>
  <si>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</si>
  <si>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</si>
  <si>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</si>
  <si>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</si>
  <si>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</si>
  <si>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</si>
  <si>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</si>
  <si>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</si>
  <si>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</si>
  <si>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</si>
  <si>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</si>
  <si>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</si>
  <si>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</si>
  <si>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</si>
  <si>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</si>
  <si>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</si>
  <si>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</si>
  <si>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</si>
  <si>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</si>
  <si>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</si>
  <si>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</si>
  <si>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</si>
  <si>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</si>
  <si>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</si>
  <si>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</si>
  <si>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</si>
  <si>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</si>
  <si>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</si>
  <si>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</si>
  <si>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</si>
  <si>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</si>
  <si>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</si>
  <si>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</si>
  <si>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</si>
  <si>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</si>
  <si>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</si>
  <si>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</si>
  <si>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</si>
  <si>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</si>
  <si>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</si>
  <si>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</si>
  <si>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</si>
  <si>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</si>
  <si>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</si>
  <si>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</si>
  <si>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</si>
  <si>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</si>
  <si>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</si>
  <si>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</si>
  <si>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</si>
  <si>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</si>
  <si>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</si>
  <si>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</si>
  <si>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</si>
  <si>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</si>
  <si>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</si>
  <si>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</si>
  <si>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</si>
  <si>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</si>
  <si>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</si>
  <si>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</si>
  <si>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</si>
  <si>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</si>
  <si>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</si>
  <si>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</si>
  <si>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</si>
  <si>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</si>
  <si>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</si>
  <si>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</si>
  <si>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</si>
  <si>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</si>
  <si>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</si>
  <si>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</si>
  <si>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</si>
  <si>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</si>
  <si>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</si>
  <si>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</si>
  <si>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</si>
  <si>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</si>
  <si>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</si>
  <si>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</si>
  <si>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</si>
  <si>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</si>
  <si>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</si>
  <si>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</si>
  <si>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</si>
  <si>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</si>
  <si>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</si>
  <si>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</si>
  <si>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</si>
  <si>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</si>
  <si>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</si>
  <si>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</si>
  <si>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</si>
  <si>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</si>
  <si>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</si>
  <si>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</si>
  <si>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</si>
  <si>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</si>
  <si>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</si>
  <si>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</si>
  <si>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</si>
  <si>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</si>
  <si>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</si>
  <si>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</si>
  <si>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</si>
  <si>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</si>
  <si>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</si>
  <si>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</si>
  <si>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</si>
  <si>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</si>
  <si>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</si>
  <si>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</si>
  <si>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</si>
  <si>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</si>
  <si>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</si>
  <si>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</si>
  <si>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</si>
  <si>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</si>
  <si>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</si>
  <si>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</si>
  <si>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</si>
  <si>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</si>
  <si>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</si>
  <si>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</si>
  <si>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</si>
  <si>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</si>
  <si>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</si>
  <si>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</si>
  <si>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</si>
  <si>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</si>
  <si>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</si>
  <si>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</si>
  <si>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</si>
  <si>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</si>
  <si>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</si>
  <si>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</si>
  <si>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</si>
  <si>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</si>
  <si>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</si>
  <si>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</si>
  <si>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</si>
  <si>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</si>
  <si>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</si>
  <si>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</si>
  <si>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</si>
  <si>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</si>
  <si>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</si>
  <si>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</si>
  <si>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</si>
  <si>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</si>
  <si>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</si>
  <si>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</si>
  <si>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</si>
  <si>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</si>
  <si>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</si>
  <si>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</si>
  <si>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</si>
  <si>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</si>
  <si>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</si>
  <si>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</si>
  <si>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</si>
  <si>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</si>
  <si>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</si>
  <si>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</si>
  <si>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</si>
  <si>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</si>
  <si>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</si>
  <si>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</si>
  <si>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</si>
  <si>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</si>
  <si>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</si>
  <si>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</si>
  <si>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</si>
  <si>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</si>
  <si>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</si>
  <si>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</si>
  <si>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</si>
  <si>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</si>
  <si>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</si>
  <si>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</si>
  <si>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</si>
  <si>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</si>
  <si>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</si>
  <si>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</si>
  <si>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</si>
  <si>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</si>
  <si>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</si>
  <si>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</si>
  <si>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</si>
  <si>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</si>
  <si>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</si>
  <si>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</si>
  <si>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</si>
  <si>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</si>
  <si>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</si>
  <si>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</si>
  <si>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</si>
  <si>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</si>
  <si>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</si>
  <si>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</si>
  <si>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</si>
  <si>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</si>
  <si>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</si>
  <si>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</si>
  <si>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</si>
  <si>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</si>
  <si>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</si>
  <si>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</si>
  <si>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</si>
  <si>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</si>
  <si>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</si>
  <si>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</si>
  <si>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</si>
  <si>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</si>
  <si>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</si>
  <si>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</si>
  <si>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</si>
  <si>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</si>
  <si>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</si>
  <si>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</si>
  <si>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</si>
  <si>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</si>
  <si>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</si>
  <si>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</si>
  <si>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</si>
  <si>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</si>
  <si>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</si>
  <si>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</si>
  <si>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</si>
  <si>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</si>
  <si>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</si>
  <si>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</si>
  <si>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</si>
  <si>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</si>
  <si>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</si>
  <si>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</si>
  <si>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</si>
  <si>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</si>
  <si>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</si>
  <si>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</si>
  <si>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</si>
  <si>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</si>
  <si>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</si>
  <si>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</si>
  <si>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</si>
  <si>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</si>
  <si>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</si>
  <si>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</si>
  <si>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</si>
  <si>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</si>
  <si>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</si>
  <si>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</si>
  <si>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</si>
  <si>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</si>
  <si>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</si>
  <si>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</si>
  <si>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</si>
  <si>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</si>
  <si>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</si>
  <si>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</si>
  <si>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</si>
  <si>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</si>
  <si>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</si>
  <si>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</si>
  <si>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</si>
  <si>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</si>
  <si>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</si>
  <si>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</si>
  <si>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</si>
  <si>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</si>
  <si>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</si>
  <si>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</si>
  <si>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</si>
  <si>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</si>
  <si>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</si>
  <si>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</si>
  <si>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</si>
  <si>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</si>
  <si>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</si>
  <si>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</si>
  <si>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</si>
  <si>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</si>
  <si>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</si>
  <si>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</si>
  <si>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</si>
  <si>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</si>
  <si>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</si>
  <si>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</si>
  <si>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</si>
  <si>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</si>
  <si>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</si>
  <si>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</si>
  <si>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</si>
  <si>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</si>
  <si>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</si>
  <si>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</si>
  <si>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</si>
  <si>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</si>
  <si>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</si>
  <si>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</si>
  <si>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</si>
  <si>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</si>
  <si>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</si>
  <si>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</si>
  <si>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</si>
  <si>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</si>
  <si>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</si>
  <si>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</si>
  <si>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</si>
  <si>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</si>
  <si>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</si>
  <si>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</si>
  <si>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</si>
  <si>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</si>
  <si>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</si>
  <si>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</si>
  <si>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</si>
  <si>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</si>
  <si>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</si>
  <si>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</si>
  <si>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</si>
  <si>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</si>
  <si>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</si>
  <si>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</si>
  <si>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</si>
  <si>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</si>
  <si>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</si>
  <si>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</si>
  <si>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</si>
  <si>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</si>
  <si>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</si>
  <si>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</si>
  <si>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</si>
  <si>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</si>
  <si>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</si>
  <si>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</si>
  <si>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</si>
  <si>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</si>
  <si>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</si>
  <si>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</si>
  <si>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</si>
  <si>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</si>
  <si>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</si>
  <si>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</si>
  <si>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</si>
  <si>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</si>
  <si>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</si>
  <si>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</si>
  <si>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</si>
  <si>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</si>
  <si>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</si>
  <si>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</si>
  <si>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</si>
  <si>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</si>
  <si>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</si>
  <si>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</si>
  <si>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</si>
  <si>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</si>
  <si>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</si>
  <si>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</si>
  <si>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</si>
  <si>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</si>
  <si>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</si>
  <si>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</si>
  <si>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</si>
  <si>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</si>
  <si>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</si>
  <si>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</si>
  <si>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</si>
  <si>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</si>
  <si>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</si>
  <si>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</si>
  <si>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</si>
  <si>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</si>
  <si>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</si>
  <si>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</si>
  <si>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</si>
  <si>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</si>
  <si>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</si>
  <si>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</si>
  <si>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</si>
  <si>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</si>
  <si>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</si>
  <si>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</si>
  <si>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</si>
  <si>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</si>
  <si>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</si>
  <si>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</si>
  <si>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</si>
  <si>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</si>
  <si>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</si>
  <si>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</si>
  <si>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</si>
  <si>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</si>
  <si>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</si>
  <si>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</si>
  <si>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</si>
  <si>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</si>
  <si>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</si>
  <si>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</si>
  <si>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</si>
  <si>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</si>
  <si>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</si>
  <si>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</si>
  <si>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</si>
  <si>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</si>
  <si>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</si>
  <si>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</si>
  <si>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</si>
  <si>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</si>
  <si>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</si>
  <si>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</si>
  <si>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</si>
  <si>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</si>
  <si>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</si>
  <si>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</si>
  <si>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</si>
  <si>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</si>
  <si>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</si>
  <si>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</si>
  <si>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</si>
  <si>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</si>
  <si>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</si>
  <si>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</si>
  <si>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</si>
  <si>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</si>
  <si>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</si>
  <si>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</si>
  <si>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</si>
  <si>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</si>
  <si>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</si>
  <si>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</si>
  <si>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</si>
  <si>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</si>
  <si>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</si>
  <si>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</si>
  <si>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</si>
  <si>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</si>
  <si>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</si>
  <si>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</si>
  <si>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</si>
  <si>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</si>
  <si>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</si>
  <si>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</si>
  <si>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</si>
  <si>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</si>
  <si>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</si>
  <si>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</si>
  <si>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</si>
  <si>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</si>
  <si>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</si>
  <si>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</si>
  <si>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</si>
  <si>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</si>
  <si>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</si>
  <si>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</si>
  <si>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</si>
  <si>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</si>
  <si>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</si>
  <si>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</si>
  <si>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</si>
  <si>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</si>
  <si>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</si>
  <si>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</si>
  <si>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</si>
  <si>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</si>
  <si>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</si>
  <si>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</si>
  <si>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</si>
  <si>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</si>
  <si>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</si>
  <si>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</si>
  <si>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</si>
  <si>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</si>
  <si>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</si>
  <si>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</si>
  <si>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</si>
  <si>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</si>
  <si>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</si>
  <si>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</si>
  <si>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</si>
  <si>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</si>
  <si>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</si>
  <si>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</si>
  <si>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</si>
  <si>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</si>
  <si>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</si>
  <si>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</si>
  <si>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</si>
  <si>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</si>
  <si>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</si>
  <si>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</si>
  <si>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</si>
  <si>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</si>
  <si>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</si>
  <si>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</si>
  <si>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</si>
  <si>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</si>
  <si>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</si>
  <si>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</si>
  <si>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</si>
  <si>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</si>
  <si>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</si>
  <si>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</si>
  <si>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</si>
  <si>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</si>
  <si>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</si>
  <si>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</si>
  <si>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</si>
  <si>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</si>
  <si>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</si>
  <si>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</si>
  <si>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</si>
  <si>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</si>
  <si>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</si>
  <si>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</si>
  <si>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</si>
  <si>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</si>
  <si>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</si>
  <si>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</si>
  <si>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</si>
  <si>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</si>
  <si>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</si>
  <si>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</si>
  <si>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</si>
  <si>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</si>
  <si>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</si>
  <si>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</si>
  <si>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</si>
  <si>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</si>
  <si>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</si>
  <si>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</si>
  <si>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</si>
  <si>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</si>
  <si>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</si>
  <si>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</si>
  <si>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</si>
  <si>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</si>
  <si>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</si>
  <si>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</si>
  <si>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</si>
  <si>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</si>
  <si>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</si>
  <si>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</si>
  <si>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</si>
  <si>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</si>
  <si>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</si>
  <si>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</si>
  <si>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</si>
  <si>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</si>
  <si>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</si>
  <si>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</si>
  <si>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</si>
  <si>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</si>
  <si>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</si>
  <si>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</si>
  <si>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</si>
  <si>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</si>
  <si>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</si>
  <si>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</si>
  <si>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</si>
  <si>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</si>
  <si>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</si>
  <si>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</si>
  <si>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</si>
  <si>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</si>
  <si>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</si>
  <si>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</si>
  <si>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</si>
  <si>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</si>
  <si>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</si>
  <si>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</si>
  <si>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</si>
  <si>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</si>
  <si>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</si>
  <si>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</si>
  <si>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</si>
  <si>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</si>
  <si>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</si>
  <si>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</si>
  <si>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</si>
  <si>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</si>
  <si>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</si>
  <si>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</si>
  <si>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</si>
  <si>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</si>
  <si>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</si>
  <si>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</si>
  <si>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</si>
  <si>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</si>
  <si>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</si>
  <si>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</si>
  <si>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</si>
  <si>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</si>
  <si>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</si>
  <si>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</si>
  <si>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</si>
  <si>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</si>
  <si>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</si>
  <si>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</si>
  <si>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</si>
  <si>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</si>
  <si>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</si>
  <si>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</si>
  <si>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</si>
  <si>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</si>
  <si>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</si>
  <si>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</si>
  <si>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</si>
  <si>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</si>
  <si>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</si>
  <si>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</si>
  <si>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</si>
  <si>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</si>
  <si>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</si>
  <si>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</si>
  <si>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</si>
  <si>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</si>
  <si>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</si>
  <si>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</si>
  <si>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</si>
  <si>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</si>
  <si>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</si>
  <si>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</si>
  <si>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</si>
  <si>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</si>
  <si>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</si>
  <si>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</si>
  <si>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</si>
  <si>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</si>
  <si>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</si>
  <si>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</si>
  <si>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</si>
  <si>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</si>
  <si>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</si>
  <si>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</si>
  <si>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</si>
  <si>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</si>
  <si>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</si>
  <si>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</si>
  <si>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</si>
  <si>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</si>
  <si>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</si>
  <si>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</si>
  <si>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</si>
  <si>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</si>
  <si>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</si>
  <si>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</si>
  <si>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</si>
  <si>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</si>
  <si>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</si>
  <si>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</si>
  <si>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</si>
  <si>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</si>
  <si>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</si>
  <si>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</si>
  <si>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</si>
  <si>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</si>
  <si>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</si>
  <si>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</si>
  <si>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</si>
  <si>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</si>
  <si>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</si>
  <si>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</si>
  <si>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</si>
  <si>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</si>
  <si>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</si>
  <si>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</si>
  <si>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</si>
  <si>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</si>
  <si>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</si>
  <si>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</si>
  <si>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</si>
  <si>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</si>
  <si>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</si>
  <si>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</si>
  <si>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</si>
  <si>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</si>
  <si>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</si>
  <si>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</si>
  <si>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</si>
  <si>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</si>
  <si>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</si>
  <si>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</si>
  <si>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</si>
  <si>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</si>
  <si>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</si>
  <si>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</si>
  <si>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</si>
  <si>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</si>
  <si>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</si>
  <si>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</si>
  <si>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</si>
  <si>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</si>
  <si>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</si>
  <si>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</si>
  <si>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</si>
  <si>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</si>
  <si>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</si>
  <si>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</si>
  <si>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</si>
  <si>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</si>
  <si>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</si>
  <si>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</si>
  <si>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</si>
  <si>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</si>
  <si>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</si>
  <si>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</si>
  <si>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</si>
  <si>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</si>
  <si>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</si>
  <si>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</si>
  <si>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</si>
  <si>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</si>
  <si>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</si>
  <si>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</si>
  <si>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</si>
  <si>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</si>
  <si>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</si>
  <si>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</si>
  <si>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</si>
  <si>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</si>
  <si>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</si>
  <si>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</si>
  <si>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</si>
  <si>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</si>
  <si>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</si>
  <si>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</si>
  <si>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</si>
  <si>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</si>
  <si>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</si>
  <si>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</si>
  <si>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</si>
  <si>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</si>
  <si>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</si>
  <si>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</si>
  <si>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</si>
  <si>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</si>
  <si>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</si>
  <si>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</si>
  <si>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</si>
  <si>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</si>
  <si>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</si>
  <si>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</si>
  <si>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</si>
  <si>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</si>
  <si>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</si>
  <si>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</si>
  <si>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</si>
  <si>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</si>
  <si>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</si>
  <si>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</si>
  <si>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</si>
  <si>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</si>
  <si>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</si>
  <si>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</si>
  <si>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</si>
  <si>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</si>
  <si>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</si>
  <si>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</si>
  <si>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</si>
  <si>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</si>
  <si>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</si>
  <si>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</si>
  <si>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</si>
  <si>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</si>
  <si>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</si>
  <si>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</si>
  <si>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</si>
  <si>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</si>
  <si>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</si>
  <si>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</si>
  <si>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</si>
  <si>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</si>
  <si>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</si>
  <si>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</si>
  <si>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</si>
  <si>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</si>
  <si>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</si>
  <si>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</si>
  <si>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</si>
  <si>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</si>
  <si>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</si>
  <si>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</si>
  <si>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</si>
  <si>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</si>
  <si>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</si>
  <si>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</si>
  <si>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</si>
  <si>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</si>
  <si>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</si>
  <si>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</si>
  <si>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</si>
  <si>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</si>
  <si>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</si>
  <si>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</si>
  <si>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</si>
  <si>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</si>
  <si>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</si>
  <si>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</si>
  <si>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</si>
  <si>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</si>
  <si>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</si>
  <si>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</si>
  <si>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</si>
  <si>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</si>
  <si>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</si>
  <si>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</si>
  <si>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</si>
  <si>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</si>
  <si>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</si>
  <si>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</si>
  <si>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</si>
  <si>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</si>
  <si>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</si>
  <si>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</si>
  <si>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</si>
  <si>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</si>
  <si>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</si>
  <si>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</si>
  <si>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</si>
  <si>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</si>
  <si>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</si>
  <si>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</si>
  <si>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</si>
  <si>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</si>
  <si>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</si>
  <si>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</si>
  <si>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</si>
  <si>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</si>
  <si>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</si>
  <si>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</si>
  <si>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</si>
  <si>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</si>
  <si>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</si>
  <si>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</si>
  <si>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</si>
  <si>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</si>
  <si>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</si>
  <si>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</si>
  <si>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</si>
  <si>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</si>
  <si>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</si>
  <si>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</si>
  <si>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</si>
  <si>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</si>
  <si>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</si>
  <si>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</si>
  <si>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</si>
  <si>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</si>
  <si>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</si>
  <si>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</si>
  <si>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</si>
  <si>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</si>
  <si>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</si>
  <si>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</si>
  <si>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</si>
  <si>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</si>
  <si>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</si>
  <si>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</si>
  <si>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</si>
  <si>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</si>
  <si>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</si>
  <si>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</si>
  <si>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</si>
  <si>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</si>
  <si>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</si>
  <si>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</si>
  <si>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</si>
  <si>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</si>
  <si>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</si>
  <si>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</si>
  <si>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</si>
  <si>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</si>
  <si>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</si>
  <si>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</si>
  <si>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</si>
  <si>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</si>
  <si>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</si>
  <si>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</si>
  <si>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</si>
  <si>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</si>
  <si>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</si>
  <si>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</si>
  <si>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</si>
  <si>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</si>
  <si>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</si>
  <si>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</si>
  <si>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</si>
  <si>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</si>
  <si>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</si>
  <si>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</si>
  <si>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</si>
  <si>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</si>
  <si>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</si>
  <si>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</si>
  <si>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</si>
  <si>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</si>
  <si>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</si>
  <si>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</si>
  <si>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</si>
  <si>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</si>
  <si>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</si>
  <si>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</si>
  <si>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</si>
  <si>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</si>
  <si>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</si>
  <si>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</si>
  <si>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</si>
  <si>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</si>
  <si>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</si>
  <si>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</si>
  <si>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</si>
  <si>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</si>
  <si>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</si>
  <si>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</si>
  <si>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</si>
  <si>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</si>
  <si>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</si>
  <si>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</si>
  <si>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</si>
  <si>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</si>
  <si>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</si>
  <si>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</si>
  <si>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</si>
  <si>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</si>
  <si>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</si>
  <si>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</si>
  <si>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</si>
  <si>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</si>
  <si>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</si>
  <si>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</si>
  <si>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</si>
  <si>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</si>
  <si>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</si>
  <si>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</si>
  <si>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</si>
  <si>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</si>
  <si>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</si>
  <si>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</si>
  <si>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</si>
  <si>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</si>
  <si>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</si>
  <si>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</si>
  <si>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</si>
  <si>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</si>
  <si>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</si>
  <si>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</si>
  <si>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</si>
  <si>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</si>
  <si>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</si>
  <si>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</si>
  <si>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</si>
  <si>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</si>
  <si>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</si>
  <si>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</si>
  <si>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</si>
  <si>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</si>
  <si>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</si>
  <si>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</si>
  <si>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</si>
  <si>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</si>
  <si>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</si>
  <si>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</si>
  <si>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</si>
  <si>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</si>
  <si>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</si>
  <si>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</si>
  <si>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</si>
  <si>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</si>
  <si>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</si>
  <si>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</si>
  <si>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</si>
  <si>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</si>
  <si>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</si>
  <si>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</si>
  <si>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</si>
  <si>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</si>
  <si>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</si>
  <si>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</si>
  <si>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</si>
  <si>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</si>
  <si>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</si>
  <si>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</si>
  <si>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</si>
  <si>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</si>
  <si>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</si>
  <si>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</si>
  <si>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</si>
  <si>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</si>
  <si>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</si>
  <si>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</si>
  <si>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</si>
  <si>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</si>
  <si>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</si>
  <si>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</si>
  <si>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</si>
  <si>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</si>
  <si>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</si>
  <si>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</si>
  <si>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</si>
  <si>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</si>
  <si>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</si>
  <si>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</si>
  <si>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</si>
  <si>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</si>
  <si>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</si>
  <si>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</si>
  <si>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</si>
  <si>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</si>
  <si>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</si>
  <si>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</si>
  <si>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</si>
  <si>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</si>
  <si>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</si>
  <si>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</si>
  <si>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</si>
  <si>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</si>
  <si>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</si>
  <si>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</si>
  <si>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</si>
  <si>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</si>
  <si>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</si>
  <si>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</si>
  <si>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</si>
  <si>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</si>
  <si>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</si>
  <si>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</si>
  <si>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</si>
  <si>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</si>
  <si>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</si>
  <si>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</si>
  <si>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</si>
  <si>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</si>
  <si>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</si>
  <si>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</si>
  <si>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</si>
  <si>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</si>
  <si>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</si>
  <si>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</si>
  <si>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</si>
  <si>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</si>
  <si>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</si>
  <si>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</si>
  <si>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</si>
  <si>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</si>
  <si>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</si>
  <si>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</si>
  <si>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</si>
  <si>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</si>
  <si>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</si>
  <si>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</si>
  <si>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</si>
  <si>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</si>
  <si>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</si>
  <si>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</si>
  <si>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</si>
  <si>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</si>
  <si>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</si>
  <si>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</si>
  <si>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</si>
  <si>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</si>
  <si>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</si>
  <si>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</si>
  <si>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</si>
  <si>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</si>
  <si>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</si>
  <si>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</si>
  <si>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</si>
  <si>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</si>
  <si>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</si>
  <si>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</si>
  <si>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</si>
  <si>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</si>
  <si>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</si>
  <si>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</si>
  <si>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</si>
  <si>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</si>
  <si>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</si>
  <si>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</si>
  <si>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</si>
  <si>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</si>
  <si>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</si>
  <si>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</si>
  <si>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</si>
  <si>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</si>
  <si>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</si>
  <si>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</si>
  <si>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</si>
  <si>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</si>
  <si>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</si>
  <si>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</si>
  <si>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</si>
  <si>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</si>
  <si>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</si>
  <si>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</si>
  <si>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</si>
  <si>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</si>
  <si>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</si>
  <si>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</si>
  <si>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</si>
  <si>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</si>
  <si>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</si>
  <si>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</si>
  <si>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</si>
  <si>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</si>
  <si>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</si>
  <si>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</si>
  <si>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</si>
  <si>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</si>
  <si>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</si>
  <si>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</si>
  <si>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</si>
  <si>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</si>
  <si>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</si>
  <si>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</si>
  <si>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</si>
  <si>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</si>
  <si>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</si>
  <si>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</si>
  <si>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</si>
  <si>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</si>
  <si>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</si>
  <si>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</si>
  <si>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</si>
  <si>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</si>
  <si>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</si>
  <si>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</si>
  <si>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</si>
  <si>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</si>
  <si>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</si>
  <si>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</si>
  <si>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</si>
  <si>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</si>
  <si>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</si>
  <si>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</si>
  <si>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</si>
  <si>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</si>
  <si>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</si>
  <si>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</si>
  <si>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</si>
  <si>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</si>
  <si>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</si>
  <si>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</si>
  <si>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</si>
  <si>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</si>
  <si>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</si>
  <si>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</si>
  <si>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</si>
  <si>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</si>
  <si>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</si>
  <si>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</si>
  <si>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</si>
  <si>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</si>
  <si>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</si>
  <si>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</si>
  <si>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</si>
  <si>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</si>
  <si>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</si>
  <si>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</si>
  <si>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</si>
  <si>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</si>
  <si>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</si>
  <si>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</si>
  <si>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</si>
  <si>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</si>
  <si>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</si>
  <si>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</si>
  <si>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</si>
  <si>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</si>
  <si>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</si>
  <si>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</si>
  <si>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</si>
  <si>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</si>
  <si>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</si>
  <si>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</si>
  <si>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</si>
  <si>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</si>
  <si>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</si>
  <si>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</si>
  <si>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</si>
  <si>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</si>
  <si>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</si>
  <si>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</si>
  <si>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</si>
  <si>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</si>
  <si>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</si>
  <si>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</si>
  <si>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</si>
  <si>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</si>
  <si>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</si>
  <si>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</si>
  <si>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</si>
  <si>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</si>
  <si>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</si>
  <si>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</si>
  <si>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</si>
  <si>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</si>
  <si>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</si>
  <si>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</si>
  <si>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</si>
  <si>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</si>
  <si>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</si>
  <si>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</si>
  <si>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</si>
  <si>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</si>
  <si>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</si>
  <si>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</si>
  <si>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</si>
  <si>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</si>
  <si>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</si>
  <si>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</si>
  <si>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</si>
  <si>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</si>
  <si>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</si>
  <si>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</si>
  <si>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</si>
  <si>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</si>
  <si>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</si>
  <si>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</si>
  <si>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</si>
  <si>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</si>
  <si>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</si>
  <si>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</si>
  <si>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</si>
  <si>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</si>
  <si>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</si>
  <si>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</si>
  <si>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</si>
  <si>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</si>
  <si>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</si>
  <si>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</si>
  <si>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</si>
  <si>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</si>
  <si>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</si>
  <si>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</si>
  <si>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</si>
  <si>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</si>
  <si>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</si>
  <si>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</si>
  <si>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</si>
  <si>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</si>
  <si>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</si>
  <si>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</si>
  <si>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</si>
  <si>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</si>
  <si>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</si>
  <si>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</si>
  <si>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</si>
  <si>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</si>
  <si>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</si>
  <si>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</si>
  <si>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</si>
  <si>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</si>
  <si>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</si>
  <si>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</si>
  <si>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</si>
  <si>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</si>
  <si>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</si>
  <si>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</si>
  <si>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</si>
  <si>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</si>
  <si>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</si>
  <si>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</si>
  <si>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</si>
  <si>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</si>
  <si>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</si>
  <si>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</si>
  <si>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</si>
  <si>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</si>
  <si>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</si>
  <si>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</si>
  <si>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</si>
  <si>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</si>
  <si>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</si>
  <si>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</si>
  <si>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</si>
  <si>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</si>
  <si>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</si>
  <si>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</si>
  <si>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</si>
  <si>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</si>
  <si>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</si>
  <si>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</si>
  <si>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</si>
  <si>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</si>
  <si>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</si>
  <si>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</si>
  <si>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</si>
  <si>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</si>
  <si>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</si>
  <si>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</si>
  <si>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</si>
  <si>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</si>
  <si>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</si>
  <si>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</si>
  <si>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</si>
  <si>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</si>
  <si>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</si>
  <si>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</si>
  <si>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</si>
  <si>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</si>
  <si>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</si>
  <si>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</si>
  <si>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</si>
  <si>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</si>
  <si>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</si>
  <si>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</si>
  <si>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</si>
  <si>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</si>
  <si>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</si>
  <si>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</si>
  <si>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</si>
  <si>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</si>
  <si>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</si>
  <si>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</si>
  <si>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</si>
  <si>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</si>
  <si>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</si>
  <si>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</si>
  <si>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</si>
  <si>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</si>
  <si>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</si>
  <si>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</si>
  <si>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</si>
  <si>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</si>
  <si>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</si>
  <si>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</si>
  <si>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</si>
  <si>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</si>
  <si>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</si>
  <si>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</si>
  <si>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</si>
  <si>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</si>
  <si>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</si>
  <si>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</si>
  <si>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</si>
  <si>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</si>
  <si>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</si>
  <si>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</si>
  <si>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</si>
  <si>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</si>
  <si>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</si>
  <si>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</si>
  <si>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</si>
  <si>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</si>
  <si>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</si>
  <si>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</si>
  <si>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</si>
  <si>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</si>
  <si>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</si>
  <si>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</si>
  <si>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</si>
  <si>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</si>
  <si>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</si>
  <si>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</si>
  <si>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</si>
  <si>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</si>
  <si>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</si>
  <si>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</si>
  <si>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</si>
  <si>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</si>
  <si>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</si>
  <si>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</si>
  <si>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</si>
  <si>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</si>
  <si>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</si>
  <si>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</si>
  <si>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</si>
  <si>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</si>
  <si>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</si>
  <si>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</si>
  <si>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</si>
  <si>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</si>
  <si>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</si>
  <si>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</si>
  <si>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</si>
  <si>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</si>
  <si>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</si>
  <si>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</si>
  <si>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</si>
  <si>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</si>
  <si>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</si>
  <si>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</si>
  <si>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</si>
  <si>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</si>
  <si>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</si>
  <si>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</si>
  <si>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</si>
  <si>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</si>
  <si>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</si>
  <si>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</si>
  <si>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</si>
  <si>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</si>
  <si>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</si>
  <si>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</si>
  <si>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</si>
  <si>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</si>
  <si>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</si>
  <si>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</si>
  <si>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</si>
  <si>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</si>
  <si>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</si>
  <si>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</si>
  <si>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</si>
  <si>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</si>
  <si>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</si>
  <si>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</si>
  <si>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</si>
  <si>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</si>
  <si>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</si>
  <si>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</si>
  <si>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</si>
  <si>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</si>
  <si>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</si>
  <si>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</si>
  <si>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</si>
  <si>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</si>
  <si>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</si>
  <si>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</si>
  <si>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</si>
  <si>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</si>
  <si>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</si>
  <si>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</si>
  <si>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</si>
  <si>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</si>
  <si>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</si>
  <si>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</si>
  <si>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</si>
  <si>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</si>
  <si>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</si>
  <si>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</si>
  <si>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</si>
  <si>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</si>
  <si>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</si>
  <si>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</si>
  <si>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</si>
  <si>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</si>
  <si>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</si>
  <si>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</si>
  <si>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</si>
  <si>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</si>
  <si>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</si>
  <si>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</si>
  <si>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</si>
  <si>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</si>
  <si>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</si>
  <si>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</si>
  <si>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</si>
  <si>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</si>
  <si>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</si>
  <si>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</si>
  <si>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</si>
  <si>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</si>
  <si>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</si>
  <si>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</si>
  <si>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</si>
  <si>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</si>
  <si>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</si>
  <si>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</si>
  <si>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</si>
  <si>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</si>
  <si>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</si>
  <si>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</si>
  <si>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</si>
  <si>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</si>
  <si>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</si>
  <si>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</si>
  <si>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</si>
  <si>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</si>
  <si>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</si>
  <si>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</si>
  <si>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</si>
  <si>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</si>
  <si>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</si>
  <si>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</si>
  <si>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</si>
  <si>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</si>
  <si>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</si>
  <si>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</si>
  <si>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</si>
  <si>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</si>
  <si>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</si>
  <si>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</si>
  <si>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</si>
  <si>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</si>
  <si>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</si>
  <si>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</si>
  <si>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</si>
  <si>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</si>
  <si>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</si>
  <si>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</si>
  <si>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</si>
  <si>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</si>
  <si>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</si>
  <si>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</si>
  <si>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</si>
  <si>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</si>
  <si>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</si>
  <si>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</si>
  <si>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</si>
  <si>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</si>
  <si>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</si>
  <si>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</si>
  <si>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</si>
  <si>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</si>
  <si>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</si>
  <si>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</si>
  <si>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</si>
  <si>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</si>
  <si>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</si>
  <si>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</si>
  <si>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</si>
  <si>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</si>
  <si>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</si>
  <si>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</si>
  <si>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</si>
  <si>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</si>
  <si>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</si>
  <si>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</si>
  <si>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</si>
  <si>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</si>
  <si>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</si>
  <si>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</si>
  <si>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</si>
  <si>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</si>
  <si>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</si>
  <si>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</si>
  <si>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</si>
  <si>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</si>
  <si>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</si>
  <si>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</si>
  <si>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</si>
  <si>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</si>
  <si>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</si>
  <si>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</si>
  <si>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</si>
  <si>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</si>
  <si>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</si>
  <si>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</si>
  <si>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</si>
  <si>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</si>
  <si>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</si>
  <si>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</si>
  <si>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</si>
  <si>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</si>
  <si>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</si>
  <si>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</si>
  <si>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</si>
  <si>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</si>
  <si>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</si>
  <si>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</si>
  <si>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</si>
  <si>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</si>
  <si>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</si>
  <si>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</si>
  <si>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</si>
  <si>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</si>
  <si>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</si>
  <si>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</si>
  <si>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</si>
  <si>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</si>
  <si>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</si>
  <si>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</si>
  <si>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</si>
  <si>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</si>
  <si>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</si>
  <si>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</si>
  <si>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</si>
  <si>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</si>
  <si>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</si>
  <si>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</si>
  <si>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</si>
  <si>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</si>
  <si>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</si>
  <si>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</si>
  <si>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</si>
  <si>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</si>
  <si>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</si>
  <si>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</si>
  <si>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</si>
  <si>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</si>
  <si>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</si>
  <si>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</si>
  <si>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</si>
  <si>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</si>
  <si>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</si>
  <si>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</si>
  <si>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</si>
  <si>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</si>
  <si>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</si>
  <si>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</si>
  <si>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</si>
  <si>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</si>
  <si>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</si>
  <si>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</si>
  <si>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</si>
  <si>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</si>
  <si>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</si>
  <si>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</si>
  <si>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</si>
  <si>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</si>
  <si>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</si>
  <si>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</si>
  <si>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</si>
  <si>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</si>
  <si>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</si>
  <si>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</si>
  <si>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</si>
  <si>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</si>
  <si>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</si>
  <si>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</si>
  <si>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</si>
  <si>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</si>
  <si>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</si>
  <si>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</si>
  <si>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</si>
  <si>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</si>
  <si>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</si>
  <si>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</si>
  <si>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</si>
  <si>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</si>
  <si>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</si>
  <si>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</si>
  <si>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</si>
  <si>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</si>
  <si>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</si>
  <si>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</si>
  <si>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</si>
  <si>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</si>
  <si>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</si>
  <si>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</si>
  <si>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</si>
  <si>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</si>
  <si>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</si>
  <si>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</si>
  <si>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</si>
  <si>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</si>
  <si>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</si>
  <si>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</si>
  <si>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</si>
  <si>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</si>
  <si>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</si>
  <si>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</si>
  <si>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</si>
  <si>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</si>
  <si>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</si>
  <si>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</si>
  <si>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</si>
  <si>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</si>
  <si>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</si>
  <si>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</si>
  <si>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</si>
  <si>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</si>
  <si>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</si>
  <si>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</si>
  <si>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</si>
  <si>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</si>
  <si>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</si>
  <si>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</si>
  <si>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</si>
  <si>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</si>
  <si>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</si>
  <si>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</si>
  <si>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</si>
  <si>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</si>
  <si>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</si>
  <si>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</si>
  <si>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</si>
  <si>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</si>
  <si>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</si>
  <si>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</si>
  <si>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</si>
  <si>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</si>
  <si>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</si>
  <si>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</si>
  <si>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</si>
  <si>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</si>
  <si>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</si>
  <si>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</si>
  <si>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</si>
  <si>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</si>
  <si>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</si>
  <si>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</si>
  <si>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</si>
  <si>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</si>
  <si>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</si>
  <si>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</si>
  <si>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</si>
  <si>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</si>
  <si>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</si>
  <si>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</si>
  <si>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</si>
  <si>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</si>
  <si>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</si>
  <si>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</si>
  <si>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</si>
  <si>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</si>
  <si>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</si>
  <si>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</si>
  <si>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</si>
  <si>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</si>
  <si>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</si>
  <si>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</si>
  <si>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</si>
  <si>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</si>
  <si>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</si>
  <si>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</si>
  <si>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</si>
  <si>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</si>
  <si>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</si>
  <si>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</si>
  <si>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</si>
  <si>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</si>
  <si>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</si>
  <si>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</si>
  <si>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</si>
  <si>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</si>
  <si>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</si>
  <si>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</si>
  <si>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</si>
  <si>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</si>
  <si>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</si>
  <si>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</si>
  <si>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</si>
  <si>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</si>
  <si>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</si>
  <si>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</si>
  <si>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</si>
  <si>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</si>
  <si>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</si>
  <si>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</si>
  <si>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</si>
  <si>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</si>
  <si>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</si>
  <si>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</si>
  <si>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</si>
  <si>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</si>
  <si>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</si>
  <si>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</si>
  <si>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</si>
  <si>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</si>
  <si>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</si>
  <si>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</si>
  <si>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</si>
  <si>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</si>
  <si>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</si>
  <si>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</si>
  <si>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</si>
  <si>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</si>
  <si>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</si>
  <si>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</si>
  <si>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</si>
  <si>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</si>
  <si>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</si>
  <si>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</si>
  <si>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</si>
  <si>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</si>
  <si>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</si>
  <si>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</si>
  <si>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</si>
  <si>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</si>
  <si>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</si>
  <si>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</si>
  <si>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</si>
  <si>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</si>
  <si>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</si>
  <si>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</si>
  <si>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</si>
  <si>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</si>
  <si>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</si>
  <si>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</si>
  <si>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</si>
  <si>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</si>
  <si>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</si>
  <si>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</si>
  <si>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</si>
  <si>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</si>
  <si>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</si>
  <si>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</si>
  <si>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</si>
  <si>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</si>
  <si>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</si>
  <si>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</si>
  <si>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</si>
  <si>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</si>
  <si>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</si>
  <si>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</si>
  <si>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</si>
  <si>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</si>
  <si>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</si>
  <si>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</si>
  <si>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</si>
  <si>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</si>
  <si>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</si>
  <si>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</si>
  <si>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</si>
  <si>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</si>
  <si>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</si>
  <si>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</si>
  <si>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</si>
  <si>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</si>
  <si>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</si>
  <si>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</si>
  <si>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</si>
  <si>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</si>
  <si>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</si>
  <si>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</si>
  <si>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</si>
  <si>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</si>
  <si>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</si>
  <si>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</si>
  <si>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</si>
  <si>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</si>
  <si>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</si>
  <si>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</si>
  <si>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</si>
  <si>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</si>
  <si>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</si>
  <si>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</si>
  <si>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</si>
  <si>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</si>
  <si>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</si>
  <si>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</si>
  <si>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</si>
  <si>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</si>
  <si>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</si>
  <si>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</si>
  <si>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</si>
  <si>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</si>
  <si>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</si>
  <si>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</si>
  <si>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</si>
  <si>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</si>
  <si>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</si>
  <si>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</si>
  <si>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</si>
  <si>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</si>
  <si>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</si>
  <si>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</si>
  <si>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</si>
  <si>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</si>
  <si>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</si>
  <si>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</si>
  <si>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</si>
  <si>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</si>
  <si>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</si>
  <si>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</si>
  <si>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</si>
  <si>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</si>
  <si>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</si>
  <si>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</si>
  <si>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</si>
  <si>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</si>
  <si>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</si>
  <si>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</si>
  <si>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</si>
  <si>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</si>
  <si>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</si>
  <si>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</si>
  <si>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</si>
  <si>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</si>
  <si>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</si>
  <si>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</si>
  <si>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</si>
  <si>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</si>
  <si>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</si>
  <si>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</si>
  <si>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</si>
  <si>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</si>
  <si>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</si>
  <si>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</si>
  <si>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</si>
  <si>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</si>
  <si>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</si>
  <si>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</si>
  <si>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</si>
  <si>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</si>
  <si>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</si>
  <si>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</si>
  <si>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</si>
  <si>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</si>
  <si>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</si>
  <si>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</si>
  <si>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</si>
  <si>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</si>
  <si>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</si>
  <si>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</si>
  <si>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</si>
  <si>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</si>
  <si>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</si>
  <si>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</si>
  <si>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</si>
  <si>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</si>
  <si>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</si>
  <si>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</si>
  <si>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</si>
  <si>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</si>
  <si>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</si>
  <si>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</si>
  <si>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</si>
  <si>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</si>
  <si>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</si>
  <si>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</si>
  <si>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</si>
  <si>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</si>
  <si>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</si>
  <si>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</si>
  <si>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</si>
  <si>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</si>
  <si>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</si>
  <si>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</si>
  <si>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</si>
  <si>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</si>
  <si>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</si>
  <si>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</si>
  <si>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</si>
  <si>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</si>
  <si>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</si>
  <si>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</si>
  <si>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</si>
  <si>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</si>
  <si>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</si>
  <si>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</si>
  <si>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</si>
  <si>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</si>
  <si>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</si>
  <si>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</si>
  <si>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</si>
  <si>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</si>
  <si>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</si>
  <si>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</si>
  <si>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</si>
  <si>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</si>
  <si>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</si>
  <si>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</si>
  <si>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</si>
  <si>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</si>
  <si>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</si>
  <si>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</si>
  <si>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</si>
  <si>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</si>
  <si>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</si>
  <si>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</si>
  <si>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</si>
  <si>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</si>
  <si>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</si>
  <si>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</si>
  <si>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</si>
  <si>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</si>
  <si>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</si>
  <si>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</si>
  <si>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</si>
  <si>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</si>
  <si>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</si>
  <si>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</si>
  <si>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</si>
  <si>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</si>
  <si>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</si>
  <si>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</si>
  <si>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</si>
  <si>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</si>
  <si>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</si>
  <si>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</si>
  <si>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</si>
  <si>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</si>
  <si>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</si>
  <si>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</si>
  <si>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</si>
  <si>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</si>
  <si>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</si>
  <si>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</si>
  <si>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</si>
  <si>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</si>
  <si>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</si>
  <si>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</si>
  <si>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</si>
  <si>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</si>
  <si>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</si>
  <si>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</si>
  <si>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</si>
  <si>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</si>
  <si>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</si>
  <si>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</si>
  <si>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</si>
  <si>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</si>
  <si>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</si>
  <si>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</si>
  <si>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</si>
  <si>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</si>
  <si>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</si>
  <si>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</si>
  <si>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</si>
  <si>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</si>
  <si>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</si>
  <si>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</si>
  <si>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</si>
  <si>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</si>
  <si>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</si>
  <si>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</si>
  <si>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</si>
  <si>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</si>
  <si>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</si>
  <si>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</si>
  <si>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</si>
  <si>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</si>
  <si>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</si>
  <si>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</si>
  <si>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</si>
  <si>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</si>
  <si>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</si>
  <si>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</si>
  <si>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</si>
  <si>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</si>
  <si>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</si>
  <si>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</si>
  <si>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</si>
  <si>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</si>
  <si>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</si>
  <si>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</si>
  <si>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</si>
  <si>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</si>
  <si>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</si>
  <si>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</si>
  <si>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</si>
  <si>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</si>
  <si>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</si>
  <si>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</si>
  <si>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</si>
  <si>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</si>
  <si>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</si>
  <si>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</si>
  <si>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</si>
  <si>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</si>
  <si>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</si>
  <si>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</si>
  <si>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</si>
  <si>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</si>
  <si>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</si>
  <si>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</si>
  <si>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</si>
  <si>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</si>
  <si>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</si>
  <si>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</si>
  <si>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</si>
  <si>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</si>
  <si>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</si>
  <si>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</si>
  <si>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</si>
  <si>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</si>
  <si>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</si>
  <si>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</si>
  <si>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</si>
  <si>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</si>
  <si>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</si>
  <si>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</si>
  <si>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</si>
  <si>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</si>
  <si>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</si>
  <si>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</si>
  <si>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</si>
  <si>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</si>
  <si>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</si>
  <si>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</si>
  <si>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</si>
  <si>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</si>
  <si>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</si>
  <si>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</si>
  <si>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</si>
  <si>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</si>
  <si>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</si>
  <si>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</si>
  <si>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</si>
  <si>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</si>
  <si>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</si>
  <si>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</si>
  <si>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</si>
  <si>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</si>
  <si>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</si>
  <si>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</si>
  <si>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</si>
  <si>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</si>
  <si>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</si>
  <si>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</si>
  <si>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</si>
  <si>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</si>
  <si>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</si>
  <si>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</si>
  <si>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</si>
  <si>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</si>
  <si>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</si>
  <si>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</si>
  <si>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</si>
  <si>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</si>
  <si>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</si>
  <si>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</si>
  <si>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</si>
  <si>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</si>
  <si>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</si>
  <si>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</si>
  <si>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</si>
  <si>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</si>
  <si>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</si>
  <si>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</si>
  <si>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</si>
  <si>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</si>
  <si>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</si>
  <si>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</si>
  <si>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</si>
  <si>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</si>
  <si>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</si>
  <si>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</si>
  <si>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</si>
  <si>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</si>
  <si>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</si>
  <si>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</si>
  <si>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</si>
  <si>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</si>
  <si>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</si>
  <si>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</si>
  <si>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</si>
  <si>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</si>
  <si>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</si>
  <si>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</si>
  <si>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</si>
  <si>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</si>
  <si>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</si>
  <si>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</si>
  <si>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</si>
  <si>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</si>
  <si>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</si>
  <si>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</si>
  <si>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</si>
  <si>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</si>
  <si>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</si>
  <si>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</si>
  <si>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</si>
  <si>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</si>
  <si>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</si>
  <si>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</si>
  <si>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</si>
  <si>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</si>
  <si>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</si>
  <si>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</si>
  <si>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</si>
  <si>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</si>
  <si>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</si>
  <si>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</si>
  <si>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</si>
  <si>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</si>
  <si>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</si>
  <si>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</si>
  <si>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</si>
  <si>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</si>
  <si>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</si>
  <si>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</si>
  <si>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</si>
  <si>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</si>
  <si>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</si>
  <si>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</si>
  <si>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</si>
  <si>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</si>
  <si>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</si>
  <si>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</si>
  <si>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</si>
  <si>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</si>
  <si>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</si>
  <si>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</si>
  <si>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</si>
  <si>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</si>
  <si>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</si>
  <si>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</si>
  <si>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</si>
  <si>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</si>
  <si>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</si>
  <si>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</si>
  <si>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</si>
  <si>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</si>
  <si>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</si>
  <si>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</si>
  <si>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</si>
  <si>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</si>
  <si>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</si>
  <si>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</si>
  <si>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</si>
  <si>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</si>
  <si>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</si>
  <si>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</si>
  <si>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</si>
  <si>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</si>
  <si>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</si>
  <si>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</si>
  <si>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</si>
  <si>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</si>
  <si>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</si>
  <si>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</si>
  <si>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</si>
  <si>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</si>
  <si>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</si>
  <si>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</si>
  <si>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</si>
  <si>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</si>
  <si>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</si>
  <si>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</si>
  <si>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</si>
  <si>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</si>
  <si>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</si>
  <si>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</si>
  <si>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</si>
  <si>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</si>
  <si>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</si>
  <si>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</si>
  <si>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</si>
  <si>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</si>
  <si>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</si>
  <si>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</si>
  <si>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</si>
  <si>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</si>
  <si>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</si>
  <si>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</si>
  <si>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</si>
  <si>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</si>
  <si>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</si>
  <si>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</si>
  <si>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</si>
  <si>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</si>
  <si>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</si>
  <si>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</si>
  <si>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</si>
  <si>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</si>
  <si>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</si>
  <si>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</si>
  <si>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</si>
  <si>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</si>
  <si>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</si>
  <si>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</si>
  <si>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</si>
  <si>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</si>
  <si>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</si>
  <si>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</si>
  <si>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</si>
  <si>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</si>
  <si>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</si>
  <si>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</si>
  <si>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</si>
  <si>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</si>
  <si>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</si>
  <si>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</si>
  <si>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</si>
  <si>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</si>
  <si>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</si>
  <si>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</si>
  <si>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</si>
  <si>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</si>
  <si>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</si>
  <si>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</si>
  <si>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</si>
  <si>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</si>
  <si>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</si>
  <si>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</si>
  <si>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</si>
  <si>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</si>
  <si>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</si>
  <si>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</si>
  <si>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</si>
  <si>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</si>
  <si>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</si>
  <si>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</si>
  <si>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</si>
  <si>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</si>
  <si>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</si>
  <si>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</si>
  <si>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</si>
  <si>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</si>
  <si>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</si>
  <si>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</si>
  <si>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</si>
  <si>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</si>
  <si>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</si>
  <si>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</si>
  <si>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</si>
  <si>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</si>
  <si>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</si>
  <si>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</si>
  <si>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</si>
  <si>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</si>
  <si>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</si>
  <si>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</si>
  <si>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</si>
  <si>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</si>
  <si>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</si>
  <si>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</si>
  <si>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</si>
  <si>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</si>
  <si>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</si>
  <si>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</si>
  <si>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</si>
  <si>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</si>
  <si>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</si>
  <si>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</si>
  <si>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</si>
  <si>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</si>
  <si>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</si>
  <si>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</si>
  <si>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</si>
  <si>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</si>
  <si>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</si>
  <si>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</si>
  <si>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</si>
  <si>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</si>
  <si>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</si>
  <si>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</si>
  <si>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</si>
  <si>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</si>
  <si>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</si>
  <si>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</si>
  <si>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</si>
  <si>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</si>
  <si>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</si>
  <si>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</si>
  <si>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</si>
  <si>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</si>
  <si>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</si>
  <si>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</si>
  <si>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</si>
  <si>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</si>
  <si>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</si>
  <si>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</si>
  <si>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</si>
  <si>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</si>
  <si>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</si>
  <si>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</si>
  <si>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</si>
  <si>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</si>
  <si>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</si>
  <si>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</si>
  <si>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</si>
  <si>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</si>
  <si>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</si>
  <si>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</si>
  <si>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</si>
  <si>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</si>
  <si>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</si>
  <si>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</si>
  <si>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</si>
  <si>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</si>
  <si>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</si>
  <si>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</si>
  <si>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</si>
  <si>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</si>
  <si>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</si>
  <si>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</si>
  <si>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</si>
  <si>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</si>
  <si>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</si>
  <si>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</si>
  <si>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</si>
  <si>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</si>
  <si>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</si>
  <si>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</si>
  <si>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</si>
  <si>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</si>
  <si>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</si>
  <si>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</si>
  <si>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</si>
  <si>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</si>
  <si>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</si>
  <si>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</si>
  <si>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</si>
  <si>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</si>
  <si>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</si>
  <si>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</si>
  <si>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</si>
  <si>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</si>
  <si>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</si>
  <si>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</si>
  <si>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</si>
  <si>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</si>
  <si>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</si>
  <si>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</si>
  <si>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</si>
  <si>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</si>
  <si>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</si>
  <si>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</si>
  <si>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</si>
  <si>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</si>
  <si>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</si>
  <si>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</si>
  <si>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</si>
  <si>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</si>
  <si>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</si>
  <si>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</si>
  <si>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</si>
  <si>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</si>
  <si>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</si>
  <si>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</si>
  <si>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</si>
  <si>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</si>
  <si>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</si>
  <si>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</si>
  <si>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</si>
  <si>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</si>
  <si>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</si>
  <si>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</si>
  <si>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</si>
  <si>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</si>
  <si>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</si>
  <si>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</si>
  <si>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</si>
  <si>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</si>
  <si>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</si>
  <si>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</si>
  <si>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</si>
  <si>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</si>
  <si>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</si>
  <si>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</si>
  <si>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</si>
  <si>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</si>
  <si>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</si>
  <si>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</si>
  <si>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</si>
  <si>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</si>
  <si>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</si>
  <si>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</si>
  <si>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</si>
  <si>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</si>
  <si>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</si>
  <si>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</si>
  <si>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</si>
  <si>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</si>
  <si>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</si>
  <si>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</si>
  <si>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</si>
  <si>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</si>
  <si>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</si>
  <si>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</si>
  <si>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</si>
  <si>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</si>
  <si>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</si>
  <si>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</si>
  <si>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</si>
  <si>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</si>
  <si>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</si>
  <si>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</si>
  <si>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</si>
  <si>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</si>
  <si>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</si>
  <si>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</si>
  <si>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</si>
  <si>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</si>
  <si>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</si>
  <si>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</si>
  <si>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</si>
  <si>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</si>
  <si>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</si>
  <si>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</si>
  <si>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</si>
  <si>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</si>
  <si>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</si>
  <si>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</si>
  <si>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</si>
  <si>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</si>
  <si>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</si>
  <si>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</si>
  <si>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</si>
  <si>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</si>
  <si>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</si>
  <si>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</si>
  <si>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</si>
  <si>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</si>
  <si>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</si>
  <si>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</si>
  <si>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</si>
  <si>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</si>
  <si>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</si>
  <si>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</si>
  <si>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</si>
  <si>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</si>
  <si>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</si>
  <si>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</si>
  <si>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</si>
  <si>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</si>
  <si>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</si>
  <si>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</si>
  <si>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</si>
  <si>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</si>
  <si>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</si>
  <si>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</si>
  <si>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</si>
  <si>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</si>
  <si>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</si>
  <si>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</si>
  <si>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</si>
  <si>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</si>
  <si>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</si>
  <si>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</si>
  <si>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</si>
  <si>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</si>
  <si>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</si>
  <si>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</si>
  <si>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</si>
  <si>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</si>
  <si>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</si>
  <si>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</si>
  <si>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</si>
  <si>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</si>
  <si>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</si>
  <si>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</si>
  <si>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</si>
  <si>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</si>
  <si>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</si>
  <si>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</si>
  <si>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</si>
  <si>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</si>
  <si>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</si>
  <si>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</si>
  <si>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</si>
  <si>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</si>
  <si>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</si>
  <si>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</si>
  <si>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</si>
  <si>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</si>
  <si>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</si>
  <si>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</si>
  <si>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</si>
  <si>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</si>
  <si>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</si>
  <si>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</si>
  <si>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</si>
  <si>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</si>
  <si>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</si>
  <si>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</si>
  <si>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</si>
  <si>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</si>
  <si>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</si>
  <si>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</si>
  <si>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</si>
  <si>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</si>
  <si>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</si>
  <si>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</si>
  <si>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</si>
  <si>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</si>
  <si>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</si>
  <si>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</si>
  <si>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</si>
  <si>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</si>
  <si>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</si>
  <si>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</si>
  <si>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</si>
  <si>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</si>
  <si>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</si>
  <si>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</si>
  <si>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</si>
  <si>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</si>
  <si>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</si>
  <si>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</si>
  <si>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</si>
  <si>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</si>
  <si>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</si>
  <si>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</si>
  <si>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</si>
  <si>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</si>
  <si>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</si>
  <si>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</si>
  <si>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</si>
  <si>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</si>
  <si>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</si>
  <si>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</si>
  <si>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</si>
  <si>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</si>
  <si>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</si>
  <si>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</si>
  <si>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</si>
  <si>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</si>
  <si>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</si>
  <si>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</si>
  <si>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</si>
  <si>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</si>
  <si>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</si>
  <si>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</si>
  <si>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</si>
  <si>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</si>
  <si>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</si>
  <si>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</si>
  <si>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</si>
  <si>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</si>
  <si>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</si>
  <si>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</si>
  <si>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</si>
  <si>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</si>
  <si>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</si>
  <si>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</si>
  <si>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</si>
  <si>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</si>
  <si>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</si>
  <si>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</si>
  <si>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</si>
  <si>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</si>
  <si>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</si>
  <si>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</si>
  <si>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</si>
  <si>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</si>
  <si>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</si>
  <si>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</si>
  <si>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</si>
  <si>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</si>
  <si>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</si>
  <si>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</si>
  <si>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</si>
  <si>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</si>
  <si>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</si>
  <si>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</si>
  <si>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</si>
  <si>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</si>
  <si>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</si>
  <si>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</si>
  <si>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</si>
  <si>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</si>
  <si>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</si>
  <si>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</si>
  <si>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</si>
  <si>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</si>
  <si>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</si>
  <si>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</si>
  <si>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</si>
  <si>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</si>
  <si>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</si>
  <si>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</si>
  <si>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</si>
  <si>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</si>
  <si>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</si>
  <si>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</si>
  <si>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</si>
  <si>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</si>
  <si>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</si>
  <si>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</si>
  <si>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</si>
  <si>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</si>
  <si>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</si>
  <si>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</si>
  <si>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</si>
  <si>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</si>
  <si>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</si>
  <si>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</si>
  <si>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</si>
  <si>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</si>
  <si>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</si>
  <si>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</si>
  <si>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</si>
  <si>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</si>
  <si>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</si>
  <si>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</si>
  <si>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</si>
  <si>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</si>
  <si>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</si>
  <si>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</si>
  <si>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</si>
  <si>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</si>
  <si>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</si>
  <si>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</si>
  <si>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</si>
  <si>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</si>
  <si>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</si>
  <si>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</si>
  <si>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</si>
  <si>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</si>
  <si>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</si>
  <si>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</si>
  <si>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</si>
  <si>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</si>
  <si>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</si>
  <si>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</si>
  <si>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</si>
  <si>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</si>
  <si>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</si>
  <si>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</si>
  <si>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</si>
  <si>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</si>
  <si>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</si>
  <si>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</si>
  <si>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</si>
  <si>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</si>
  <si>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</si>
  <si>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</si>
  <si>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</si>
  <si>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</si>
  <si>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</si>
  <si>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</si>
  <si>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</si>
  <si>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</si>
  <si>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</si>
  <si>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</si>
  <si>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</si>
  <si>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</si>
  <si>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</si>
  <si>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</si>
  <si>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</si>
  <si>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</si>
  <si>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</si>
  <si>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</si>
  <si>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</si>
  <si>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</si>
  <si>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</si>
  <si>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</si>
  <si>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</si>
  <si>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</si>
  <si>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</si>
  <si>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</si>
  <si>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</si>
  <si>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</si>
  <si>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</si>
  <si>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</si>
  <si>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</si>
  <si>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</si>
  <si>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</si>
  <si>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</si>
  <si>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</si>
  <si>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</si>
  <si>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</si>
  <si>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</si>
  <si>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</si>
  <si>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</si>
  <si>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</si>
  <si>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</si>
  <si>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</si>
  <si>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</si>
  <si>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</si>
  <si>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</si>
  <si>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</si>
  <si>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</si>
  <si>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</si>
  <si>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</si>
  <si>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</si>
  <si>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</si>
  <si>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</si>
  <si>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</si>
  <si>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</si>
  <si>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</si>
  <si>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</si>
  <si>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</si>
  <si>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</si>
  <si>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</si>
  <si>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</si>
  <si>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</si>
  <si>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</si>
  <si>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</si>
  <si>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</si>
  <si>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</si>
  <si>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</si>
  <si>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</si>
  <si>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</si>
  <si>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</si>
  <si>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</si>
  <si>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</si>
  <si>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</si>
  <si>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</si>
  <si>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</si>
  <si>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</si>
  <si>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</si>
  <si>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</si>
  <si>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</si>
  <si>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</si>
  <si>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</si>
  <si>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</si>
  <si>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</si>
  <si>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</si>
  <si>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</si>
  <si>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</si>
  <si>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</si>
  <si>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</si>
  <si>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</si>
  <si>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</si>
  <si>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</si>
  <si>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</si>
  <si>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</si>
  <si>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</si>
  <si>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</si>
  <si>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</si>
  <si>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</si>
  <si>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</si>
  <si>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</si>
  <si>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</si>
  <si>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</si>
  <si>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</si>
  <si>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</si>
  <si>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</si>
  <si>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</si>
  <si>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</si>
  <si>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</si>
  <si>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</si>
  <si>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</si>
  <si>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</si>
  <si>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</si>
  <si>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</si>
  <si>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</si>
  <si>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</si>
  <si>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</si>
  <si>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</si>
  <si>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</si>
  <si>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</si>
  <si>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</si>
  <si>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</si>
  <si>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</si>
  <si>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</si>
  <si>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</si>
  <si>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</si>
  <si>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</si>
  <si>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</si>
  <si>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</si>
  <si>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</si>
  <si>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</si>
  <si>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</si>
  <si>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</si>
  <si>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</si>
  <si>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</si>
  <si>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</si>
  <si>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</si>
  <si>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</si>
  <si>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</si>
  <si>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</si>
  <si>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</si>
  <si>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</si>
  <si>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</si>
  <si>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</si>
  <si>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</si>
  <si>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</si>
  <si>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</si>
  <si>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</si>
  <si>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</si>
  <si>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</si>
  <si>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</si>
  <si>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</si>
  <si>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</si>
  <si>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</si>
  <si>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</si>
  <si>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</si>
  <si>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</si>
  <si>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</si>
  <si>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</si>
  <si>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</si>
  <si>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</si>
  <si>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</si>
  <si>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</si>
  <si>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</si>
  <si>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</si>
  <si>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</si>
  <si>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</si>
  <si>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</si>
  <si>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</si>
  <si>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</si>
  <si>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</si>
  <si>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</si>
  <si>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</si>
  <si>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</si>
  <si>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</si>
  <si>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</si>
  <si>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</si>
  <si>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</si>
  <si>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</si>
  <si>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</si>
  <si>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</si>
  <si>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</si>
  <si>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</si>
  <si>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</si>
  <si>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</si>
  <si>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</si>
  <si>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</si>
  <si>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</si>
  <si>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</si>
  <si>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</si>
  <si>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</si>
  <si>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</si>
  <si>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</si>
  <si>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</si>
  <si>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</si>
  <si>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</si>
  <si>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</si>
  <si>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</si>
  <si>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</si>
  <si>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</si>
  <si>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</si>
  <si>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</si>
  <si>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</si>
  <si>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</si>
  <si>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</si>
  <si>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</si>
  <si>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</si>
  <si>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</si>
  <si>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</si>
  <si>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</si>
  <si>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</si>
  <si>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</si>
  <si>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</si>
  <si>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</si>
  <si>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</si>
  <si>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</si>
  <si>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</si>
  <si>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</si>
  <si>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</si>
  <si>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</si>
  <si>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</si>
  <si>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</si>
  <si>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</si>
  <si>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</si>
  <si>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</si>
  <si>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</si>
  <si>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</si>
  <si>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</si>
  <si>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</si>
  <si>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</si>
  <si>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</si>
  <si>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</si>
  <si>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</si>
  <si>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</si>
  <si>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</si>
  <si>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</si>
  <si>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</si>
  <si>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</si>
  <si>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</si>
  <si>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</si>
  <si>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</si>
  <si>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</si>
  <si>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</si>
  <si>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</si>
  <si>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</si>
  <si>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</si>
  <si>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</si>
  <si>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</si>
  <si>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</si>
  <si>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</si>
  <si>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</si>
  <si>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</si>
  <si>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</si>
  <si>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</si>
  <si>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</si>
  <si>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</si>
  <si>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</si>
  <si>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</si>
  <si>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</si>
  <si>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</si>
  <si>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</si>
  <si>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</si>
  <si>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</si>
  <si>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</si>
  <si>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</si>
  <si>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</si>
  <si>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</si>
  <si>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</si>
  <si>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</si>
  <si>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</si>
  <si>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</si>
  <si>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</si>
  <si>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</si>
  <si>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</si>
  <si>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</si>
  <si>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</si>
  <si>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</si>
  <si>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</si>
  <si>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</si>
  <si>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</si>
  <si>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</si>
  <si>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</si>
  <si>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</si>
  <si>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</si>
  <si>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</si>
  <si>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</si>
  <si>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</si>
  <si>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</si>
  <si>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</si>
  <si>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</si>
  <si>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</si>
  <si>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</si>
  <si>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</si>
  <si>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</si>
  <si>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</si>
  <si>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</si>
  <si>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</si>
  <si>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</si>
  <si>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</si>
  <si>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</si>
  <si>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</si>
  <si>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</si>
  <si>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</si>
  <si>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</si>
  <si>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</si>
  <si>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</si>
  <si>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</si>
  <si>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</si>
  <si>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</si>
  <si>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</si>
  <si>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</si>
  <si>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</si>
  <si>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</si>
  <si>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</si>
  <si>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</si>
  <si>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</si>
  <si>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</si>
  <si>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</si>
  <si>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</si>
  <si>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</si>
  <si>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</si>
  <si>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</si>
  <si>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</si>
  <si>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</si>
  <si>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</si>
  <si>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</si>
  <si>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</si>
  <si>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</si>
  <si>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</si>
  <si>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</si>
  <si>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</si>
  <si>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</si>
  <si>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</si>
  <si>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</si>
  <si>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</si>
  <si>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</si>
  <si>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</si>
  <si>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</si>
  <si>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</si>
  <si>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</si>
  <si>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</si>
  <si>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</si>
  <si>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</si>
  <si>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</si>
  <si>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</si>
  <si>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</si>
  <si>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</si>
  <si>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</si>
  <si>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</si>
  <si>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</si>
  <si>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</si>
  <si>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</si>
  <si>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</si>
  <si>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</si>
  <si>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</si>
  <si>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</si>
  <si>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</si>
  <si>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</si>
  <si>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</si>
  <si>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</si>
  <si>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</si>
  <si>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</si>
  <si>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</si>
  <si>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</si>
  <si>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</si>
  <si>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</si>
  <si>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</si>
  <si>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</si>
  <si>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</si>
  <si>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</si>
  <si>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</si>
  <si>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</si>
  <si>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</si>
  <si>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</si>
  <si>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</si>
  <si>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</si>
  <si>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</si>
  <si>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</si>
  <si>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</si>
  <si>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</si>
  <si>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</si>
  <si>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</si>
  <si>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</si>
  <si>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</si>
  <si>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</si>
  <si>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</si>
  <si>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</si>
  <si>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</si>
  <si>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</si>
  <si>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</si>
  <si>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</si>
  <si>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</si>
  <si>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</si>
  <si>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</si>
  <si>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</si>
  <si>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</si>
  <si>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</si>
  <si>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</si>
  <si>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</si>
  <si>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</si>
  <si>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</si>
  <si>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</si>
  <si>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</si>
  <si>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</si>
  <si>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</si>
  <si>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</si>
  <si>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</si>
  <si>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</si>
  <si>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</si>
  <si>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</si>
  <si>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</si>
  <si>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</si>
  <si>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</si>
  <si>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</si>
  <si>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</si>
  <si>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</si>
  <si>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</si>
  <si>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</si>
  <si>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</si>
  <si>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</si>
  <si>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</si>
  <si>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</si>
  <si>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</si>
  <si>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</si>
  <si>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</si>
  <si>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</si>
  <si>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</si>
  <si>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</si>
  <si>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</si>
  <si>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</si>
  <si>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</si>
  <si>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</si>
  <si>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</si>
  <si>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</si>
  <si>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</si>
  <si>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</si>
  <si>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</si>
  <si>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</si>
  <si>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</si>
  <si>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</si>
  <si>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</si>
  <si>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</si>
  <si>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</si>
  <si>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</si>
  <si>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</si>
  <si>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</si>
  <si>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</si>
  <si>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</si>
  <si>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</si>
  <si>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</si>
  <si>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</si>
  <si>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</si>
  <si>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</si>
  <si>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</si>
  <si>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</si>
  <si>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</si>
  <si>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</si>
  <si>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</si>
  <si>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</si>
  <si>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</si>
  <si>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</si>
  <si>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</si>
  <si>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</si>
  <si>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</si>
  <si>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</si>
  <si>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</si>
  <si>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</si>
  <si>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</si>
  <si>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</si>
  <si>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</si>
  <si>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</si>
  <si>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</si>
  <si>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</si>
  <si>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</si>
  <si>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</si>
  <si>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</si>
  <si>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</si>
  <si>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</si>
  <si>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</si>
  <si>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</si>
  <si>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</si>
  <si>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</si>
  <si>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</si>
  <si>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</si>
  <si>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</si>
  <si>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</si>
  <si>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</si>
  <si>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</si>
  <si>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</si>
  <si>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</si>
  <si>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</si>
  <si>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</si>
  <si>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</si>
  <si>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</si>
  <si>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</si>
  <si>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</si>
  <si>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</si>
  <si>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</si>
  <si>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</si>
  <si>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</si>
  <si>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</si>
  <si>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</si>
  <si>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</si>
  <si>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</si>
  <si>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</si>
  <si>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</si>
  <si>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</si>
  <si>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</si>
  <si>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</si>
  <si>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</si>
  <si>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</si>
  <si>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</si>
  <si>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</si>
  <si>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</si>
  <si>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</si>
  <si>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</si>
  <si>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</si>
  <si>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</si>
  <si>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</si>
  <si>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</si>
  <si>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</si>
  <si>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</si>
  <si>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</si>
  <si>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</si>
  <si>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</si>
  <si>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</si>
  <si>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</si>
  <si>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</si>
  <si>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</si>
  <si>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</si>
  <si>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</si>
  <si>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</si>
  <si>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</si>
  <si>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</si>
  <si>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</si>
  <si>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</si>
  <si>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</si>
  <si>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</si>
  <si>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</si>
  <si>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</si>
  <si>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</si>
  <si>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</si>
  <si>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</si>
  <si>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</si>
  <si>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</si>
  <si>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</si>
  <si>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</si>
  <si>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</si>
  <si>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</si>
  <si>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</si>
  <si>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</si>
  <si>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</si>
  <si>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</si>
  <si>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</si>
  <si>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</si>
  <si>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</si>
  <si>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</si>
  <si>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</si>
  <si>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</si>
  <si>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</si>
  <si>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</si>
  <si>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</si>
  <si>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</si>
  <si>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</si>
  <si>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</si>
  <si>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</si>
  <si>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</si>
  <si>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</si>
  <si>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</si>
  <si>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</si>
  <si>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</si>
  <si>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</si>
  <si>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</si>
  <si>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</si>
  <si>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</si>
  <si>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</si>
  <si>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</si>
  <si>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</si>
  <si>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</si>
  <si>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</si>
  <si>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</si>
  <si>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</si>
  <si>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</si>
  <si>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</si>
  <si>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</si>
  <si>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</si>
  <si>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</si>
  <si>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</si>
  <si>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</si>
  <si>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</si>
  <si>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</si>
  <si>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</si>
  <si>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</si>
  <si>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</si>
  <si>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</si>
  <si>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</si>
  <si>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</si>
  <si>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</si>
  <si>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</si>
  <si>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</si>
  <si>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</si>
  <si>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</si>
  <si>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</si>
  <si>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</si>
  <si>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</si>
  <si>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</si>
  <si>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</si>
  <si>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</si>
  <si>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</si>
  <si>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</si>
  <si>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</si>
  <si>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</si>
  <si>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</si>
  <si>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</si>
  <si>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</si>
  <si>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</si>
  <si>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</si>
  <si>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</si>
  <si>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</si>
  <si>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</si>
  <si>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</si>
  <si>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</si>
  <si>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</si>
  <si>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</si>
  <si>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</si>
  <si>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</si>
  <si>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</si>
  <si>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</si>
  <si>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</si>
  <si>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</si>
  <si>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</si>
  <si>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</si>
  <si>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</si>
  <si>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</si>
  <si>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</si>
  <si>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</si>
  <si>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</si>
  <si>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</si>
  <si>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</si>
  <si>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</si>
  <si>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</si>
  <si>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</si>
  <si>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</si>
  <si>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</si>
  <si>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</si>
  <si>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</si>
  <si>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</si>
  <si>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</si>
  <si>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</si>
  <si>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</si>
  <si>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</si>
  <si>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</si>
  <si>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</si>
  <si>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</si>
  <si>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</si>
  <si>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</si>
  <si>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</si>
  <si>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</si>
  <si>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</si>
  <si>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</si>
  <si>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</si>
  <si>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</si>
  <si>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</si>
  <si>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</si>
  <si>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</si>
  <si>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</si>
  <si>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</si>
  <si>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</si>
  <si>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</si>
  <si>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</si>
  <si>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</si>
  <si>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</si>
  <si>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</si>
  <si>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</si>
  <si>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</si>
  <si>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</si>
  <si>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</si>
  <si>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</si>
  <si>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</si>
  <si>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</si>
  <si>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</si>
  <si>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</si>
  <si>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</si>
  <si>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</si>
  <si>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</si>
  <si>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</si>
  <si>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</si>
  <si>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</si>
  <si>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</si>
  <si>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</si>
  <si>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</si>
  <si>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</si>
  <si>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</si>
  <si>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</si>
  <si>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</si>
  <si>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</si>
  <si>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</si>
  <si>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</si>
  <si>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</si>
  <si>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</si>
  <si>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</si>
  <si>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</si>
  <si>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</si>
  <si>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</si>
  <si>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</si>
  <si>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</si>
  <si>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</si>
  <si>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</si>
  <si>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</si>
  <si>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</si>
  <si>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</si>
  <si>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</si>
  <si>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</si>
  <si>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</si>
  <si>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</si>
  <si>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</si>
  <si>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</si>
  <si>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</si>
  <si>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</si>
  <si>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</si>
  <si>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</si>
  <si>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</si>
  <si>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</si>
  <si>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</si>
  <si>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</si>
  <si>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</si>
  <si>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</si>
  <si>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</si>
  <si>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</si>
  <si>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</si>
  <si>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</si>
  <si>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</si>
  <si>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</si>
  <si>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</si>
  <si>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</si>
  <si>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</si>
  <si>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</si>
  <si>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</si>
  <si>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</si>
  <si>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</si>
  <si>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</si>
  <si>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</si>
  <si>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</si>
  <si>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</si>
  <si>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</si>
  <si>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</si>
  <si>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</si>
  <si>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</si>
  <si>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</si>
  <si>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</si>
  <si>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</si>
  <si>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</si>
  <si>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</si>
  <si>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</si>
  <si>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</si>
  <si>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</si>
  <si>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</si>
  <si>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</si>
  <si>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</si>
  <si>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</si>
  <si>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</si>
  <si>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</si>
  <si>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</si>
  <si>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</si>
  <si>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</si>
  <si>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</si>
  <si>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</si>
  <si>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</si>
  <si>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</si>
  <si>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</si>
  <si>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</si>
  <si>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</si>
  <si>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</si>
  <si>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</si>
  <si>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</si>
  <si>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</si>
  <si>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</si>
  <si>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</si>
  <si>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</si>
  <si>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</si>
  <si>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</si>
  <si>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</si>
  <si>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</si>
  <si>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</si>
  <si>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</si>
  <si>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</si>
  <si>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</si>
  <si>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</si>
  <si>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</si>
  <si>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</si>
  <si>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</si>
  <si>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</si>
  <si>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</si>
  <si>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</si>
  <si>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</si>
  <si>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</si>
  <si>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</si>
  <si>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</si>
  <si>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</si>
  <si>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</si>
  <si>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</si>
  <si>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</si>
  <si>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</si>
  <si>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</si>
  <si>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</si>
  <si>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</si>
  <si>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</si>
  <si>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</si>
  <si>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</si>
  <si>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</si>
  <si>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</si>
  <si>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</si>
  <si>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</si>
  <si>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</si>
  <si>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</si>
  <si>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</si>
  <si>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</si>
  <si>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</si>
  <si>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</si>
  <si>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</si>
  <si>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</si>
  <si>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</si>
  <si>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</si>
  <si>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</si>
  <si>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</si>
  <si>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</si>
  <si>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</si>
  <si>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</si>
  <si>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</si>
  <si>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</si>
  <si>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</si>
  <si>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</si>
  <si>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</si>
  <si>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</si>
  <si>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</si>
  <si>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</si>
  <si>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</si>
  <si>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</si>
  <si>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</si>
  <si>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</si>
  <si>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</si>
  <si>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</si>
  <si>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</si>
  <si>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</si>
  <si>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</si>
  <si>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</si>
  <si>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</si>
  <si>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</si>
  <si>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</si>
  <si>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</si>
  <si>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</si>
  <si>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</si>
  <si>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</si>
  <si>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</si>
  <si>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</si>
  <si>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</si>
  <si>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</si>
  <si>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</si>
  <si>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</si>
  <si>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</si>
  <si>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</si>
  <si>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</si>
  <si>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</si>
  <si>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</si>
  <si>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</si>
  <si>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</si>
  <si>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</si>
  <si>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</si>
  <si>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</si>
  <si>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</si>
  <si>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</si>
  <si>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</si>
  <si>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</si>
  <si>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</si>
  <si>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</si>
  <si>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</si>
  <si>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</si>
  <si>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</si>
  <si>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</si>
  <si>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</si>
  <si>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</si>
  <si>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</si>
  <si>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</si>
  <si>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</si>
  <si>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</si>
  <si>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</si>
  <si>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</si>
  <si>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</si>
  <si>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</si>
  <si>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</si>
  <si>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</si>
  <si>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</si>
  <si>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</si>
  <si>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</si>
  <si>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</si>
  <si>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</si>
  <si>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</si>
  <si>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</si>
  <si>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</si>
  <si>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</si>
  <si>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</si>
  <si>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</si>
  <si>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</si>
  <si>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</si>
  <si>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</si>
  <si>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</si>
  <si>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</si>
  <si>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</si>
  <si>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</si>
  <si>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</si>
  <si>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</si>
  <si>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</si>
  <si>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</si>
  <si>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</si>
  <si>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</si>
  <si>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</si>
  <si>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</si>
  <si>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</si>
  <si>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</si>
  <si>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</si>
  <si>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</si>
  <si>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</si>
  <si>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</si>
  <si>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</si>
  <si>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</si>
  <si>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</si>
  <si>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</si>
  <si>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</si>
  <si>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</si>
  <si>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</si>
  <si>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</si>
  <si>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</si>
  <si>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</si>
  <si>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</si>
  <si>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</si>
  <si>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</si>
  <si>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</si>
  <si>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</si>
  <si>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</si>
  <si>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</si>
  <si>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</si>
  <si>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</si>
  <si>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</si>
  <si>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</si>
  <si>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</si>
  <si>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</si>
  <si>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</si>
  <si>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</si>
  <si>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</si>
  <si>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</si>
  <si>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</si>
  <si>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</si>
  <si>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</si>
  <si>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</si>
  <si>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</si>
  <si>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</si>
  <si>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</si>
  <si>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</si>
  <si>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</si>
  <si>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</si>
  <si>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</si>
  <si>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</si>
  <si>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</si>
  <si>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</si>
  <si>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</si>
  <si>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</si>
  <si>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</si>
  <si>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</si>
  <si>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</si>
  <si>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</si>
  <si>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</si>
  <si>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</si>
  <si>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</si>
  <si>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</si>
  <si>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</si>
  <si>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</si>
  <si>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</si>
  <si>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</si>
  <si>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</si>
  <si>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</si>
  <si>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</si>
  <si>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</si>
  <si>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</si>
  <si>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</si>
  <si>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</si>
  <si>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</si>
  <si>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</si>
  <si>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</si>
  <si>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</si>
  <si>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</si>
  <si>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</si>
  <si>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</si>
  <si>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</si>
  <si>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</si>
  <si>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</si>
  <si>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</si>
  <si>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</si>
  <si>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</si>
  <si>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</si>
  <si>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</si>
  <si>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</si>
  <si>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</si>
  <si>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</si>
  <si>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</si>
  <si>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</si>
  <si>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</si>
  <si>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</si>
  <si>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</si>
  <si>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</si>
  <si>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</si>
  <si>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</si>
  <si>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</si>
  <si>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</si>
  <si>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</si>
  <si>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</si>
  <si>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</si>
  <si>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</si>
  <si>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</si>
  <si>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</si>
  <si>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</si>
  <si>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</si>
  <si>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</si>
  <si>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</si>
  <si>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</si>
  <si>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</si>
  <si>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</si>
  <si>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</si>
  <si>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</si>
  <si>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</si>
  <si>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</si>
  <si>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</si>
  <si>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</si>
  <si>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</si>
  <si>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</si>
  <si>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</si>
  <si>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</si>
  <si>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</si>
  <si>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</si>
  <si>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</si>
  <si>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</si>
  <si>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</si>
  <si>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</si>
  <si>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</si>
  <si>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</si>
  <si>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</si>
  <si>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</si>
  <si>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</si>
  <si>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</si>
  <si>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</si>
  <si>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</si>
  <si>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</si>
  <si>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</si>
  <si>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</si>
  <si>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</si>
  <si>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</si>
  <si>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</si>
  <si>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</si>
  <si>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</si>
  <si>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</si>
  <si>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</si>
  <si>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</si>
  <si>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</si>
  <si>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</si>
  <si>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</si>
  <si>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</si>
  <si>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</si>
  <si>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</si>
  <si>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</si>
  <si>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</si>
  <si>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</si>
  <si>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</si>
  <si>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</si>
  <si>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</si>
  <si>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</si>
  <si>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</si>
  <si>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</si>
  <si>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</si>
  <si>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</si>
  <si>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</si>
  <si>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</si>
  <si>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</si>
  <si>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</si>
  <si>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</si>
  <si>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</si>
  <si>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</si>
  <si>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</si>
  <si>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</si>
  <si>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</si>
  <si>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</si>
  <si>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</si>
  <si>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</si>
  <si>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</si>
  <si>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</si>
  <si>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</si>
  <si>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</si>
  <si>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</si>
  <si>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</si>
  <si>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</si>
  <si>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</si>
  <si>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</si>
  <si>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</si>
  <si>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</si>
  <si>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</si>
  <si>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</si>
  <si>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</si>
  <si>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</si>
  <si>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</si>
  <si>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</si>
  <si>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</si>
  <si>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</si>
  <si>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</si>
  <si>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</si>
  <si>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</si>
  <si>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</si>
  <si>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</si>
  <si>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</si>
  <si>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</si>
  <si>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</si>
  <si>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</si>
  <si>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</si>
  <si>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</si>
  <si>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</si>
  <si>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</si>
  <si>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</si>
  <si>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</si>
  <si>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</si>
  <si>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</si>
  <si>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</si>
  <si>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</si>
  <si>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</si>
  <si>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</si>
  <si>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</si>
  <si>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</si>
  <si>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</si>
  <si>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</si>
  <si>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</si>
  <si>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</si>
  <si>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</si>
  <si>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</si>
  <si>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</si>
  <si>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</si>
  <si>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</si>
  <si>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</si>
  <si>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</si>
  <si>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</si>
  <si>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</si>
  <si>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</si>
  <si>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</si>
  <si>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</si>
  <si>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</si>
  <si>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</si>
  <si>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</si>
  <si>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</si>
  <si>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</si>
  <si>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</si>
  <si>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</si>
  <si>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</si>
  <si>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</si>
  <si>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</si>
  <si>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</si>
  <si>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</si>
  <si>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</si>
  <si>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</si>
  <si>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</si>
  <si>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</si>
  <si>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</si>
  <si>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</si>
  <si>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</si>
  <si>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</si>
  <si>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</si>
  <si>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</si>
  <si>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</si>
  <si>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</si>
  <si>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</si>
  <si>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</si>
  <si>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</si>
  <si>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</si>
  <si>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</si>
  <si>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</si>
  <si>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</si>
  <si>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</si>
  <si>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</si>
  <si>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</si>
  <si>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</si>
  <si>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</si>
  <si>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</si>
  <si>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</si>
  <si>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</si>
  <si>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</si>
  <si>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</si>
  <si>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</si>
  <si>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</si>
  <si>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</si>
  <si>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</si>
  <si>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</si>
  <si>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</si>
  <si>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</si>
  <si>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</si>
  <si>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</si>
  <si>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</si>
  <si>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</si>
  <si>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</si>
  <si>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</si>
  <si>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</si>
  <si>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</si>
  <si>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</si>
  <si>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</si>
  <si>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</si>
  <si>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</si>
  <si>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</si>
  <si>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</si>
  <si>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</si>
  <si>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</si>
  <si>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</si>
  <si>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</si>
  <si>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</si>
  <si>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</si>
  <si>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</si>
  <si>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</si>
  <si>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</si>
  <si>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</si>
  <si>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</si>
  <si>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</si>
  <si>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</si>
  <si>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</si>
  <si>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</si>
  <si>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</si>
  <si>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</si>
  <si>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</si>
  <si>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</si>
  <si>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</si>
  <si>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</si>
  <si>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</si>
  <si>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</si>
  <si>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</si>
  <si>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</si>
  <si>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</si>
  <si>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</si>
  <si>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</si>
  <si>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</si>
  <si>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</si>
  <si>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</si>
  <si>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</si>
  <si>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</si>
  <si>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</si>
  <si>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</si>
  <si>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</si>
  <si>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</si>
  <si>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</si>
  <si>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</si>
  <si>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</si>
  <si>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</si>
  <si>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</si>
  <si>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</si>
  <si>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</si>
  <si>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</si>
  <si>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</si>
  <si>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</si>
  <si>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</si>
  <si>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</si>
  <si>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</si>
  <si>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</si>
  <si>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</si>
  <si>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</si>
  <si>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</si>
  <si>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</si>
  <si>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</si>
  <si>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</si>
  <si>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</si>
  <si>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</si>
  <si>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</si>
  <si>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</si>
  <si>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</si>
  <si>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</si>
  <si>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</si>
  <si>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</si>
  <si>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</si>
  <si>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</si>
  <si>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</si>
  <si>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</si>
  <si>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</si>
  <si>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</si>
  <si>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</si>
  <si>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</si>
  <si>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</si>
  <si>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</si>
  <si>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</si>
  <si>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</si>
  <si>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</si>
  <si>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</si>
  <si>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</si>
  <si>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</si>
  <si>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</si>
  <si>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</si>
  <si>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</si>
  <si>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</si>
  <si>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</si>
  <si>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</si>
  <si>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</si>
  <si>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</si>
  <si>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</si>
  <si>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</si>
  <si>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</si>
  <si>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</si>
  <si>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</si>
  <si>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</si>
  <si>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</si>
  <si>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</si>
  <si>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</si>
  <si>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</si>
  <si>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</si>
  <si>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</si>
  <si>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</si>
  <si>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</si>
  <si>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</si>
  <si>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</si>
  <si>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</si>
  <si>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</si>
  <si>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</si>
  <si>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</si>
  <si>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</si>
  <si>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</si>
  <si>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</si>
  <si>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</si>
  <si>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</si>
  <si>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</si>
  <si>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</si>
  <si>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</si>
  <si>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</si>
  <si>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</si>
  <si>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</si>
  <si>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</si>
  <si>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</si>
  <si>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</si>
  <si>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</si>
  <si>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</si>
  <si>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</si>
  <si>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</si>
  <si>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</si>
  <si>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</si>
  <si>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</si>
  <si>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</si>
  <si>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</si>
  <si>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</si>
  <si>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</si>
  <si>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</si>
  <si>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</si>
  <si>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</si>
  <si>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</si>
  <si>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</si>
  <si>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</si>
  <si>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</si>
  <si>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</si>
  <si>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</si>
  <si>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</si>
  <si>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</si>
  <si>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</si>
  <si>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</si>
  <si>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</si>
  <si>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</si>
  <si>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</si>
  <si>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</si>
  <si>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</si>
  <si>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</si>
  <si>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</si>
  <si>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</si>
  <si>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</si>
  <si>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</si>
  <si>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</si>
  <si>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</si>
  <si>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</si>
  <si>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</si>
  <si>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</si>
  <si>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</si>
  <si>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</si>
  <si>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</si>
  <si>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</si>
  <si>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</si>
  <si>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</si>
  <si>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</si>
  <si>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</si>
  <si>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</si>
  <si>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</si>
  <si>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</si>
  <si>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</si>
  <si>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</si>
  <si>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</si>
  <si>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</si>
  <si>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</si>
  <si>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</si>
  <si>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</si>
  <si>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</si>
  <si>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</si>
  <si>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</si>
  <si>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</si>
  <si>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</si>
  <si>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</si>
  <si>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</si>
  <si>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</si>
  <si>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</si>
  <si>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</si>
  <si>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</si>
  <si>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</si>
  <si>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</si>
  <si>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</si>
  <si>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</si>
  <si>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</si>
  <si>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</si>
  <si>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</si>
  <si>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</si>
  <si>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</si>
  <si>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</si>
  <si>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</si>
  <si>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</si>
  <si>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</si>
  <si>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</si>
  <si>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</si>
  <si>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</si>
  <si>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</si>
  <si>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</si>
  <si>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</si>
  <si>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</si>
  <si>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</si>
  <si>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</si>
  <si>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</si>
  <si>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</si>
  <si>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</si>
  <si>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</si>
  <si>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</si>
  <si>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</si>
  <si>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</si>
  <si>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</si>
  <si>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</si>
  <si>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</si>
  <si>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</si>
  <si>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</si>
  <si>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</si>
  <si>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</si>
  <si>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</si>
  <si>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</si>
  <si>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</si>
  <si>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</si>
  <si>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</si>
  <si>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</si>
  <si>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</si>
  <si>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</si>
  <si>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</si>
  <si>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</si>
  <si>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</si>
  <si>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</si>
  <si>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</si>
  <si>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</si>
  <si>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</si>
  <si>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</si>
  <si>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</si>
  <si>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</si>
  <si>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</si>
  <si>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</si>
  <si>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</si>
  <si>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</si>
  <si>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</si>
  <si>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</si>
  <si>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</si>
  <si>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</si>
  <si>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</si>
  <si>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</si>
  <si>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</si>
  <si>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</si>
  <si>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</si>
  <si>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</si>
  <si>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</si>
  <si>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</si>
  <si>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</si>
  <si>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</si>
  <si>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</si>
  <si>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</si>
  <si>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</si>
  <si>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</si>
  <si>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</si>
  <si>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</si>
  <si>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</si>
  <si>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</si>
  <si>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</si>
  <si>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</si>
  <si>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</si>
  <si>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</si>
  <si>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</si>
  <si>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</si>
  <si>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</si>
  <si>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</si>
  <si>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</si>
  <si>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</si>
  <si>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</si>
  <si>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</si>
  <si>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</si>
  <si>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</si>
  <si>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</si>
  <si>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</si>
  <si>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</si>
  <si>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</si>
  <si>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</si>
  <si>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</si>
  <si>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</si>
  <si>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</si>
  <si>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</si>
  <si>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</si>
  <si>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</si>
  <si>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</si>
  <si>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</si>
  <si>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</si>
  <si>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</si>
  <si>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</si>
  <si>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</si>
  <si>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</si>
  <si>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</si>
  <si>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</si>
  <si>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</si>
  <si>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</si>
  <si>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</si>
  <si>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</si>
  <si>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</si>
  <si>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</si>
  <si>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</si>
  <si>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</si>
  <si>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</si>
  <si>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</si>
  <si>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</si>
  <si>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</si>
  <si>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</si>
  <si>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 column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</si>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</sst>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2-46BF-A5AE-B19D7B6DA68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6BF-A5AE-B19D7B6DA68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2-46BF-A5AE-B19D7B6D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921551"/>
        <c:axId val="1317923631"/>
      </c:lineChart>
      <c:catAx>
        <c:axId val="13179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23631"/>
        <c:crosses val="autoZero"/>
        <c:auto val="1"/>
        <c:lblAlgn val="ctr"/>
        <c:lblOffset val="100"/>
        <c:noMultiLvlLbl val="0"/>
      </c:catAx>
      <c:valAx>
        <c:axId val="13179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A-478E-8CFC-41D48FC5C995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A-478E-8CFC-41D48FC5C995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5A-478E-8CFC-41D48FC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795168"/>
        <c:axId val="137578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5A-478E-8CFC-41D48FC5C9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5A-478E-8CFC-41D48FC5C9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5A-478E-8CFC-41D48FC5C9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5A-478E-8CFC-41D48FC5C995}"/>
                  </c:ext>
                </c:extLst>
              </c15:ser>
            </c15:filteredLineSeries>
          </c:ext>
        </c:extLst>
      </c:lineChart>
      <c:catAx>
        <c:axId val="13757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84768"/>
        <c:crosses val="autoZero"/>
        <c:auto val="1"/>
        <c:lblAlgn val="ctr"/>
        <c:lblOffset val="100"/>
        <c:noMultiLvlLbl val="0"/>
      </c:catAx>
      <c:valAx>
        <c:axId val="1375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192087</xdr:colOff>
      <xdr:row>11</xdr:row>
      <xdr:rowOff>101600</xdr:rowOff>
    </xdr:from>
    <xdr:to>
      <xdr:col>17</xdr:col>
      <xdr:colOff>123825</xdr:colOff>
      <xdr:row>29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E49FB-760B-4802-9818-9DE09B17A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133350</xdr:rowOff>
    </xdr:from>
    <xdr:to>
      <xdr:col>15</xdr:col>
      <xdr:colOff>428625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7C04-EF7A-4E3A-A564-B472B769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mohap" refreshedDate="44268.479665393519" createdVersion="6" refreshedVersion="6" minRefreshableVersion="3" recordCount="4114" xr:uid="{97309319-D53F-43EB-BBA7-ADAFED74CD29}">
  <cacheSource type="worksheet">
    <worksheetSource ref="A1:U4115" sheet="Kick 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colum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F3867-DAEA-493F-9BCC-3847473CE30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70" zoomScaleNormal="70" workbookViewId="0">
      <selection activeCell="L13" sqref="L1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2.08984375" customWidth="1"/>
    <col min="16" max="16" width="15.90625" bestFit="1" customWidth="1"/>
    <col min="17" max="17" width="16.26953125" customWidth="1"/>
    <col min="18" max="18" width="15.6328125" bestFit="1" customWidth="1"/>
    <col min="19" max="19" width="26.453125" style="14" customWidth="1"/>
    <col min="20" max="20" width="36.90625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8365</v>
      </c>
      <c r="T1" s="15" t="s">
        <v>8366</v>
      </c>
      <c r="U1" t="s">
        <v>8379</v>
      </c>
    </row>
    <row r="2" spans="1:21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 t="shared" ref="S2:S66" si="0"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1">ROUND(E3/D3*100,0)</f>
        <v>143</v>
      </c>
      <c r="P3">
        <f t="shared" ref="P3:P66" si="2">IFERROR(ROUND(E3/L3,2),0)</f>
        <v>185.48</v>
      </c>
      <c r="Q3" s="10" t="s">
        <v>8308</v>
      </c>
      <c r="R3" t="s">
        <v>8309</v>
      </c>
      <c r="S3" s="14">
        <f t="shared" si="0"/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si="2"/>
        <v>15</v>
      </c>
      <c r="Q4" s="10" t="s">
        <v>8308</v>
      </c>
      <c r="R4" t="s">
        <v>8309</v>
      </c>
      <c r="S4" s="14">
        <f t="shared" si="0"/>
        <v>42405.702349537038</v>
      </c>
      <c r="T4" s="14">
        <f t="shared" si="3"/>
        <v>42415.702349537038</v>
      </c>
      <c r="U4">
        <f t="shared" si="4"/>
        <v>2016</v>
      </c>
    </row>
    <row r="5" spans="1:21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2"/>
        <v>69.27</v>
      </c>
      <c r="Q5" s="10" t="s">
        <v>8308</v>
      </c>
      <c r="R5" t="s">
        <v>8309</v>
      </c>
      <c r="S5" s="14">
        <f t="shared" si="0"/>
        <v>41828.515127314815</v>
      </c>
      <c r="T5" s="14">
        <f t="shared" si="3"/>
        <v>41858.515127314815</v>
      </c>
      <c r="U5">
        <f t="shared" si="4"/>
        <v>2014</v>
      </c>
    </row>
    <row r="6" spans="1:21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2"/>
        <v>190.55</v>
      </c>
      <c r="Q6" s="10" t="s">
        <v>8308</v>
      </c>
      <c r="R6" t="s">
        <v>8309</v>
      </c>
      <c r="S6" s="14">
        <f t="shared" si="0"/>
        <v>42327.834247685183</v>
      </c>
      <c r="T6" s="14">
        <f t="shared" si="3"/>
        <v>42357.834247685183</v>
      </c>
      <c r="U6">
        <f t="shared" si="4"/>
        <v>2015</v>
      </c>
    </row>
    <row r="7" spans="1:21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2"/>
        <v>93.4</v>
      </c>
      <c r="Q7" s="10" t="s">
        <v>8308</v>
      </c>
      <c r="R7" t="s">
        <v>8309</v>
      </c>
      <c r="S7" s="14">
        <f t="shared" si="0"/>
        <v>42563.932951388888</v>
      </c>
      <c r="T7" s="14">
        <f t="shared" si="3"/>
        <v>42580.232638888891</v>
      </c>
      <c r="U7">
        <f t="shared" si="4"/>
        <v>2016</v>
      </c>
    </row>
    <row r="8" spans="1:21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2"/>
        <v>146.88</v>
      </c>
      <c r="Q8" s="10" t="s">
        <v>8308</v>
      </c>
      <c r="R8" t="s">
        <v>8309</v>
      </c>
      <c r="S8" s="14">
        <f t="shared" si="0"/>
        <v>41794.072337962964</v>
      </c>
      <c r="T8" s="14">
        <f t="shared" si="3"/>
        <v>41804.072337962964</v>
      </c>
      <c r="U8">
        <f t="shared" si="4"/>
        <v>2014</v>
      </c>
    </row>
    <row r="9" spans="1:21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2"/>
        <v>159.82</v>
      </c>
      <c r="Q9" s="10" t="s">
        <v>8308</v>
      </c>
      <c r="R9" t="s">
        <v>8309</v>
      </c>
      <c r="S9" s="14">
        <f t="shared" si="0"/>
        <v>42516.047071759262</v>
      </c>
      <c r="T9" s="14">
        <f t="shared" si="3"/>
        <v>42556.047071759262</v>
      </c>
      <c r="U9">
        <f t="shared" si="4"/>
        <v>2016</v>
      </c>
    </row>
    <row r="10" spans="1:21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2"/>
        <v>291.79000000000002</v>
      </c>
      <c r="Q10" s="10" t="s">
        <v>8308</v>
      </c>
      <c r="R10" t="s">
        <v>8309</v>
      </c>
      <c r="S10" s="14">
        <f t="shared" si="0"/>
        <v>42468.94458333333</v>
      </c>
      <c r="T10" s="14">
        <f t="shared" si="3"/>
        <v>42475.875</v>
      </c>
      <c r="U10">
        <f t="shared" si="4"/>
        <v>2016</v>
      </c>
    </row>
    <row r="11" spans="1:21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2"/>
        <v>31.5</v>
      </c>
      <c r="Q11" s="10" t="s">
        <v>8308</v>
      </c>
      <c r="R11" t="s">
        <v>8309</v>
      </c>
      <c r="S11" s="14">
        <f t="shared" si="0"/>
        <v>42447.103518518517</v>
      </c>
      <c r="T11" s="14">
        <f t="shared" si="3"/>
        <v>42477.103518518517</v>
      </c>
      <c r="U11">
        <f t="shared" si="4"/>
        <v>2016</v>
      </c>
    </row>
    <row r="12" spans="1:21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2"/>
        <v>158.68</v>
      </c>
      <c r="Q12" s="10" t="s">
        <v>8308</v>
      </c>
      <c r="R12" t="s">
        <v>8309</v>
      </c>
      <c r="S12" s="14">
        <f t="shared" si="0"/>
        <v>41780.068043981482</v>
      </c>
      <c r="T12" s="14">
        <f t="shared" si="3"/>
        <v>41815.068043981482</v>
      </c>
      <c r="U12">
        <f t="shared" si="4"/>
        <v>2014</v>
      </c>
    </row>
    <row r="13" spans="1:21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2"/>
        <v>80.33</v>
      </c>
      <c r="Q13" s="10" t="s">
        <v>8308</v>
      </c>
      <c r="R13" t="s">
        <v>8309</v>
      </c>
      <c r="S13" s="14">
        <f t="shared" si="0"/>
        <v>42572.778495370367</v>
      </c>
      <c r="T13" s="14">
        <f t="shared" si="3"/>
        <v>42604.125</v>
      </c>
      <c r="U13">
        <f t="shared" si="4"/>
        <v>2016</v>
      </c>
    </row>
    <row r="14" spans="1:21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2"/>
        <v>59.96</v>
      </c>
      <c r="Q14" s="10" t="s">
        <v>8308</v>
      </c>
      <c r="R14" t="s">
        <v>8309</v>
      </c>
      <c r="S14" s="14">
        <f t="shared" si="0"/>
        <v>41791.713252314818</v>
      </c>
      <c r="T14" s="14">
        <f t="shared" si="3"/>
        <v>41836.125</v>
      </c>
      <c r="U14">
        <f t="shared" si="4"/>
        <v>2014</v>
      </c>
    </row>
    <row r="15" spans="1:21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2"/>
        <v>109.78</v>
      </c>
      <c r="Q15" s="10" t="s">
        <v>8308</v>
      </c>
      <c r="R15" t="s">
        <v>8309</v>
      </c>
      <c r="S15" s="14">
        <f t="shared" si="0"/>
        <v>42508.677187499998</v>
      </c>
      <c r="T15" s="14">
        <f t="shared" si="3"/>
        <v>42544.852083333331</v>
      </c>
      <c r="U15">
        <f t="shared" si="4"/>
        <v>2016</v>
      </c>
    </row>
    <row r="16" spans="1:21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2"/>
        <v>147.71</v>
      </c>
      <c r="Q16" s="10" t="s">
        <v>8308</v>
      </c>
      <c r="R16" t="s">
        <v>8309</v>
      </c>
      <c r="S16" s="14">
        <f t="shared" si="0"/>
        <v>41808.02648148148</v>
      </c>
      <c r="T16" s="14">
        <f t="shared" si="3"/>
        <v>41833.582638888889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2"/>
        <v>21.76</v>
      </c>
      <c r="Q17" s="10" t="s">
        <v>8308</v>
      </c>
      <c r="R17" t="s">
        <v>8309</v>
      </c>
      <c r="S17" s="14">
        <f t="shared" si="0"/>
        <v>42256.391875000001</v>
      </c>
      <c r="T17" s="14">
        <f t="shared" si="3"/>
        <v>42274.843055555553</v>
      </c>
      <c r="U17">
        <f t="shared" si="4"/>
        <v>2015</v>
      </c>
    </row>
    <row r="18" spans="1:21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2"/>
        <v>171.84</v>
      </c>
      <c r="Q18" s="10" t="s">
        <v>8308</v>
      </c>
      <c r="R18" t="s">
        <v>8309</v>
      </c>
      <c r="S18" s="14">
        <f t="shared" si="0"/>
        <v>41760.796423611115</v>
      </c>
      <c r="T18" s="14">
        <f t="shared" si="3"/>
        <v>41806.229166666664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2"/>
        <v>41.94</v>
      </c>
      <c r="Q19" s="10" t="s">
        <v>8308</v>
      </c>
      <c r="R19" t="s">
        <v>8309</v>
      </c>
      <c r="S19" s="14">
        <f t="shared" si="0"/>
        <v>41917.731736111113</v>
      </c>
      <c r="T19" s="14">
        <f t="shared" si="3"/>
        <v>41947.773402777777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2"/>
        <v>93.26</v>
      </c>
      <c r="Q20" s="10" t="s">
        <v>8308</v>
      </c>
      <c r="R20" t="s">
        <v>8309</v>
      </c>
      <c r="S20" s="14">
        <f t="shared" si="0"/>
        <v>41869.542314814818</v>
      </c>
      <c r="T20" s="14">
        <f t="shared" si="3"/>
        <v>41899.542314814818</v>
      </c>
      <c r="U20">
        <f t="shared" si="4"/>
        <v>2014</v>
      </c>
    </row>
    <row r="21" spans="1:21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2"/>
        <v>56.14</v>
      </c>
      <c r="Q21" s="10" t="s">
        <v>8308</v>
      </c>
      <c r="R21" t="s">
        <v>8309</v>
      </c>
      <c r="S21" s="14">
        <f t="shared" si="0"/>
        <v>42175.816365740742</v>
      </c>
      <c r="T21" s="14">
        <f t="shared" si="3"/>
        <v>42205.816365740742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2"/>
        <v>80.16</v>
      </c>
      <c r="Q22" s="10" t="s">
        <v>8308</v>
      </c>
      <c r="R22" t="s">
        <v>8309</v>
      </c>
      <c r="S22" s="14">
        <f t="shared" si="0"/>
        <v>42200.758240740746</v>
      </c>
      <c r="T22" s="14">
        <f t="shared" si="3"/>
        <v>42260.758240740746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2"/>
        <v>199.9</v>
      </c>
      <c r="Q23" s="10" t="s">
        <v>8308</v>
      </c>
      <c r="R23" t="s">
        <v>8309</v>
      </c>
      <c r="S23" s="14">
        <f t="shared" si="0"/>
        <v>41878.627187500002</v>
      </c>
      <c r="T23" s="14">
        <f t="shared" si="3"/>
        <v>41908.627187500002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2"/>
        <v>51.25</v>
      </c>
      <c r="Q24" s="10" t="s">
        <v>8308</v>
      </c>
      <c r="R24" t="s">
        <v>8309</v>
      </c>
      <c r="S24" s="14">
        <f t="shared" si="0"/>
        <v>41989.91134259259</v>
      </c>
      <c r="T24" s="14">
        <f t="shared" si="3"/>
        <v>42005.332638888889</v>
      </c>
      <c r="U24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2"/>
        <v>103.04</v>
      </c>
      <c r="Q25" s="10" t="s">
        <v>8308</v>
      </c>
      <c r="R25" t="s">
        <v>8309</v>
      </c>
      <c r="S25" s="14">
        <f t="shared" si="0"/>
        <v>42097.778946759259</v>
      </c>
      <c r="T25" s="14">
        <f t="shared" si="3"/>
        <v>42124.638888888891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2"/>
        <v>66.349999999999994</v>
      </c>
      <c r="Q26" s="10" t="s">
        <v>8308</v>
      </c>
      <c r="R26" t="s">
        <v>8309</v>
      </c>
      <c r="S26" s="14">
        <f t="shared" si="0"/>
        <v>42229.820173611108</v>
      </c>
      <c r="T26" s="14">
        <f t="shared" si="3"/>
        <v>42262.818750000006</v>
      </c>
      <c r="U26">
        <f t="shared" si="4"/>
        <v>2015</v>
      </c>
    </row>
    <row r="27" spans="1:21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2"/>
        <v>57.14</v>
      </c>
      <c r="Q27" s="10" t="s">
        <v>8308</v>
      </c>
      <c r="R27" t="s">
        <v>8309</v>
      </c>
      <c r="S27" s="14">
        <f t="shared" si="0"/>
        <v>42318.025011574078</v>
      </c>
      <c r="T27" s="14">
        <f t="shared" si="3"/>
        <v>42378.025011574078</v>
      </c>
      <c r="U27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2"/>
        <v>102.11</v>
      </c>
      <c r="Q28" s="10" t="s">
        <v>8308</v>
      </c>
      <c r="R28" t="s">
        <v>8309</v>
      </c>
      <c r="S28" s="14">
        <f t="shared" si="0"/>
        <v>41828.515555555554</v>
      </c>
      <c r="T28" s="14">
        <f t="shared" si="3"/>
        <v>41868.515555555554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2"/>
        <v>148.97</v>
      </c>
      <c r="Q29" s="10" t="s">
        <v>8308</v>
      </c>
      <c r="R29" t="s">
        <v>8309</v>
      </c>
      <c r="S29" s="14">
        <f t="shared" si="0"/>
        <v>41929.164733796293</v>
      </c>
      <c r="T29" s="14">
        <f t="shared" si="3"/>
        <v>41959.206400462965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2"/>
        <v>169.61</v>
      </c>
      <c r="Q30" s="10" t="s">
        <v>8308</v>
      </c>
      <c r="R30" t="s">
        <v>8309</v>
      </c>
      <c r="S30" s="14">
        <f t="shared" si="0"/>
        <v>42324.96393518518</v>
      </c>
      <c r="T30" s="14">
        <f t="shared" si="3"/>
        <v>42354.96393518518</v>
      </c>
      <c r="U30">
        <f t="shared" si="4"/>
        <v>2015</v>
      </c>
    </row>
    <row r="31" spans="1:21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2"/>
        <v>31.62</v>
      </c>
      <c r="Q31" s="10" t="s">
        <v>8308</v>
      </c>
      <c r="R31" t="s">
        <v>8309</v>
      </c>
      <c r="S31" s="14">
        <f t="shared" si="0"/>
        <v>41812.67324074074</v>
      </c>
      <c r="T31" s="14">
        <f t="shared" si="3"/>
        <v>41842.67324074074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2"/>
        <v>76.45</v>
      </c>
      <c r="Q32" s="10" t="s">
        <v>8308</v>
      </c>
      <c r="R32" t="s">
        <v>8309</v>
      </c>
      <c r="S32" s="14">
        <f t="shared" si="0"/>
        <v>41842.292997685188</v>
      </c>
      <c r="T32" s="14">
        <f t="shared" si="3"/>
        <v>41872.292997685188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2"/>
        <v>13</v>
      </c>
      <c r="Q33" s="10" t="s">
        <v>8308</v>
      </c>
      <c r="R33" t="s">
        <v>8309</v>
      </c>
      <c r="S33" s="14">
        <f t="shared" si="0"/>
        <v>42376.79206018518</v>
      </c>
      <c r="T33" s="14">
        <f t="shared" si="3"/>
        <v>42394.79206018518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si="2"/>
        <v>320.45</v>
      </c>
      <c r="Q34" s="10" t="s">
        <v>8308</v>
      </c>
      <c r="R34" t="s">
        <v>8309</v>
      </c>
      <c r="S34" s="14">
        <f t="shared" si="0"/>
        <v>42461.627511574072</v>
      </c>
      <c r="T34" s="14">
        <f t="shared" si="3"/>
        <v>42503.165972222225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2"/>
        <v>83.75</v>
      </c>
      <c r="Q35" s="10" t="s">
        <v>8308</v>
      </c>
      <c r="R35" t="s">
        <v>8309</v>
      </c>
      <c r="S35" s="14">
        <f t="shared" si="0"/>
        <v>42286.660891203705</v>
      </c>
      <c r="T35" s="14">
        <f t="shared" si="3"/>
        <v>42316.702557870376</v>
      </c>
      <c r="U35">
        <f t="shared" si="4"/>
        <v>2015</v>
      </c>
    </row>
    <row r="36" spans="1:21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2"/>
        <v>49.88</v>
      </c>
      <c r="Q36" s="10" t="s">
        <v>8308</v>
      </c>
      <c r="R36" t="s">
        <v>8309</v>
      </c>
      <c r="S36" s="14">
        <f t="shared" si="0"/>
        <v>41841.321770833332</v>
      </c>
      <c r="T36" s="14">
        <f t="shared" si="3"/>
        <v>41856.321770833332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2"/>
        <v>59.46</v>
      </c>
      <c r="Q37" s="10" t="s">
        <v>8308</v>
      </c>
      <c r="R37" t="s">
        <v>8309</v>
      </c>
      <c r="S37" s="14">
        <f t="shared" si="0"/>
        <v>42098.291828703703</v>
      </c>
      <c r="T37" s="14">
        <f t="shared" si="3"/>
        <v>42122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2"/>
        <v>193.84</v>
      </c>
      <c r="Q38" s="10" t="s">
        <v>8308</v>
      </c>
      <c r="R38" t="s">
        <v>8309</v>
      </c>
      <c r="S38" s="14">
        <f t="shared" si="0"/>
        <v>42068.307002314818</v>
      </c>
      <c r="T38" s="14">
        <f t="shared" si="3"/>
        <v>42098.265335648146</v>
      </c>
      <c r="U38">
        <f t="shared" si="4"/>
        <v>2015</v>
      </c>
    </row>
    <row r="39" spans="1:21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2"/>
        <v>159.51</v>
      </c>
      <c r="Q39" s="10" t="s">
        <v>8308</v>
      </c>
      <c r="R39" t="s">
        <v>8309</v>
      </c>
      <c r="S39" s="14">
        <f t="shared" si="0"/>
        <v>42032.693043981482</v>
      </c>
      <c r="T39" s="14">
        <f t="shared" si="3"/>
        <v>42062.693043981482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2"/>
        <v>41.68</v>
      </c>
      <c r="Q40" s="10" t="s">
        <v>8308</v>
      </c>
      <c r="R40" t="s">
        <v>8309</v>
      </c>
      <c r="S40" s="14">
        <f t="shared" si="0"/>
        <v>41375.057222222218</v>
      </c>
      <c r="T40" s="14">
        <f t="shared" si="3"/>
        <v>41405.057222222218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2"/>
        <v>150.9</v>
      </c>
      <c r="Q41" s="10" t="s">
        <v>8308</v>
      </c>
      <c r="R41" t="s">
        <v>8309</v>
      </c>
      <c r="S41" s="14">
        <f t="shared" si="0"/>
        <v>41754.047083333331</v>
      </c>
      <c r="T41" s="14">
        <f t="shared" si="3"/>
        <v>41784.957638888889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2"/>
        <v>126.69</v>
      </c>
      <c r="Q42" s="10" t="s">
        <v>8308</v>
      </c>
      <c r="R42" t="s">
        <v>8309</v>
      </c>
      <c r="S42" s="14">
        <f t="shared" si="0"/>
        <v>41789.21398148148</v>
      </c>
      <c r="T42" s="14">
        <f t="shared" si="3"/>
        <v>41809.166666666664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2"/>
        <v>105.26</v>
      </c>
      <c r="Q43" s="10" t="s">
        <v>8308</v>
      </c>
      <c r="R43" t="s">
        <v>8309</v>
      </c>
      <c r="S43" s="14">
        <f t="shared" si="0"/>
        <v>41887.568912037037</v>
      </c>
      <c r="T43" s="14">
        <f t="shared" si="3"/>
        <v>41917.568912037037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2"/>
        <v>117.51</v>
      </c>
      <c r="Q44" s="10" t="s">
        <v>8308</v>
      </c>
      <c r="R44" t="s">
        <v>8309</v>
      </c>
      <c r="S44" s="14">
        <f t="shared" si="0"/>
        <v>41971.639189814814</v>
      </c>
      <c r="T44" s="14">
        <f t="shared" si="3"/>
        <v>42001.639189814814</v>
      </c>
      <c r="U44">
        <f t="shared" si="4"/>
        <v>2014</v>
      </c>
    </row>
    <row r="45" spans="1:21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2"/>
        <v>117.36</v>
      </c>
      <c r="Q45" s="10" t="s">
        <v>8308</v>
      </c>
      <c r="R45" t="s">
        <v>8309</v>
      </c>
      <c r="S45" s="14">
        <f t="shared" si="0"/>
        <v>41802.790347222224</v>
      </c>
      <c r="T45" s="14">
        <f t="shared" si="3"/>
        <v>41833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2"/>
        <v>133.33000000000001</v>
      </c>
      <c r="Q46" s="10" t="s">
        <v>8308</v>
      </c>
      <c r="R46" t="s">
        <v>8309</v>
      </c>
      <c r="S46" s="14">
        <f t="shared" si="0"/>
        <v>41874.098807870374</v>
      </c>
      <c r="T46" s="14">
        <f t="shared" si="3"/>
        <v>41919.098807870374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2"/>
        <v>98.36</v>
      </c>
      <c r="Q47" s="10" t="s">
        <v>8308</v>
      </c>
      <c r="R47" t="s">
        <v>8309</v>
      </c>
      <c r="S47" s="14">
        <f t="shared" si="0"/>
        <v>42457.623923611114</v>
      </c>
      <c r="T47" s="14">
        <f t="shared" si="3"/>
        <v>42487.623923611114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2"/>
        <v>194.44</v>
      </c>
      <c r="Q48" s="10" t="s">
        <v>8308</v>
      </c>
      <c r="R48" t="s">
        <v>8309</v>
      </c>
      <c r="S48" s="14">
        <f t="shared" si="0"/>
        <v>42323.964976851858</v>
      </c>
      <c r="T48" s="14">
        <f t="shared" si="3"/>
        <v>42353.964976851858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2"/>
        <v>76.87</v>
      </c>
      <c r="Q49" s="10" t="s">
        <v>8308</v>
      </c>
      <c r="R49" t="s">
        <v>8309</v>
      </c>
      <c r="S49" s="14">
        <f t="shared" si="0"/>
        <v>41932.819525462961</v>
      </c>
      <c r="T49" s="14">
        <f t="shared" si="3"/>
        <v>41992.861192129625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2"/>
        <v>56.82</v>
      </c>
      <c r="Q50" s="10" t="s">
        <v>8308</v>
      </c>
      <c r="R50" t="s">
        <v>8309</v>
      </c>
      <c r="S50" s="14">
        <f t="shared" si="0"/>
        <v>42033.516898148147</v>
      </c>
      <c r="T50" s="14">
        <f t="shared" si="3"/>
        <v>42064.5</v>
      </c>
      <c r="U50">
        <f t="shared" si="4"/>
        <v>2015</v>
      </c>
    </row>
    <row r="51" spans="1:2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2"/>
        <v>137.93</v>
      </c>
      <c r="Q51" s="10" t="s">
        <v>8308</v>
      </c>
      <c r="R51" t="s">
        <v>8309</v>
      </c>
      <c r="S51" s="14">
        <f t="shared" si="0"/>
        <v>42271.176446759258</v>
      </c>
      <c r="T51" s="14">
        <f t="shared" si="3"/>
        <v>42301.176446759258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2"/>
        <v>27.27</v>
      </c>
      <c r="Q52" s="10" t="s">
        <v>8308</v>
      </c>
      <c r="R52" t="s">
        <v>8309</v>
      </c>
      <c r="S52" s="14">
        <f t="shared" si="0"/>
        <v>41995.752986111111</v>
      </c>
      <c r="T52" s="14">
        <f t="shared" si="3"/>
        <v>42034.708333333328</v>
      </c>
      <c r="U52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2"/>
        <v>118.34</v>
      </c>
      <c r="Q53" s="10" t="s">
        <v>8308</v>
      </c>
      <c r="R53" t="s">
        <v>8309</v>
      </c>
      <c r="S53" s="14">
        <f t="shared" si="0"/>
        <v>42196.928668981483</v>
      </c>
      <c r="T53" s="14">
        <f t="shared" si="3"/>
        <v>42226.928668981483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2"/>
        <v>223.48</v>
      </c>
      <c r="Q54" s="10" t="s">
        <v>8308</v>
      </c>
      <c r="R54" t="s">
        <v>8309</v>
      </c>
      <c r="S54" s="14">
        <f t="shared" si="0"/>
        <v>41807.701921296299</v>
      </c>
      <c r="T54" s="14">
        <f t="shared" si="3"/>
        <v>41837.701921296299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2"/>
        <v>28.11</v>
      </c>
      <c r="Q55" s="10" t="s">
        <v>8308</v>
      </c>
      <c r="R55" t="s">
        <v>8309</v>
      </c>
      <c r="S55" s="14">
        <f t="shared" si="0"/>
        <v>41719.549131944441</v>
      </c>
      <c r="T55" s="14">
        <f t="shared" si="3"/>
        <v>41733.916666666664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2"/>
        <v>194.23</v>
      </c>
      <c r="Q56" s="10" t="s">
        <v>8308</v>
      </c>
      <c r="R56" t="s">
        <v>8309</v>
      </c>
      <c r="S56" s="14">
        <f t="shared" si="0"/>
        <v>42333.713206018518</v>
      </c>
      <c r="T56" s="14">
        <f t="shared" si="3"/>
        <v>42363.713206018518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2"/>
        <v>128.94999999999999</v>
      </c>
      <c r="Q57" s="10" t="s">
        <v>8308</v>
      </c>
      <c r="R57" t="s">
        <v>8309</v>
      </c>
      <c r="S57" s="14">
        <f t="shared" si="0"/>
        <v>42496.968935185185</v>
      </c>
      <c r="T57" s="14">
        <f t="shared" si="3"/>
        <v>42517.968935185185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2"/>
        <v>49.32</v>
      </c>
      <c r="Q58" s="10" t="s">
        <v>8308</v>
      </c>
      <c r="R58" t="s">
        <v>8309</v>
      </c>
      <c r="S58" s="14">
        <f t="shared" si="0"/>
        <v>42149.548888888887</v>
      </c>
      <c r="T58" s="14">
        <f t="shared" si="3"/>
        <v>42163.666666666672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2"/>
        <v>221.52</v>
      </c>
      <c r="Q59" s="10" t="s">
        <v>8308</v>
      </c>
      <c r="R59" t="s">
        <v>8309</v>
      </c>
      <c r="S59" s="14">
        <f t="shared" si="0"/>
        <v>42089.83289351852</v>
      </c>
      <c r="T59" s="14">
        <f t="shared" si="3"/>
        <v>42119.83289351852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2"/>
        <v>137.21</v>
      </c>
      <c r="Q60" s="10" t="s">
        <v>8308</v>
      </c>
      <c r="R60" t="s">
        <v>8309</v>
      </c>
      <c r="S60" s="14">
        <f t="shared" si="0"/>
        <v>41932.745046296295</v>
      </c>
      <c r="T60" s="14">
        <f t="shared" si="3"/>
        <v>41962.786712962959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2"/>
        <v>606.82000000000005</v>
      </c>
      <c r="Q61" s="10" t="s">
        <v>8308</v>
      </c>
      <c r="R61" t="s">
        <v>8309</v>
      </c>
      <c r="S61" s="14">
        <f t="shared" si="0"/>
        <v>42230.23583333334</v>
      </c>
      <c r="T61" s="14">
        <f t="shared" si="3"/>
        <v>42261.875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2"/>
        <v>43.04</v>
      </c>
      <c r="Q62" s="10" t="s">
        <v>8308</v>
      </c>
      <c r="R62" t="s">
        <v>8310</v>
      </c>
      <c r="S62" s="14">
        <f t="shared" si="0"/>
        <v>41701.901817129627</v>
      </c>
      <c r="T62" s="14">
        <f t="shared" si="3"/>
        <v>41721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2"/>
        <v>322.39</v>
      </c>
      <c r="Q63" s="10" t="s">
        <v>8308</v>
      </c>
      <c r="R63" t="s">
        <v>8310</v>
      </c>
      <c r="S63" s="14">
        <f t="shared" si="0"/>
        <v>41409.814317129632</v>
      </c>
      <c r="T63" s="14">
        <f t="shared" si="3"/>
        <v>41431.814317129632</v>
      </c>
      <c r="U63">
        <f t="shared" si="4"/>
        <v>2013</v>
      </c>
    </row>
    <row r="64" spans="1:21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2"/>
        <v>96.71</v>
      </c>
      <c r="Q64" s="10" t="s">
        <v>8308</v>
      </c>
      <c r="R64" t="s">
        <v>8310</v>
      </c>
      <c r="S64" s="14">
        <f t="shared" si="0"/>
        <v>41311.799513888887</v>
      </c>
      <c r="T64" s="14">
        <f t="shared" si="3"/>
        <v>41336.799513888887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2"/>
        <v>35.47</v>
      </c>
      <c r="Q65" s="10" t="s">
        <v>8308</v>
      </c>
      <c r="R65" t="s">
        <v>8310</v>
      </c>
      <c r="S65" s="14">
        <f t="shared" si="0"/>
        <v>41612.912187499998</v>
      </c>
      <c r="T65" s="14">
        <f t="shared" si="3"/>
        <v>41636.207638888889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1"/>
        <v>173</v>
      </c>
      <c r="P66">
        <f t="shared" si="2"/>
        <v>86.67</v>
      </c>
      <c r="Q66" s="10" t="s">
        <v>8308</v>
      </c>
      <c r="R66" t="s">
        <v>8310</v>
      </c>
      <c r="S66" s="14">
        <f t="shared" si="0"/>
        <v>41433.01829861111</v>
      </c>
      <c r="T66" s="14">
        <f t="shared" si="3"/>
        <v>41463.01829861111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1" xr:uid="{D3868ACA-E22C-4A31-A493-23F7EC8409F9}"/>
  <conditionalFormatting sqref="F1:F1048576"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conditionalFormatting sqref="R1:S1 P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5DD9-16DB-4361-B4A6-30F818DF6877}">
  <dimension ref="A1:E18"/>
  <sheetViews>
    <sheetView workbookViewId="0">
      <selection activeCell="J7" sqref="J7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5" width="10.7265625" bestFit="1" customWidth="1"/>
  </cols>
  <sheetData>
    <row r="1" spans="1:5" x14ac:dyDescent="0.35">
      <c r="A1" s="11" t="s">
        <v>8358</v>
      </c>
      <c r="B1" t="s">
        <v>8315</v>
      </c>
    </row>
    <row r="2" spans="1:5" x14ac:dyDescent="0.35">
      <c r="A2" s="11" t="s">
        <v>8379</v>
      </c>
      <c r="B2" t="s">
        <v>8364</v>
      </c>
    </row>
    <row r="4" spans="1:5" x14ac:dyDescent="0.35">
      <c r="A4" s="11" t="s">
        <v>8363</v>
      </c>
      <c r="B4" s="11" t="s">
        <v>8362</v>
      </c>
    </row>
    <row r="5" spans="1:5" x14ac:dyDescent="0.35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5">
      <c r="A6" s="16" t="s">
        <v>8372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5">
      <c r="A7" s="16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5">
      <c r="A8" s="16" t="s">
        <v>8374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5">
      <c r="A9" s="16" t="s">
        <v>8375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5">
      <c r="A10" s="16" t="s">
        <v>8376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5">
      <c r="A11" s="16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5">
      <c r="A12" s="16" t="s">
        <v>8378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5">
      <c r="A13" s="16" t="s">
        <v>8367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5">
      <c r="A14" s="16" t="s">
        <v>8368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5">
      <c r="A15" s="16" t="s">
        <v>8369</v>
      </c>
      <c r="B15" s="12">
        <v>65</v>
      </c>
      <c r="C15" s="12">
        <v>50</v>
      </c>
      <c r="D15" s="12"/>
      <c r="E15" s="12">
        <v>115</v>
      </c>
    </row>
    <row r="16" spans="1:5" x14ac:dyDescent="0.35">
      <c r="A16" s="16" t="s">
        <v>8370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5">
      <c r="A17" s="16" t="s">
        <v>8371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5">
      <c r="A18" s="16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B52E-CED5-4B15-840D-1084B6182CFB}">
  <dimension ref="A1:H13"/>
  <sheetViews>
    <sheetView workbookViewId="0">
      <selection activeCell="L35" sqref="L35"/>
    </sheetView>
  </sheetViews>
  <sheetFormatPr defaultRowHeight="14.5" x14ac:dyDescent="0.35"/>
  <cols>
    <col min="1" max="1" width="17.08984375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90625" bestFit="1" customWidth="1"/>
    <col min="7" max="7" width="16.1796875" bestFit="1" customWidth="1"/>
    <col min="8" max="8" width="18.90625" bestFit="1" customWidth="1"/>
  </cols>
  <sheetData>
    <row r="1" spans="1:8" x14ac:dyDescent="0.35">
      <c r="A1" t="s">
        <v>8380</v>
      </c>
      <c r="B1" t="s">
        <v>8381</v>
      </c>
      <c r="C1" t="s">
        <v>8394</v>
      </c>
      <c r="D1" t="s">
        <v>8395</v>
      </c>
      <c r="E1" t="s">
        <v>8396</v>
      </c>
      <c r="F1" t="s">
        <v>8397</v>
      </c>
      <c r="G1" t="s">
        <v>8398</v>
      </c>
      <c r="H1" t="s">
        <v>8399</v>
      </c>
    </row>
    <row r="2" spans="1:8" x14ac:dyDescent="0.35">
      <c r="A2" t="s">
        <v>8382</v>
      </c>
      <c r="B2">
        <f>COUNTIFS('Kick Starter'!$D:$D,"&lt;1000",'Kick Starter'!$F:$F,"=successful",'Kick Starter'!$R:$R,"plays")</f>
        <v>141</v>
      </c>
      <c r="C2">
        <f>COUNTIFS('Kick Starter'!$D:$D,"&lt;1000",'Kick Starter'!$F:$F,"=failed",'Kick Starter'!$R:$R,"plays")</f>
        <v>45</v>
      </c>
      <c r="D2">
        <f>COUNTIFS('Kick Starter'!$D:$D,"&lt;1000",'Kick Starter'!$F:$F,"=canceled",'Kick Starter'!$R:$R,"plays")</f>
        <v>0</v>
      </c>
      <c r="E2">
        <f>SUM(B2,C2,D2)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8" x14ac:dyDescent="0.35">
      <c r="A3" t="s">
        <v>8383</v>
      </c>
      <c r="B3">
        <f>COUNTIFS('Kick Starter'!$D:$D,"&gt;=1000",'Kick Starter'!$F:$F,"=successful",'Kick Starter'!$R:$R,"plays",'Kick Starter'!$D:$D,"&lt;=4999")</f>
        <v>388</v>
      </c>
      <c r="C3">
        <f>COUNTIFS('Kick Starter'!$D:$D,"&gt;=1000",'Kick Starter'!$F:$F,"=failed",'Kick Starter'!$R:$R,"plays",'Kick Starter'!$D:$D,"&lt;=4999")</f>
        <v>146</v>
      </c>
      <c r="D3">
        <f>COUNTIFS('Kick Starter'!$D:$D,"&gt;=1000",'Kick Starter'!$F:$F,"=canceled",'Kick Starter'!$R:$R,"plays",'Kick Starter'!$D:$D,"&lt;=4999")</f>
        <v>0</v>
      </c>
      <c r="E3">
        <f>SUM(B3,C3,D3)</f>
        <v>534</v>
      </c>
      <c r="F3" s="17">
        <f>B3/$E3</f>
        <v>0.72659176029962547</v>
      </c>
      <c r="G3" s="17">
        <f>C3/$E3</f>
        <v>0.27340823970037453</v>
      </c>
      <c r="H3" s="17">
        <f>D3/$E3</f>
        <v>0</v>
      </c>
    </row>
    <row r="4" spans="1:8" x14ac:dyDescent="0.35">
      <c r="A4" t="s">
        <v>8384</v>
      </c>
      <c r="B4">
        <f>COUNTIFS('Kick Starter'!$D:$D,"&gt;=5000",'Kick Starter'!$F:$F,"=successful",'Kick Starter'!$R:$R,"plays",'Kick Starter'!$D:$D,"&lt;=9999")</f>
        <v>93</v>
      </c>
      <c r="C4">
        <f>COUNTIFS('Kick Starter'!$D:$D,"&gt;=5000",'Kick Starter'!$F:$F,"=failed",'Kick Starter'!$R:$R,"plays",'Kick Starter'!$D:$D,"&lt;=9999")</f>
        <v>76</v>
      </c>
      <c r="D4">
        <f>COUNTIFS('Kick Starter'!$D:$D,"&gt;=5000",'Kick Starter'!$F:$F,"=canceled",'Kick Starter'!$R:$R,"plays",'Kick Starter'!$D:$D,"&lt;=9999")</f>
        <v>0</v>
      </c>
      <c r="E4">
        <f>SUM(B4,C4,D4)</f>
        <v>169</v>
      </c>
      <c r="F4" s="17">
        <f>B4/$E4</f>
        <v>0.55029585798816572</v>
      </c>
      <c r="G4" s="17">
        <f>C4/$E4</f>
        <v>0.44970414201183434</v>
      </c>
      <c r="H4" s="17">
        <f>D4/$E4</f>
        <v>0</v>
      </c>
    </row>
    <row r="5" spans="1:8" x14ac:dyDescent="0.35">
      <c r="A5" t="s">
        <v>8385</v>
      </c>
      <c r="B5">
        <f>COUNTIFS('Kick Starter'!$D:$D,"&gt;=10000",'Kick Starter'!$F:$F,"=successful",'Kick Starter'!$R:$R,"plays",'Kick Starter'!$D:$D,"&lt;=14999")</f>
        <v>39</v>
      </c>
      <c r="C5">
        <f>COUNTIFS('Kick Starter'!$D:$D,"&gt;=10000",'Kick Starter'!$F:$F,"=failed",'Kick Starter'!$R:$R,"plays",'Kick Starter'!$D:$D,"&lt;=14999")</f>
        <v>33</v>
      </c>
      <c r="D5">
        <f>COUNTIFS('Kick Starter'!$D:$D,"&gt;=10000",'Kick Starter'!$F:$F,"=canceled",'Kick Starter'!$R:$R,"plays",'Kick Starter'!$D:$D,"&lt;=14999")</f>
        <v>0</v>
      </c>
      <c r="E5">
        <f>SUM(B5,C5,D5)</f>
        <v>72</v>
      </c>
      <c r="F5" s="17">
        <f>B5/$E5</f>
        <v>0.54166666666666663</v>
      </c>
      <c r="G5" s="17">
        <f>C5/$E5</f>
        <v>0.45833333333333331</v>
      </c>
      <c r="H5" s="17">
        <f>D5/$E5</f>
        <v>0</v>
      </c>
    </row>
    <row r="6" spans="1:8" x14ac:dyDescent="0.35">
      <c r="A6" t="s">
        <v>8386</v>
      </c>
      <c r="B6">
        <f>COUNTIFS('Kick Starter'!$D:$D,"&gt;=15000",'Kick Starter'!$F:$F,"=successful",'Kick Starter'!$R:$R,"plays",'Kick Starter'!$D:$D,"&lt;=19999")</f>
        <v>12</v>
      </c>
      <c r="C6">
        <f>COUNTIFS('Kick Starter'!$D:$D,"&gt;=15000",'Kick Starter'!$F:$F,"=failed",'Kick Starter'!$R:$R,"plays",'Kick Starter'!$D:$D,"&lt;=19999")</f>
        <v>12</v>
      </c>
      <c r="D6">
        <f>COUNTIFS('Kick Starter'!$D:$D,"&gt;=15000",'Kick Starter'!$F:$F,"=canceled",'Kick Starter'!$R:$R,"plays",'Kick Starter'!$D:$D,"&lt;=19999")</f>
        <v>0</v>
      </c>
      <c r="E6">
        <f>SUM(B6,C6,D6)</f>
        <v>24</v>
      </c>
      <c r="F6" s="17">
        <f>B6/$E6</f>
        <v>0.5</v>
      </c>
      <c r="G6" s="17">
        <f>C6/$E6</f>
        <v>0.5</v>
      </c>
      <c r="H6" s="17">
        <f>D6/$E6</f>
        <v>0</v>
      </c>
    </row>
    <row r="7" spans="1:8" x14ac:dyDescent="0.35">
      <c r="A7" t="s">
        <v>8387</v>
      </c>
      <c r="B7">
        <f>COUNTIFS('Kick Starter'!$D:$D,"&gt;=20000",'Kick Starter'!$F:$F,"=successful",'Kick Starter'!$R:$R,"plays",'Kick Starter'!$D:$D,"&lt;=24999")</f>
        <v>9</v>
      </c>
      <c r="C7">
        <f>COUNTIFS('Kick Starter'!$D:$D,"&gt;=20000",'Kick Starter'!$F:$F,"=failed",'Kick Starter'!$R:$R,"plays",'Kick Starter'!$D:$D,"&lt;=24999")</f>
        <v>11</v>
      </c>
      <c r="D7">
        <f>COUNTIFS('Kick Starter'!$D:$D,"&gt;=20000",'Kick Starter'!$F:$F,"=canceled",'Kick Starter'!$R:$R,"plays",'Kick Starter'!$D:$D,"&lt;=24999")</f>
        <v>0</v>
      </c>
      <c r="E7">
        <f>SUM(B7,C7,D7)</f>
        <v>20</v>
      </c>
      <c r="F7" s="17">
        <f>B7/$E7</f>
        <v>0.45</v>
      </c>
      <c r="G7" s="17">
        <f>C7/$E7</f>
        <v>0.55000000000000004</v>
      </c>
      <c r="H7" s="17">
        <f>D7/$E7</f>
        <v>0</v>
      </c>
    </row>
    <row r="8" spans="1:8" x14ac:dyDescent="0.35">
      <c r="A8" t="s">
        <v>8388</v>
      </c>
      <c r="B8">
        <f>COUNTIFS('Kick Starter'!$D:$D,"&gt;=25000",'Kick Starter'!$F:$F,"=successful",'Kick Starter'!$R:$R,"plays",'Kick Starter'!$D:$D,"&lt;=29999")</f>
        <v>1</v>
      </c>
      <c r="C8">
        <f>COUNTIFS('Kick Starter'!$D:$D,"&gt;=25000",'Kick Starter'!$F:$F,"=failed",'Kick Starter'!$R:$R,"plays",'Kick Starter'!$D:$D,"&lt;=29999")</f>
        <v>4</v>
      </c>
      <c r="D8">
        <f>COUNTIFS('Kick Starter'!$D:$D,"&gt;=25000",'Kick Starter'!$F:$F,"=canceled",'Kick Starter'!$R:$R,"plays",'Kick Starter'!$D:$D,"&lt;=29999")</f>
        <v>0</v>
      </c>
      <c r="E8">
        <f>SUM(B8,C8,D8)</f>
        <v>5</v>
      </c>
      <c r="F8" s="17">
        <f>B8/$E8</f>
        <v>0.2</v>
      </c>
      <c r="G8" s="17">
        <f>C8/$E8</f>
        <v>0.8</v>
      </c>
      <c r="H8" s="17">
        <f>D8/$E8</f>
        <v>0</v>
      </c>
    </row>
    <row r="9" spans="1:8" x14ac:dyDescent="0.35">
      <c r="A9" t="s">
        <v>8389</v>
      </c>
      <c r="B9">
        <f>COUNTIFS('Kick Starter'!$D:$D,"&gt;=30000",'Kick Starter'!$F:$F,"=successful",'Kick Starter'!$R:$R,"plays",'Kick Starter'!$D:$D,"&lt;=34999")</f>
        <v>3</v>
      </c>
      <c r="C9">
        <f>COUNTIFS('Kick Starter'!$D:$D,"&gt;=30000",'Kick Starter'!$F:$F,"=failed",'Kick Starter'!$R:$R,"plays",'Kick Starter'!$D:$D,"&lt;=34999")</f>
        <v>8</v>
      </c>
      <c r="D9">
        <f>COUNTIFS('Kick Starter'!$D:$D,"&gt;=30000",'Kick Starter'!$F:$F,"=canceled",'Kick Starter'!$R:$R,"plays",'Kick Starter'!$D:$D,"&lt;=34999")</f>
        <v>0</v>
      </c>
      <c r="E9">
        <f>SUM(B9,C9,D9)</f>
        <v>11</v>
      </c>
      <c r="F9" s="17">
        <f>B9/$E9</f>
        <v>0.27272727272727271</v>
      </c>
      <c r="G9" s="17">
        <f>C9/$E9</f>
        <v>0.72727272727272729</v>
      </c>
      <c r="H9" s="17">
        <f>D9/$E9</f>
        <v>0</v>
      </c>
    </row>
    <row r="10" spans="1:8" x14ac:dyDescent="0.35">
      <c r="A10" t="s">
        <v>8390</v>
      </c>
      <c r="B10">
        <f>COUNTIFS('Kick Starter'!$D:$D,"&gt;=35000",'Kick Starter'!$F:$F,"=successful",'Kick Starter'!$R:$R,"plays",'Kick Starter'!$D:$D,"&lt;=39999")</f>
        <v>4</v>
      </c>
      <c r="C10">
        <f>COUNTIFS('Kick Starter'!$D:$D,"&gt;=35000",'Kick Starter'!$F:$F,"=failed",'Kick Starter'!$R:$R,"plays",'Kick Starter'!$D:$D,"&lt;=39999")</f>
        <v>2</v>
      </c>
      <c r="D10">
        <f>COUNTIFS('Kick Starter'!$D:$D,"&gt;=35000",'Kick Starter'!$F:$F,"=canceled",'Kick Starter'!$R:$R,"plays",'Kick Starter'!$D:$D,"&lt;=39999")</f>
        <v>0</v>
      </c>
      <c r="E10">
        <f>SUM(B10,C10,D10)</f>
        <v>6</v>
      </c>
      <c r="F10" s="17">
        <f>B10/$E10</f>
        <v>0.66666666666666663</v>
      </c>
      <c r="G10" s="17">
        <f>C10/$E10</f>
        <v>0.33333333333333331</v>
      </c>
      <c r="H10" s="17">
        <f>D10/$E10</f>
        <v>0</v>
      </c>
    </row>
    <row r="11" spans="1:8" x14ac:dyDescent="0.35">
      <c r="A11" t="s">
        <v>8391</v>
      </c>
      <c r="B11">
        <f>COUNTIFS('Kick Starter'!$D:$D,"&gt;=40000",'Kick Starter'!$F:$F,"=successful",'Kick Starter'!$R:$R,"plays",'Kick Starter'!$D:$D,"&lt;=44999")</f>
        <v>2</v>
      </c>
      <c r="C11">
        <f>COUNTIFS('Kick Starter'!$D:$D,"&gt;=40000",'Kick Starter'!$F:$F,"=failed",'Kick Starter'!$R:$R,"plays",'Kick Starter'!$D:$D,"&lt;=44999")</f>
        <v>1</v>
      </c>
      <c r="D11">
        <f>COUNTIFS('Kick Starter'!$D:$D,"&gt;=40000",'Kick Starter'!$F:$F,"=canceled",'Kick Starter'!$R:$R,"plays",'Kick Starter'!$D:$D,"&lt;=44999")</f>
        <v>0</v>
      </c>
      <c r="E11">
        <f>SUM(B11,C11,D11)</f>
        <v>3</v>
      </c>
      <c r="F11" s="17">
        <f>B11/$E11</f>
        <v>0.66666666666666663</v>
      </c>
      <c r="G11" s="17">
        <f>C11/$E11</f>
        <v>0.33333333333333331</v>
      </c>
      <c r="H11" s="17">
        <f>D11/$E11</f>
        <v>0</v>
      </c>
    </row>
    <row r="12" spans="1:8" x14ac:dyDescent="0.35">
      <c r="A12" t="s">
        <v>8392</v>
      </c>
      <c r="B12">
        <f>COUNTIFS('Kick Starter'!$D:$D,"&gt;=45000",'Kick Starter'!$F:$F,"=successful",'Kick Starter'!$R:$R,"plays",'Kick Starter'!$D:$D,"&lt;=49999")</f>
        <v>0</v>
      </c>
      <c r="C12">
        <f>COUNTIFS('Kick Starter'!$D:$D,"&gt;=45000",'Kick Starter'!$F:$F,"=failed",'Kick Starter'!$R:$R,"plays",'Kick Starter'!$D:$D,"&lt;=49999")</f>
        <v>1</v>
      </c>
      <c r="D12">
        <f>COUNTIFS('Kick Starter'!$D:$D,"&gt;=45000",'Kick Starter'!$F:$F,"=canceled",'Kick Starter'!$R:$R,"plays",'Kick Starter'!$D:$D,"&lt;=49999")</f>
        <v>0</v>
      </c>
      <c r="E12">
        <f>SUM(B12,C12,D12)</f>
        <v>1</v>
      </c>
      <c r="F12" s="17">
        <f>B12/$E12</f>
        <v>0</v>
      </c>
      <c r="G12" s="17">
        <f>C12/$E12</f>
        <v>1</v>
      </c>
      <c r="H12" s="17">
        <f>D12/$E12</f>
        <v>0</v>
      </c>
    </row>
    <row r="13" spans="1:8" x14ac:dyDescent="0.35">
      <c r="A13" t="s">
        <v>8393</v>
      </c>
      <c r="B13">
        <f>COUNTIFS('Kick Starter'!$D:$D,"&gt;50000",'Kick Starter'!$F:$F,"=successful",'Kick Starter'!$R:$R,"plays")</f>
        <v>2</v>
      </c>
      <c r="C13">
        <f>COUNTIFS('Kick Starter'!$D:$D,"&gt;50000",'Kick Starter'!$F:$F,"=failed",'Kick Starter'!$R:$R,"plays")</f>
        <v>10</v>
      </c>
      <c r="D13">
        <f>COUNTIFS('Kick Starter'!$D:$D,"&gt;50000",'Kick Starter'!$F:$F,"=canceled",'Kick Starter'!$R:$R,"plays")</f>
        <v>0</v>
      </c>
      <c r="E13">
        <f>SUM(B13,C13,D13)</f>
        <v>12</v>
      </c>
      <c r="F13" s="17">
        <f>B13/$E13</f>
        <v>0.16666666666666666</v>
      </c>
      <c r="G13" s="17">
        <f>C13/$E13</f>
        <v>0.83333333333333337</v>
      </c>
      <c r="H13" s="17">
        <f>D13/$E13</f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 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asimohap</cp:lastModifiedBy>
  <dcterms:created xsi:type="dcterms:W3CDTF">2017-04-20T15:17:24Z</dcterms:created>
  <dcterms:modified xsi:type="dcterms:W3CDTF">2021-03-14T00:17:52Z</dcterms:modified>
</cp:coreProperties>
</file>