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Batteries method2\"/>
    </mc:Choice>
  </mc:AlternateContent>
  <xr:revisionPtr revIDLastSave="0" documentId="13_ncr:1_{144F9C37-8717-40D9-9641-66B7877AC480}" xr6:coauthVersionLast="47" xr6:coauthVersionMax="47" xr10:uidLastSave="{00000000-0000-0000-0000-000000000000}"/>
  <bookViews>
    <workbookView xWindow="-120" yWindow="-120" windowWidth="20730" windowHeight="11160" activeTab="1" xr2:uid="{CAB5BDA3-59B7-42CF-B556-C1E8E1E2316E}"/>
  </bookViews>
  <sheets>
    <sheet name="Cycles from graphs" sheetId="1" r:id="rId1"/>
    <sheet name="Cycles from paper" sheetId="7" r:id="rId2"/>
    <sheet name="Calculated Ncycles" sheetId="5" r:id="rId3"/>
    <sheet name="Results" sheetId="6" r:id="rId4"/>
    <sheet name="Stage 336" sheetId="2" r:id="rId5"/>
    <sheet name="Stage 335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7" l="1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9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0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8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8" i="7"/>
  <c r="D38" i="1"/>
  <c r="D39" i="1" s="1"/>
  <c r="C38" i="1"/>
  <c r="C39" i="1" s="1"/>
  <c r="E38" i="1"/>
  <c r="E39" i="1" s="1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8" i="7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68" i="1"/>
  <c r="D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68" i="1"/>
  <c r="D67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B73" i="1"/>
  <c r="B72" i="1"/>
  <c r="B71" i="1"/>
  <c r="B70" i="1"/>
  <c r="B69" i="1"/>
  <c r="B68" i="1"/>
  <c r="K47" i="1"/>
  <c r="K48" i="1" s="1"/>
  <c r="J60" i="1"/>
  <c r="I6" i="1"/>
  <c r="J6" i="1"/>
  <c r="S36" i="4"/>
  <c r="D37" i="4"/>
  <c r="X62" i="4"/>
  <c r="S62" i="4"/>
  <c r="N62" i="4"/>
  <c r="I62" i="4"/>
  <c r="D62" i="4"/>
  <c r="D51" i="4"/>
  <c r="I51" i="4"/>
  <c r="N51" i="4"/>
  <c r="S51" i="4"/>
  <c r="X51" i="4"/>
  <c r="X40" i="4"/>
  <c r="S40" i="4"/>
  <c r="N40" i="4"/>
  <c r="I40" i="4"/>
  <c r="D40" i="4"/>
  <c r="X29" i="4"/>
  <c r="S29" i="4"/>
  <c r="N29" i="4"/>
  <c r="I29" i="4"/>
  <c r="D29" i="4"/>
  <c r="X18" i="4"/>
  <c r="S18" i="4"/>
  <c r="N18" i="4"/>
  <c r="I18" i="4"/>
  <c r="D18" i="4"/>
  <c r="D18" i="2"/>
  <c r="F4" i="4"/>
  <c r="I4" i="4"/>
  <c r="X20" i="4"/>
  <c r="I8" i="4"/>
  <c r="H8" i="4"/>
  <c r="G8" i="4"/>
  <c r="F8" i="4"/>
  <c r="E8" i="4"/>
  <c r="I7" i="4"/>
  <c r="H7" i="4"/>
  <c r="G7" i="4"/>
  <c r="F7" i="4"/>
  <c r="E7" i="4"/>
  <c r="I6" i="4"/>
  <c r="H6" i="4"/>
  <c r="G6" i="4"/>
  <c r="F6" i="4"/>
  <c r="E6" i="4"/>
  <c r="I5" i="4"/>
  <c r="H5" i="4"/>
  <c r="G5" i="4"/>
  <c r="F5" i="4"/>
  <c r="E5" i="4"/>
  <c r="X17" i="4"/>
  <c r="H4" i="4"/>
  <c r="G4" i="4"/>
  <c r="E4" i="4"/>
  <c r="X64" i="4"/>
  <c r="S64" i="4"/>
  <c r="N64" i="4"/>
  <c r="I64" i="4"/>
  <c r="D64" i="4"/>
  <c r="X53" i="4"/>
  <c r="S53" i="4"/>
  <c r="N53" i="4"/>
  <c r="I53" i="4"/>
  <c r="D53" i="4"/>
  <c r="X42" i="4"/>
  <c r="S42" i="4"/>
  <c r="N42" i="4"/>
  <c r="I42" i="4"/>
  <c r="D42" i="4"/>
  <c r="X31" i="4"/>
  <c r="S31" i="4"/>
  <c r="N31" i="4"/>
  <c r="I31" i="4"/>
  <c r="D31" i="4"/>
  <c r="S20" i="4"/>
  <c r="S17" i="4"/>
  <c r="N17" i="4"/>
  <c r="I17" i="4"/>
  <c r="D17" i="4"/>
  <c r="N20" i="4"/>
  <c r="I20" i="4"/>
  <c r="D20" i="4"/>
  <c r="B5" i="4"/>
  <c r="M4" i="4"/>
  <c r="S64" i="2"/>
  <c r="H6" i="2"/>
  <c r="E4" i="2"/>
  <c r="D64" i="2"/>
  <c r="I64" i="2"/>
  <c r="N64" i="2"/>
  <c r="X64" i="2"/>
  <c r="X53" i="2"/>
  <c r="S53" i="2"/>
  <c r="N53" i="2"/>
  <c r="I53" i="2"/>
  <c r="D53" i="2"/>
  <c r="D42" i="2"/>
  <c r="I42" i="2"/>
  <c r="N42" i="2"/>
  <c r="S42" i="2"/>
  <c r="X42" i="2"/>
  <c r="X31" i="2"/>
  <c r="S31" i="2"/>
  <c r="N31" i="2"/>
  <c r="I31" i="2"/>
  <c r="D31" i="2"/>
  <c r="X20" i="2"/>
  <c r="S20" i="2"/>
  <c r="I20" i="2"/>
  <c r="N20" i="2"/>
  <c r="I50" i="2"/>
  <c r="I51" i="2" s="1"/>
  <c r="X17" i="2"/>
  <c r="S17" i="2"/>
  <c r="N17" i="2"/>
  <c r="I17" i="2"/>
  <c r="I18" i="2" s="1"/>
  <c r="Q8" i="2"/>
  <c r="Q5" i="2"/>
  <c r="Q6" i="2"/>
  <c r="Q7" i="2"/>
  <c r="Q4" i="2"/>
  <c r="I8" i="2"/>
  <c r="I7" i="2"/>
  <c r="I6" i="2"/>
  <c r="I5" i="2"/>
  <c r="I4" i="2"/>
  <c r="H8" i="2"/>
  <c r="H7" i="2"/>
  <c r="H5" i="2"/>
  <c r="H4" i="2"/>
  <c r="G8" i="2"/>
  <c r="G7" i="2"/>
  <c r="G6" i="2"/>
  <c r="G5" i="2"/>
  <c r="G4" i="2"/>
  <c r="F8" i="2"/>
  <c r="F7" i="2"/>
  <c r="F6" i="2"/>
  <c r="F5" i="2"/>
  <c r="F4" i="2"/>
  <c r="E8" i="2"/>
  <c r="E7" i="2"/>
  <c r="E6" i="2"/>
  <c r="E5" i="2"/>
  <c r="L47" i="6"/>
  <c r="K47" i="6"/>
  <c r="AJ50" i="1"/>
  <c r="AK52" i="1"/>
  <c r="AK53" i="1" s="1"/>
  <c r="AJ52" i="1"/>
  <c r="AJ53" i="1" s="1"/>
  <c r="AK50" i="1"/>
  <c r="AK47" i="1"/>
  <c r="AK48" i="1" s="1"/>
  <c r="AJ47" i="1"/>
  <c r="AJ48" i="1" s="1"/>
  <c r="AK45" i="1"/>
  <c r="AJ45" i="1"/>
  <c r="AQ52" i="1"/>
  <c r="AQ53" i="1" s="1"/>
  <c r="AP52" i="1"/>
  <c r="AP53" i="1" s="1"/>
  <c r="AQ50" i="1"/>
  <c r="AP50" i="1"/>
  <c r="AQ47" i="1"/>
  <c r="AQ48" i="1" s="1"/>
  <c r="AP47" i="1"/>
  <c r="AP48" i="1" s="1"/>
  <c r="AQ45" i="1"/>
  <c r="AP45" i="1"/>
  <c r="AM52" i="1"/>
  <c r="AM53" i="1" s="1"/>
  <c r="AL52" i="1"/>
  <c r="AL53" i="1" s="1"/>
  <c r="AM50" i="1"/>
  <c r="AL50" i="1"/>
  <c r="AM47" i="1"/>
  <c r="AM48" i="1" s="1"/>
  <c r="AL47" i="1"/>
  <c r="AL48" i="1" s="1"/>
  <c r="AM45" i="1"/>
  <c r="AL45" i="1"/>
  <c r="AU52" i="1"/>
  <c r="AU53" i="1" s="1"/>
  <c r="AT52" i="1"/>
  <c r="AT53" i="1" s="1"/>
  <c r="AU50" i="1"/>
  <c r="AT50" i="1"/>
  <c r="AU47" i="1"/>
  <c r="AU48" i="1" s="1"/>
  <c r="AU54" i="1" s="1"/>
  <c r="AT47" i="1"/>
  <c r="AT48" i="1" s="1"/>
  <c r="AU45" i="1"/>
  <c r="AT45" i="1"/>
  <c r="AR45" i="1"/>
  <c r="AS45" i="1"/>
  <c r="AR47" i="1"/>
  <c r="AR48" i="1" s="1"/>
  <c r="AS47" i="1"/>
  <c r="AS48" i="1" s="1"/>
  <c r="AR50" i="1"/>
  <c r="AS50" i="1"/>
  <c r="AR52" i="1"/>
  <c r="AR53" i="1" s="1"/>
  <c r="AS52" i="1"/>
  <c r="AS53" i="1" s="1"/>
  <c r="AO45" i="1"/>
  <c r="AO47" i="1"/>
  <c r="AO48" i="1" s="1"/>
  <c r="AO50" i="1"/>
  <c r="AO52" i="1"/>
  <c r="AO53" i="1" s="1"/>
  <c r="AN45" i="1"/>
  <c r="AN47" i="1"/>
  <c r="AN48" i="1" s="1"/>
  <c r="AN50" i="1"/>
  <c r="AN52" i="1"/>
  <c r="AN53" i="1" s="1"/>
  <c r="AI50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K51" i="1"/>
  <c r="K52" i="1" s="1"/>
  <c r="K53" i="1" s="1"/>
  <c r="K50" i="1"/>
  <c r="K45" i="1"/>
  <c r="E46" i="1"/>
  <c r="F46" i="1" s="1"/>
  <c r="G46" i="1" s="1"/>
  <c r="H46" i="1" s="1"/>
  <c r="E47" i="1"/>
  <c r="F47" i="1" s="1"/>
  <c r="G47" i="1" s="1"/>
  <c r="H47" i="1" s="1"/>
  <c r="E48" i="1"/>
  <c r="F48" i="1" s="1"/>
  <c r="G48" i="1" s="1"/>
  <c r="H48" i="1" s="1"/>
  <c r="E49" i="1"/>
  <c r="F49" i="1" s="1"/>
  <c r="G49" i="1" s="1"/>
  <c r="H49" i="1" s="1"/>
  <c r="E50" i="1"/>
  <c r="F50" i="1" s="1"/>
  <c r="G50" i="1" s="1"/>
  <c r="H50" i="1" s="1"/>
  <c r="E51" i="1"/>
  <c r="F51" i="1" s="1"/>
  <c r="G51" i="1" s="1"/>
  <c r="H51" i="1" s="1"/>
  <c r="E52" i="1"/>
  <c r="F52" i="1" s="1"/>
  <c r="G52" i="1" s="1"/>
  <c r="H52" i="1" s="1"/>
  <c r="E53" i="1"/>
  <c r="F53" i="1" s="1"/>
  <c r="G53" i="1" s="1"/>
  <c r="H53" i="1" s="1"/>
  <c r="E54" i="1"/>
  <c r="F54" i="1" s="1"/>
  <c r="G54" i="1" s="1"/>
  <c r="H54" i="1" s="1"/>
  <c r="E55" i="1"/>
  <c r="F55" i="1" s="1"/>
  <c r="G55" i="1" s="1"/>
  <c r="H55" i="1" s="1"/>
  <c r="E56" i="1"/>
  <c r="F56" i="1" s="1"/>
  <c r="G56" i="1" s="1"/>
  <c r="H56" i="1" s="1"/>
  <c r="E57" i="1"/>
  <c r="F57" i="1" s="1"/>
  <c r="G57" i="1" s="1"/>
  <c r="H57" i="1" s="1"/>
  <c r="E58" i="1"/>
  <c r="F58" i="1" s="1"/>
  <c r="G58" i="1" s="1"/>
  <c r="H58" i="1" s="1"/>
  <c r="E59" i="1"/>
  <c r="F59" i="1" s="1"/>
  <c r="G59" i="1" s="1"/>
  <c r="H59" i="1" s="1"/>
  <c r="E60" i="1"/>
  <c r="F60" i="1" s="1"/>
  <c r="G60" i="1" s="1"/>
  <c r="H60" i="1" s="1"/>
  <c r="E61" i="1"/>
  <c r="F61" i="1" s="1"/>
  <c r="G61" i="1" s="1"/>
  <c r="H61" i="1" s="1"/>
  <c r="E62" i="1"/>
  <c r="F62" i="1" s="1"/>
  <c r="G62" i="1" s="1"/>
  <c r="H62" i="1" s="1"/>
  <c r="E63" i="1"/>
  <c r="F63" i="1" s="1"/>
  <c r="G63" i="1" s="1"/>
  <c r="H63" i="1" s="1"/>
  <c r="E64" i="1"/>
  <c r="F64" i="1" s="1"/>
  <c r="G64" i="1" s="1"/>
  <c r="H64" i="1" s="1"/>
  <c r="E65" i="1"/>
  <c r="F65" i="1" s="1"/>
  <c r="G65" i="1" s="1"/>
  <c r="H65" i="1" s="1"/>
  <c r="E45" i="1"/>
  <c r="F45" i="1" s="1"/>
  <c r="G45" i="1" s="1"/>
  <c r="H45" i="1" s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45" i="1"/>
  <c r="AK13" i="1"/>
  <c r="AJ13" i="1"/>
  <c r="J26" i="1"/>
  <c r="K26" i="1" s="1"/>
  <c r="J22" i="1"/>
  <c r="K22" i="1" s="1"/>
  <c r="G6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5" i="5"/>
  <c r="D4" i="5" a="1"/>
  <c r="D4" i="5" s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4" i="5"/>
  <c r="K6" i="1"/>
  <c r="I7" i="1"/>
  <c r="I8" i="1"/>
  <c r="I10" i="1"/>
  <c r="I12" i="1"/>
  <c r="I14" i="1"/>
  <c r="I16" i="1"/>
  <c r="I18" i="1"/>
  <c r="I20" i="1"/>
  <c r="I22" i="1"/>
  <c r="I24" i="1"/>
  <c r="I26" i="1"/>
  <c r="J7" i="1"/>
  <c r="K7" i="1" s="1"/>
  <c r="J8" i="1"/>
  <c r="K8" i="1" s="1"/>
  <c r="J10" i="1"/>
  <c r="K10" i="1" s="1"/>
  <c r="J12" i="1"/>
  <c r="K12" i="1" s="1"/>
  <c r="J14" i="1"/>
  <c r="K14" i="1" s="1"/>
  <c r="J16" i="1"/>
  <c r="K16" i="1" s="1"/>
  <c r="J18" i="1"/>
  <c r="K18" i="1" s="1"/>
  <c r="J20" i="1"/>
  <c r="K20" i="1" s="1"/>
  <c r="J24" i="1"/>
  <c r="K24" i="1" s="1"/>
  <c r="D20" i="2"/>
  <c r="X62" i="2"/>
  <c r="S62" i="2"/>
  <c r="N62" i="2"/>
  <c r="I62" i="2"/>
  <c r="D62" i="2"/>
  <c r="D51" i="2"/>
  <c r="D40" i="2"/>
  <c r="S29" i="2"/>
  <c r="D29" i="2"/>
  <c r="X18" i="2"/>
  <c r="S18" i="2"/>
  <c r="N18" i="2"/>
  <c r="X59" i="4"/>
  <c r="S59" i="4"/>
  <c r="N59" i="4"/>
  <c r="I59" i="4"/>
  <c r="D59" i="4"/>
  <c r="X58" i="4"/>
  <c r="S58" i="4"/>
  <c r="S60" i="4" s="1"/>
  <c r="N58" i="4"/>
  <c r="I58" i="4"/>
  <c r="D58" i="4"/>
  <c r="X48" i="4"/>
  <c r="S48" i="4"/>
  <c r="N48" i="4"/>
  <c r="I48" i="4"/>
  <c r="D48" i="4"/>
  <c r="X47" i="4"/>
  <c r="X49" i="4" s="1"/>
  <c r="S47" i="4"/>
  <c r="N47" i="4"/>
  <c r="I47" i="4"/>
  <c r="D47" i="4"/>
  <c r="X39" i="4"/>
  <c r="S39" i="4"/>
  <c r="N39" i="4"/>
  <c r="I39" i="4"/>
  <c r="X37" i="4"/>
  <c r="S37" i="4"/>
  <c r="N37" i="4"/>
  <c r="I37" i="4"/>
  <c r="X36" i="4"/>
  <c r="N36" i="4"/>
  <c r="I36" i="4"/>
  <c r="D36" i="4"/>
  <c r="X28" i="4"/>
  <c r="S28" i="4"/>
  <c r="N28" i="4"/>
  <c r="I28" i="4"/>
  <c r="X26" i="4"/>
  <c r="S26" i="4"/>
  <c r="N26" i="4"/>
  <c r="I26" i="4"/>
  <c r="D26" i="4"/>
  <c r="X25" i="4"/>
  <c r="S25" i="4"/>
  <c r="N25" i="4"/>
  <c r="I25" i="4"/>
  <c r="D25" i="4"/>
  <c r="X15" i="4"/>
  <c r="S15" i="4"/>
  <c r="N15" i="4"/>
  <c r="I15" i="4"/>
  <c r="X14" i="4"/>
  <c r="S14" i="4"/>
  <c r="S16" i="4" s="1"/>
  <c r="N14" i="4"/>
  <c r="I14" i="4"/>
  <c r="D14" i="4"/>
  <c r="D16" i="4" s="1"/>
  <c r="X59" i="2"/>
  <c r="S59" i="2"/>
  <c r="N59" i="2"/>
  <c r="I59" i="2"/>
  <c r="D59" i="2"/>
  <c r="X58" i="2"/>
  <c r="X60" i="2" s="1"/>
  <c r="S58" i="2"/>
  <c r="N58" i="2"/>
  <c r="N60" i="2" s="1"/>
  <c r="I58" i="2"/>
  <c r="D58" i="2"/>
  <c r="D60" i="2" s="1"/>
  <c r="X48" i="2"/>
  <c r="S48" i="2"/>
  <c r="N48" i="2"/>
  <c r="I48" i="2"/>
  <c r="D48" i="2"/>
  <c r="X47" i="2"/>
  <c r="X49" i="2" s="1"/>
  <c r="S47" i="2"/>
  <c r="N47" i="2"/>
  <c r="N49" i="2" s="1"/>
  <c r="I47" i="2"/>
  <c r="D47" i="2"/>
  <c r="D49" i="2" s="1"/>
  <c r="X36" i="2"/>
  <c r="S36" i="2"/>
  <c r="N36" i="2"/>
  <c r="I36" i="2"/>
  <c r="I38" i="2" s="1"/>
  <c r="D36" i="2"/>
  <c r="D25" i="2"/>
  <c r="X25" i="2"/>
  <c r="S25" i="2"/>
  <c r="N25" i="2"/>
  <c r="I25" i="2"/>
  <c r="X14" i="2"/>
  <c r="S14" i="2"/>
  <c r="N14" i="2"/>
  <c r="I14" i="2"/>
  <c r="D14" i="2"/>
  <c r="D16" i="2" s="1"/>
  <c r="C29" i="1"/>
  <c r="C28" i="1"/>
  <c r="X39" i="2"/>
  <c r="X40" i="2" s="1"/>
  <c r="S39" i="2"/>
  <c r="S40" i="2" s="1"/>
  <c r="N39" i="2"/>
  <c r="N40" i="2" s="1"/>
  <c r="I39" i="2"/>
  <c r="I40" i="2" s="1"/>
  <c r="X37" i="2"/>
  <c r="S37" i="2"/>
  <c r="N37" i="2"/>
  <c r="I37" i="2"/>
  <c r="D37" i="2"/>
  <c r="X28" i="2"/>
  <c r="X29" i="2" s="1"/>
  <c r="S28" i="2"/>
  <c r="N28" i="2"/>
  <c r="N29" i="2" s="1"/>
  <c r="I28" i="2"/>
  <c r="I29" i="2" s="1"/>
  <c r="D26" i="2"/>
  <c r="I26" i="2"/>
  <c r="N26" i="2"/>
  <c r="S26" i="2"/>
  <c r="S27" i="2" s="1"/>
  <c r="X26" i="2"/>
  <c r="X15" i="2"/>
  <c r="S15" i="2"/>
  <c r="N15" i="2"/>
  <c r="N16" i="2" s="1"/>
  <c r="I15" i="2"/>
  <c r="AH16" i="1"/>
  <c r="AH26" i="1"/>
  <c r="AD26" i="1"/>
  <c r="AH6" i="1" s="1"/>
  <c r="AD16" i="1"/>
  <c r="Z26" i="1"/>
  <c r="AD6" i="1" s="1"/>
  <c r="Z16" i="1"/>
  <c r="V26" i="1"/>
  <c r="Z6" i="1" s="1"/>
  <c r="V16" i="1"/>
  <c r="T6" i="1"/>
  <c r="T7" i="1" s="1"/>
  <c r="U7" i="1" s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U6" i="1" s="1"/>
  <c r="Q7" i="1"/>
  <c r="R26" i="1"/>
  <c r="V6" i="1" s="1"/>
  <c r="R16" i="1"/>
  <c r="R11" i="1"/>
  <c r="H25" i="1"/>
  <c r="J25" i="1" s="1"/>
  <c r="K25" i="1" s="1"/>
  <c r="H23" i="1"/>
  <c r="J23" i="1" s="1"/>
  <c r="K23" i="1" s="1"/>
  <c r="H21" i="1"/>
  <c r="J21" i="1" s="1"/>
  <c r="K21" i="1" s="1"/>
  <c r="H19" i="1"/>
  <c r="I19" i="1" s="1"/>
  <c r="H17" i="1"/>
  <c r="J17" i="1" s="1"/>
  <c r="K17" i="1" s="1"/>
  <c r="H15" i="1"/>
  <c r="J15" i="1" s="1"/>
  <c r="K15" i="1" s="1"/>
  <c r="H13" i="1"/>
  <c r="J13" i="1" s="1"/>
  <c r="K13" i="1" s="1"/>
  <c r="H11" i="1"/>
  <c r="I11" i="1" s="1"/>
  <c r="H9" i="1"/>
  <c r="J9" i="1" s="1"/>
  <c r="K9" i="1" s="1"/>
  <c r="B7" i="1"/>
  <c r="B8" i="1"/>
  <c r="B9" i="1"/>
  <c r="B10" i="1"/>
  <c r="B11" i="1"/>
  <c r="B12" i="1"/>
  <c r="B13" i="1"/>
  <c r="B14" i="1"/>
  <c r="B15" i="1"/>
  <c r="B16" i="1"/>
  <c r="B17" i="1"/>
  <c r="B6" i="1"/>
  <c r="K54" i="1" l="1"/>
  <c r="J29" i="1"/>
  <c r="J33" i="1"/>
  <c r="J30" i="1"/>
  <c r="J34" i="1"/>
  <c r="J31" i="1"/>
  <c r="J32" i="1"/>
  <c r="C31" i="1"/>
  <c r="I17" i="1"/>
  <c r="Y54" i="1"/>
  <c r="I9" i="1"/>
  <c r="I25" i="1"/>
  <c r="AL13" i="1"/>
  <c r="AL14" i="1" s="1"/>
  <c r="AL15" i="1" s="1"/>
  <c r="AG54" i="1"/>
  <c r="Q54" i="1"/>
  <c r="AC54" i="1"/>
  <c r="AF54" i="1"/>
  <c r="AB54" i="1"/>
  <c r="X54" i="1"/>
  <c r="T54" i="1"/>
  <c r="P54" i="1"/>
  <c r="L54" i="1"/>
  <c r="J19" i="1"/>
  <c r="I21" i="1"/>
  <c r="I13" i="1"/>
  <c r="U54" i="1"/>
  <c r="J11" i="1"/>
  <c r="K11" i="1" s="1"/>
  <c r="I23" i="1"/>
  <c r="I15" i="1"/>
  <c r="AE54" i="1"/>
  <c r="AA54" i="1"/>
  <c r="W54" i="1"/>
  <c r="S54" i="1"/>
  <c r="O54" i="1"/>
  <c r="N27" i="4"/>
  <c r="S60" i="2"/>
  <c r="N38" i="2"/>
  <c r="N50" i="2"/>
  <c r="I49" i="2"/>
  <c r="J5" i="2"/>
  <c r="M5" i="4" s="1"/>
  <c r="I16" i="2"/>
  <c r="X16" i="2"/>
  <c r="S16" i="2"/>
  <c r="J4" i="2"/>
  <c r="J6" i="2"/>
  <c r="M6" i="4" s="1"/>
  <c r="X27" i="2"/>
  <c r="I27" i="2"/>
  <c r="D27" i="2"/>
  <c r="S38" i="2"/>
  <c r="N27" i="2"/>
  <c r="D38" i="2"/>
  <c r="X38" i="2"/>
  <c r="S49" i="2"/>
  <c r="I60" i="2"/>
  <c r="AH54" i="1"/>
  <c r="AD54" i="1"/>
  <c r="Z54" i="1"/>
  <c r="V54" i="1"/>
  <c r="R54" i="1"/>
  <c r="N54" i="1"/>
  <c r="M54" i="1"/>
  <c r="AK54" i="1"/>
  <c r="AT54" i="1"/>
  <c r="AR54" i="1"/>
  <c r="AQ54" i="1"/>
  <c r="AJ54" i="1"/>
  <c r="AP54" i="1"/>
  <c r="AL54" i="1"/>
  <c r="AM54" i="1"/>
  <c r="AS54" i="1"/>
  <c r="AO54" i="1"/>
  <c r="AN54" i="1"/>
  <c r="AI54" i="1"/>
  <c r="C30" i="1"/>
  <c r="S27" i="4"/>
  <c r="N49" i="4"/>
  <c r="I60" i="4"/>
  <c r="N16" i="4"/>
  <c r="X60" i="4"/>
  <c r="N60" i="4"/>
  <c r="D60" i="4"/>
  <c r="I49" i="4"/>
  <c r="D49" i="4"/>
  <c r="I38" i="4"/>
  <c r="N38" i="4"/>
  <c r="S38" i="4"/>
  <c r="X27" i="4"/>
  <c r="D27" i="4"/>
  <c r="D38" i="4"/>
  <c r="X38" i="4"/>
  <c r="I27" i="4"/>
  <c r="S49" i="4"/>
  <c r="X16" i="4"/>
  <c r="I16" i="4"/>
  <c r="J8" i="2"/>
  <c r="M8" i="4" s="1"/>
  <c r="J7" i="2"/>
  <c r="M7" i="4" s="1"/>
  <c r="R9" i="1"/>
  <c r="R7" i="1"/>
  <c r="R15" i="1"/>
  <c r="R14" i="1"/>
  <c r="R21" i="1"/>
  <c r="R10" i="1"/>
  <c r="R25" i="1"/>
  <c r="R24" i="1"/>
  <c r="R20" i="1"/>
  <c r="R18" i="1"/>
  <c r="R12" i="1"/>
  <c r="R8" i="1"/>
  <c r="R13" i="1"/>
  <c r="R23" i="1"/>
  <c r="R22" i="1"/>
  <c r="R19" i="1"/>
  <c r="R17" i="1"/>
  <c r="T8" i="1"/>
  <c r="K19" i="1" l="1"/>
  <c r="J40" i="1"/>
  <c r="J39" i="1"/>
  <c r="S50" i="2"/>
  <c r="N51" i="2"/>
  <c r="T9" i="1"/>
  <c r="U8" i="1"/>
  <c r="X50" i="2" l="1"/>
  <c r="X51" i="2" s="1"/>
  <c r="S51" i="2"/>
  <c r="J5" i="4"/>
  <c r="J8" i="4"/>
  <c r="J6" i="4"/>
  <c r="J4" i="4"/>
  <c r="J7" i="4"/>
  <c r="T10" i="1"/>
  <c r="U9" i="1"/>
  <c r="T11" i="1" l="1"/>
  <c r="U10" i="1"/>
  <c r="T12" i="1" l="1"/>
  <c r="U11" i="1"/>
  <c r="T13" i="1" l="1"/>
  <c r="U12" i="1"/>
  <c r="T14" i="1" l="1"/>
  <c r="U13" i="1"/>
  <c r="T15" i="1" l="1"/>
  <c r="U14" i="1"/>
  <c r="T16" i="1" l="1"/>
  <c r="U15" i="1"/>
  <c r="T17" i="1" l="1"/>
  <c r="U16" i="1"/>
  <c r="V7" i="1" l="1"/>
  <c r="V8" i="1"/>
  <c r="V9" i="1"/>
  <c r="V10" i="1"/>
  <c r="V11" i="1"/>
  <c r="V12" i="1"/>
  <c r="V13" i="1"/>
  <c r="V14" i="1"/>
  <c r="T18" i="1"/>
  <c r="U17" i="1"/>
  <c r="V15" i="1"/>
  <c r="T19" i="1" l="1"/>
  <c r="U18" i="1"/>
  <c r="T20" i="1" l="1"/>
  <c r="U19" i="1"/>
  <c r="T21" i="1" l="1"/>
  <c r="U20" i="1"/>
  <c r="T22" i="1" l="1"/>
  <c r="U21" i="1"/>
  <c r="T23" i="1" l="1"/>
  <c r="U22" i="1"/>
  <c r="T24" i="1" l="1"/>
  <c r="U23" i="1"/>
  <c r="T25" i="1" l="1"/>
  <c r="U24" i="1"/>
  <c r="T26" i="1" l="1"/>
  <c r="U25" i="1"/>
  <c r="X6" i="1" l="1"/>
  <c r="X7" i="1" s="1"/>
  <c r="U26" i="1"/>
  <c r="Y6" i="1" l="1"/>
  <c r="V17" i="1"/>
  <c r="V18" i="1"/>
  <c r="V19" i="1"/>
  <c r="V20" i="1"/>
  <c r="V21" i="1"/>
  <c r="V22" i="1"/>
  <c r="V23" i="1"/>
  <c r="V24" i="1"/>
  <c r="X8" i="1"/>
  <c r="Y7" i="1"/>
  <c r="V25" i="1"/>
  <c r="Y8" i="1" l="1"/>
  <c r="X9" i="1"/>
  <c r="Y9" i="1" l="1"/>
  <c r="X10" i="1"/>
  <c r="X11" i="1" l="1"/>
  <c r="Y10" i="1"/>
  <c r="Y11" i="1" l="1"/>
  <c r="X12" i="1"/>
  <c r="Y12" i="1" l="1"/>
  <c r="X13" i="1"/>
  <c r="X14" i="1" l="1"/>
  <c r="Y13" i="1"/>
  <c r="X15" i="1" l="1"/>
  <c r="Y14" i="1"/>
  <c r="Y15" i="1" l="1"/>
  <c r="X16" i="1"/>
  <c r="Y16" i="1" l="1"/>
  <c r="X17" i="1"/>
  <c r="Z8" i="1" l="1"/>
  <c r="Z9" i="1"/>
  <c r="Z10" i="1"/>
  <c r="Z11" i="1"/>
  <c r="Z12" i="1"/>
  <c r="Z13" i="1"/>
  <c r="Z14" i="1"/>
  <c r="Z15" i="1"/>
  <c r="X18" i="1"/>
  <c r="Y17" i="1"/>
  <c r="Z7" i="1"/>
  <c r="X19" i="1" l="1"/>
  <c r="Y18" i="1"/>
  <c r="Y19" i="1" l="1"/>
  <c r="X20" i="1"/>
  <c r="Y20" i="1" l="1"/>
  <c r="X21" i="1"/>
  <c r="X22" i="1" l="1"/>
  <c r="Y21" i="1"/>
  <c r="X23" i="1" l="1"/>
  <c r="Y22" i="1"/>
  <c r="Y23" i="1" l="1"/>
  <c r="X24" i="1"/>
  <c r="Y24" i="1" l="1"/>
  <c r="X25" i="1"/>
  <c r="X26" i="1" l="1"/>
  <c r="Y25" i="1"/>
  <c r="Y26" i="1" l="1"/>
  <c r="AB6" i="1"/>
  <c r="AB7" i="1" s="1"/>
  <c r="AB8" i="1" l="1"/>
  <c r="AC7" i="1"/>
  <c r="AC6" i="1"/>
  <c r="Z17" i="1"/>
  <c r="Z18" i="1"/>
  <c r="Z19" i="1"/>
  <c r="Z20" i="1"/>
  <c r="Z21" i="1"/>
  <c r="Z22" i="1"/>
  <c r="Z23" i="1"/>
  <c r="Z24" i="1"/>
  <c r="Z25" i="1"/>
  <c r="AB9" i="1" l="1"/>
  <c r="AC8" i="1"/>
  <c r="AB10" i="1" l="1"/>
  <c r="AC9" i="1"/>
  <c r="AC10" i="1" l="1"/>
  <c r="AB11" i="1"/>
  <c r="AC11" i="1" l="1"/>
  <c r="AB12" i="1"/>
  <c r="AB13" i="1" l="1"/>
  <c r="AC12" i="1"/>
  <c r="AC13" i="1" l="1"/>
  <c r="AB14" i="1"/>
  <c r="AC14" i="1" l="1"/>
  <c r="AB15" i="1"/>
  <c r="AB16" i="1" l="1"/>
  <c r="AC15" i="1"/>
  <c r="AC16" i="1" l="1"/>
  <c r="AB17" i="1"/>
  <c r="AB18" i="1" l="1"/>
  <c r="AC17" i="1"/>
  <c r="AD7" i="1"/>
  <c r="AD8" i="1"/>
  <c r="AD9" i="1"/>
  <c r="AD10" i="1"/>
  <c r="AD11" i="1"/>
  <c r="AD12" i="1"/>
  <c r="AD13" i="1"/>
  <c r="AD14" i="1"/>
  <c r="AD15" i="1"/>
  <c r="AC18" i="1" l="1"/>
  <c r="AB19" i="1"/>
  <c r="AB20" i="1" l="1"/>
  <c r="AC19" i="1"/>
  <c r="AC20" i="1" l="1"/>
  <c r="AB21" i="1"/>
  <c r="AC21" i="1" l="1"/>
  <c r="AB22" i="1"/>
  <c r="AC22" i="1" l="1"/>
  <c r="AB23" i="1"/>
  <c r="AB24" i="1" l="1"/>
  <c r="AC23" i="1"/>
  <c r="AC24" i="1" l="1"/>
  <c r="AB25" i="1"/>
  <c r="AB26" i="1" l="1"/>
  <c r="AC25" i="1"/>
  <c r="AC26" i="1" l="1"/>
  <c r="AF6" i="1"/>
  <c r="AF7" i="1" s="1"/>
  <c r="AF8" i="1" l="1"/>
  <c r="AG7" i="1"/>
  <c r="AG6" i="1"/>
  <c r="AD17" i="1"/>
  <c r="AD18" i="1"/>
  <c r="AD19" i="1"/>
  <c r="AD20" i="1"/>
  <c r="AD21" i="1"/>
  <c r="AD22" i="1"/>
  <c r="AD23" i="1"/>
  <c r="AD24" i="1"/>
  <c r="AD25" i="1"/>
  <c r="AF9" i="1" l="1"/>
  <c r="AG8" i="1"/>
  <c r="AG9" i="1" l="1"/>
  <c r="AF10" i="1"/>
  <c r="AG10" i="1" l="1"/>
  <c r="AF11" i="1"/>
  <c r="AF12" i="1" l="1"/>
  <c r="AG11" i="1"/>
  <c r="AG12" i="1" l="1"/>
  <c r="AF13" i="1"/>
  <c r="AG13" i="1" l="1"/>
  <c r="AF14" i="1"/>
  <c r="AF15" i="1" l="1"/>
  <c r="AG14" i="1"/>
  <c r="AF16" i="1" l="1"/>
  <c r="AG15" i="1"/>
  <c r="AF17" i="1" l="1"/>
  <c r="AG16" i="1"/>
  <c r="AH7" i="1" l="1"/>
  <c r="AH8" i="1"/>
  <c r="AH9" i="1"/>
  <c r="AH10" i="1"/>
  <c r="AH11" i="1"/>
  <c r="AH12" i="1"/>
  <c r="AH13" i="1"/>
  <c r="AH14" i="1"/>
  <c r="AG17" i="1"/>
  <c r="AF18" i="1"/>
  <c r="AH15" i="1"/>
  <c r="AG18" i="1" l="1"/>
  <c r="AF19" i="1"/>
  <c r="AF20" i="1" l="1"/>
  <c r="AG19" i="1"/>
  <c r="AG20" i="1" l="1"/>
  <c r="AF21" i="1"/>
  <c r="AG21" i="1" l="1"/>
  <c r="AF22" i="1"/>
  <c r="AG22" i="1" l="1"/>
  <c r="AF23" i="1"/>
  <c r="AF24" i="1" l="1"/>
  <c r="AG23" i="1"/>
  <c r="AF25" i="1" l="1"/>
  <c r="AG24" i="1"/>
  <c r="AF26" i="1" l="1"/>
  <c r="AG26" i="1" s="1"/>
  <c r="AG25" i="1"/>
  <c r="AH25" i="1" s="1"/>
  <c r="AH17" i="1" l="1"/>
  <c r="AH18" i="1"/>
  <c r="AH19" i="1"/>
  <c r="AH20" i="1"/>
  <c r="AH21" i="1"/>
  <c r="AH22" i="1"/>
  <c r="AH23" i="1"/>
  <c r="AH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<sst xmlns="http://schemas.openxmlformats.org/spreadsheetml/2006/main" count="957" uniqueCount="130">
  <si>
    <t>DOD</t>
  </si>
  <si>
    <t>N.cycles</t>
  </si>
  <si>
    <t>soc</t>
  </si>
  <si>
    <t>EXOECTED CYCLE LIFE vs. DOD https://www.greentechrenewables.com/article/how-does-depth-discharge-factor-grid-connected-battery-systems</t>
  </si>
  <si>
    <t>EXOECTED CYCLE LIFE vs. DOD https://energymag.net/dod-depth-of-discharge/</t>
  </si>
  <si>
    <t>5 DISCRETIZED STATES</t>
  </si>
  <si>
    <t>11 DISCRETIZED STATES</t>
  </si>
  <si>
    <t>SOC %</t>
  </si>
  <si>
    <t>Eff_charge</t>
  </si>
  <si>
    <t>Eff_discharge</t>
  </si>
  <si>
    <t>TimeStep</t>
  </si>
  <si>
    <r>
      <t>Val(t)</t>
    </r>
    <r>
      <rPr>
        <vertAlign val="subscript"/>
        <sz val="11"/>
        <color theme="1"/>
        <rFont val="Calibri"/>
        <family val="2"/>
        <scheme val="minor"/>
      </rPr>
      <t>100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</si>
  <si>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75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</si>
  <si>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50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</si>
  <si>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25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</si>
  <si>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0</t>
    </r>
  </si>
  <si>
    <r>
      <t>Val(t+1)</t>
    </r>
    <r>
      <rPr>
        <vertAlign val="subscript"/>
        <sz val="11"/>
        <color theme="1"/>
        <rFont val="Calibri"/>
        <family val="2"/>
        <scheme val="minor"/>
      </rPr>
      <t>100</t>
    </r>
  </si>
  <si>
    <r>
      <t>Val(t+1)</t>
    </r>
    <r>
      <rPr>
        <vertAlign val="subscript"/>
        <sz val="11"/>
        <color theme="1"/>
        <rFont val="Calibri"/>
        <family val="2"/>
        <scheme val="minor"/>
      </rPr>
      <t>75</t>
    </r>
  </si>
  <si>
    <r>
      <t>Val(t+1)</t>
    </r>
    <r>
      <rPr>
        <vertAlign val="subscript"/>
        <sz val="11"/>
        <color theme="1"/>
        <rFont val="Calibri"/>
        <family val="2"/>
        <scheme val="minor"/>
      </rPr>
      <t>50</t>
    </r>
  </si>
  <si>
    <r>
      <t>Val(t+1)</t>
    </r>
    <r>
      <rPr>
        <vertAlign val="subscript"/>
        <sz val="11"/>
        <color theme="1"/>
        <rFont val="Calibri"/>
        <family val="2"/>
        <scheme val="minor"/>
      </rPr>
      <t>25</t>
    </r>
  </si>
  <si>
    <r>
      <t>Val(t+1)</t>
    </r>
    <r>
      <rPr>
        <vertAlign val="subscript"/>
        <sz val="11"/>
        <color theme="1"/>
        <rFont val="Calibri"/>
        <family val="2"/>
        <scheme val="minor"/>
      </rPr>
      <t>0</t>
    </r>
  </si>
  <si>
    <t>charge</t>
  </si>
  <si>
    <t>discharge</t>
  </si>
  <si>
    <t>price</t>
  </si>
  <si>
    <t>degradation</t>
  </si>
  <si>
    <t>CostBattery</t>
  </si>
  <si>
    <t>MW</t>
  </si>
  <si>
    <t>€/MWh</t>
  </si>
  <si>
    <r>
      <t>Val(t)</t>
    </r>
    <r>
      <rPr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100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</si>
  <si>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75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</si>
  <si>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50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</si>
  <si>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25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</si>
  <si>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</si>
  <si>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100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</si>
  <si>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75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</si>
  <si>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50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</si>
  <si>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25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</si>
  <si>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0</t>
    </r>
  </si>
  <si>
    <t>soc_start</t>
  </si>
  <si>
    <t>soc_final</t>
  </si>
  <si>
    <t>MWh</t>
  </si>
  <si>
    <t>repCost</t>
  </si>
  <si>
    <r>
      <t>Val(t)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100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</si>
  <si>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75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</si>
  <si>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50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</si>
  <si>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25</t>
    </r>
  </si>
  <si>
    <t>MAX</t>
  </si>
  <si>
    <t>final</t>
  </si>
  <si>
    <r>
      <t>Val(t)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100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</si>
  <si>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75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</si>
  <si>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50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</si>
  <si>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25</t>
    </r>
  </si>
  <si>
    <t>EnergyCapacity</t>
  </si>
  <si>
    <r>
      <t>Val(t)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100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</si>
  <si>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0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</si>
  <si>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75</t>
    </r>
  </si>
  <si>
    <r>
      <t>Val(t)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50</t>
    </r>
  </si>
  <si>
    <r>
      <t>Val(t)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-&gt; Val(t+1)</t>
    </r>
    <r>
      <rPr>
        <b/>
        <vertAlign val="subscript"/>
        <sz val="11"/>
        <color theme="1"/>
        <rFont val="Calibri"/>
        <family val="2"/>
        <scheme val="minor"/>
      </rPr>
      <t>25</t>
    </r>
  </si>
  <si>
    <r>
      <t>Val(t)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-&gt; Val(t+1)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</si>
  <si>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GAIN</t>
  </si>
  <si>
    <r>
      <t>Val(t)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-&gt; Val(t+1)</t>
    </r>
    <r>
      <rPr>
        <vertAlign val="subscript"/>
        <sz val="11"/>
        <color theme="1"/>
        <rFont val="Calibri"/>
        <family val="2"/>
        <scheme val="minor"/>
      </rPr>
      <t>0</t>
    </r>
  </si>
  <si>
    <t>energy_capacity</t>
  </si>
  <si>
    <t>cost</t>
  </si>
  <si>
    <t>1/Ncycles</t>
  </si>
  <si>
    <t>Degradation</t>
  </si>
  <si>
    <t>VRLAB Flat plate battery type Gel VRLA SOLAR</t>
  </si>
  <si>
    <t>N.CYCLES</t>
  </si>
  <si>
    <t>1/N.cycles</t>
  </si>
  <si>
    <t>Half Cycle</t>
  </si>
  <si>
    <t>DOD %</t>
  </si>
  <si>
    <t>dod=25</t>
  </si>
  <si>
    <t>dod=80</t>
  </si>
  <si>
    <t>€</t>
  </si>
  <si>
    <t>soc =75</t>
  </si>
  <si>
    <t>soc = 20</t>
  </si>
  <si>
    <t>Half cycle</t>
  </si>
  <si>
    <t>Cost</t>
  </si>
  <si>
    <t>Degradation MWh</t>
  </si>
  <si>
    <t>SOC_start</t>
  </si>
  <si>
    <t>DOD_start</t>
  </si>
  <si>
    <t>SOC_final</t>
  </si>
  <si>
    <t>DOD_final</t>
  </si>
  <si>
    <t>Degradation_start</t>
  </si>
  <si>
    <t>Cost_start</t>
  </si>
  <si>
    <t>Eq.cycles</t>
  </si>
  <si>
    <t>70-&gt;20</t>
  </si>
  <si>
    <t>75-&gt;25 e 25-&gt;75</t>
  </si>
  <si>
    <t>50-&gt;25 e 25-&gt;50</t>
  </si>
  <si>
    <t>0-&gt;25 e 25-&gt;0</t>
  </si>
  <si>
    <t>75-&gt;50 e 50-&gt;75</t>
  </si>
  <si>
    <t>75-&gt;0 e 0-&gt;75</t>
  </si>
  <si>
    <t>75-&gt;100 e 100-&gt;75</t>
  </si>
  <si>
    <t>FinalCost €</t>
  </si>
  <si>
    <t>5 STATES</t>
  </si>
  <si>
    <t>11 STATES</t>
  </si>
  <si>
    <t>Nstages</t>
  </si>
  <si>
    <t>Time</t>
  </si>
  <si>
    <t>netGain</t>
  </si>
  <si>
    <t>year 2020</t>
  </si>
  <si>
    <t>year 2022</t>
  </si>
  <si>
    <t>year 2021</t>
  </si>
  <si>
    <t>Time (s)</t>
  </si>
  <si>
    <t>21 STATES</t>
  </si>
  <si>
    <t>WITHOUT PV</t>
  </si>
  <si>
    <t>WITH PV</t>
  </si>
  <si>
    <t>WITH POWER CAPACITY 20 MW</t>
  </si>
  <si>
    <t>netGain (€)</t>
  </si>
  <si>
    <t>CostBattery (€)</t>
  </si>
  <si>
    <t>Power capacity</t>
  </si>
  <si>
    <t>Energy Capacity</t>
  </si>
  <si>
    <t>2MW</t>
  </si>
  <si>
    <t>1MW</t>
  </si>
  <si>
    <t>Charges</t>
  </si>
  <si>
    <t>=</t>
  </si>
  <si>
    <t>DoD</t>
  </si>
  <si>
    <t>a</t>
  </si>
  <si>
    <t>b</t>
  </si>
  <si>
    <t>Ncycles</t>
  </si>
  <si>
    <t>Capacity (10MWh)</t>
  </si>
  <si>
    <t>Capacity (12MWh)</t>
  </si>
  <si>
    <t>Capacity (14MWh)</t>
  </si>
  <si>
    <t>CALCOLO NUMERO CICLI IN FUNZIONE DI SOC</t>
  </si>
  <si>
    <t>SOC</t>
  </si>
  <si>
    <t>Degradation %</t>
  </si>
  <si>
    <r>
      <t>β</t>
    </r>
    <r>
      <rPr>
        <b/>
        <vertAlign val="subscript"/>
        <sz val="11"/>
        <color theme="1"/>
        <rFont val="Calibri"/>
        <family val="2"/>
      </rPr>
      <t>0</t>
    </r>
  </si>
  <si>
    <r>
      <t>β</t>
    </r>
    <r>
      <rPr>
        <b/>
        <vertAlign val="subscript"/>
        <sz val="11"/>
        <color theme="1"/>
        <rFont val="Calibri"/>
        <family val="2"/>
      </rPr>
      <t>1</t>
    </r>
  </si>
  <si>
    <r>
      <t>β</t>
    </r>
    <r>
      <rPr>
        <b/>
        <vertAlign val="subscript"/>
        <sz val="11"/>
        <color theme="1"/>
        <rFont val="Calibri"/>
        <family val="2"/>
      </rPr>
      <t>2</t>
    </r>
  </si>
  <si>
    <t>BATTERY 1</t>
  </si>
  <si>
    <t>BATTERY 2</t>
  </si>
  <si>
    <t>BATTERY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</si>
</sst>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0.00000000"/>
    <numFmt numFmtId="167" formatCode="0.0000%"/>
    <numFmt numFmtId="168" formatCode="0.000000"/>
    <numFmt numFmtId="169" formatCode="0.000000000"/>
    <numFmt numFmtId="170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2" fillId="8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 applyAlignment="1">
      <alignment horizontal="center" vertical="center" textRotation="90"/>
    </xf>
    <xf numFmtId="2" fontId="0" fillId="0" borderId="11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164" fontId="1" fillId="0" borderId="0" xfId="0" applyNumberFormat="1" applyFont="1" applyAlignment="1">
      <alignment horizontal="center"/>
    </xf>
    <xf numFmtId="166" fontId="0" fillId="0" borderId="0" xfId="0" applyNumberFormat="1"/>
    <xf numFmtId="2" fontId="1" fillId="2" borderId="0" xfId="0" applyNumberFormat="1" applyFont="1" applyFill="1" applyAlignment="1">
      <alignment horizontal="center"/>
    </xf>
    <xf numFmtId="167" fontId="0" fillId="0" borderId="0" xfId="1" applyNumberFormat="1" applyFont="1"/>
    <xf numFmtId="0" fontId="0" fillId="10" borderId="0" xfId="0" applyFill="1" applyAlignment="1">
      <alignment horizontal="center" vertical="center"/>
    </xf>
    <xf numFmtId="169" fontId="0" fillId="0" borderId="0" xfId="0" applyNumberFormat="1"/>
    <xf numFmtId="168" fontId="0" fillId="0" borderId="4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70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8" fontId="0" fillId="0" borderId="0" xfId="0" applyNumberFormat="1"/>
    <xf numFmtId="166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textRotation="90"/>
    </xf>
    <xf numFmtId="0" fontId="1" fillId="9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68" fontId="0" fillId="0" borderId="0" xfId="0" applyNumberFormat="1" applyFill="1"/>
    <xf numFmtId="0" fontId="9" fillId="0" borderId="0" xfId="0" applyFont="1"/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0" fillId="0" borderId="10" xfId="0" applyNumberFormat="1" applyBorder="1"/>
  </cellXfs>
  <cellStyles count="2">
    <cellStyle name="Normal" xfId="0" builtinId="0"/>
    <cellStyle name="Percent" xfId="1" builtinId="5"/>
  </cellStyles>
  <dxfs count="10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'Cycles from graphs'!$C$47:$C$55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xVal>
          <c:yVal>
            <c:numRef>
              <c:f>'Cycles from graphs'!$D$47:$D$55</c:f>
              <c:numCache>
                <c:formatCode>General</c:formatCode>
                <c:ptCount val="9"/>
                <c:pt idx="0">
                  <c:v>180000</c:v>
                </c:pt>
                <c:pt idx="1">
                  <c:v>75000</c:v>
                </c:pt>
                <c:pt idx="2">
                  <c:v>36000</c:v>
                </c:pt>
                <c:pt idx="3">
                  <c:v>22000</c:v>
                </c:pt>
                <c:pt idx="4">
                  <c:v>15000</c:v>
                </c:pt>
                <c:pt idx="5">
                  <c:v>10500</c:v>
                </c:pt>
                <c:pt idx="6">
                  <c:v>8000</c:v>
                </c:pt>
                <c:pt idx="7">
                  <c:v>6200</c:v>
                </c:pt>
                <c:pt idx="8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82-4ECA-ACBE-4D74A425E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523776"/>
        <c:axId val="235532640"/>
      </c:scatterChart>
      <c:valAx>
        <c:axId val="23552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532640"/>
        <c:crosses val="autoZero"/>
        <c:crossBetween val="midCat"/>
      </c:valAx>
      <c:valAx>
        <c:axId val="235532640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52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'Cycles from graphs'!$C$6:$C$17</c:f>
              <c:numCache>
                <c:formatCode>General</c:formatCode>
                <c:ptCount val="12"/>
                <c:pt idx="0">
                  <c:v>0.1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'Cycles from graphs'!$D$6:$D$17</c:f>
              <c:numCache>
                <c:formatCode>General</c:formatCode>
                <c:ptCount val="12"/>
                <c:pt idx="0">
                  <c:v>100000</c:v>
                </c:pt>
                <c:pt idx="1">
                  <c:v>15000</c:v>
                </c:pt>
                <c:pt idx="2">
                  <c:v>7000</c:v>
                </c:pt>
                <c:pt idx="3">
                  <c:v>3300</c:v>
                </c:pt>
                <c:pt idx="4">
                  <c:v>2050</c:v>
                </c:pt>
                <c:pt idx="5">
                  <c:v>1475</c:v>
                </c:pt>
                <c:pt idx="6">
                  <c:v>1150</c:v>
                </c:pt>
                <c:pt idx="7">
                  <c:v>950</c:v>
                </c:pt>
                <c:pt idx="8">
                  <c:v>780</c:v>
                </c:pt>
                <c:pt idx="9">
                  <c:v>675</c:v>
                </c:pt>
                <c:pt idx="10">
                  <c:v>590</c:v>
                </c:pt>
                <c:pt idx="1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D5-4F25-A6F3-768545DD0284}"/>
            </c:ext>
          </c:extLst>
        </c:ser>
        <c:ser>
          <c:idx val="2"/>
          <c:order val="2"/>
          <c:tx>
            <c:v>Int2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'Cycles from graphs'!$Q$6:$Q$26</c:f>
            </c:numRef>
          </c:xVal>
          <c:yVal>
            <c:numRef>
              <c:f>'Cycles from graphs'!$R$6:$R$26</c:f>
            </c:numRef>
          </c:yVal>
          <c:smooth val="0"/>
          <c:extLst>
            <c:ext xmlns:c16="http://schemas.microsoft.com/office/drawing/2014/chart" uri="{C3380CC4-5D6E-409C-BE32-E72D297353CC}">
              <c16:uniqueId val="{00000007-85D5-4F25-A6F3-768545DD0284}"/>
            </c:ext>
          </c:extLst>
        </c:ser>
        <c:ser>
          <c:idx val="3"/>
          <c:order val="3"/>
          <c:tx>
            <c:v>Int2.2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'Cycles from graphs'!$U$6:$U$26</c:f>
            </c:numRef>
          </c:xVal>
          <c:yVal>
            <c:numRef>
              <c:f>'Cycles from graphs'!$V$6:$V$26</c:f>
            </c:numRef>
          </c:yVal>
          <c:smooth val="0"/>
          <c:extLst>
            <c:ext xmlns:c16="http://schemas.microsoft.com/office/drawing/2014/chart" uri="{C3380CC4-5D6E-409C-BE32-E72D297353CC}">
              <c16:uniqueId val="{00000008-85D5-4F25-A6F3-768545DD0284}"/>
            </c:ext>
          </c:extLst>
        </c:ser>
        <c:ser>
          <c:idx val="4"/>
          <c:order val="4"/>
          <c:tx>
            <c:v>Int2.3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'Cycles from graphs'!$Y$6:$Y$26</c:f>
            </c:numRef>
          </c:xVal>
          <c:yVal>
            <c:numRef>
              <c:f>'Cycles from graphs'!$Z$6:$Z$26</c:f>
            </c:numRef>
          </c:yVal>
          <c:smooth val="0"/>
          <c:extLst>
            <c:ext xmlns:c16="http://schemas.microsoft.com/office/drawing/2014/chart" uri="{C3380CC4-5D6E-409C-BE32-E72D297353CC}">
              <c16:uniqueId val="{00000009-85D5-4F25-A6F3-768545DD0284}"/>
            </c:ext>
          </c:extLst>
        </c:ser>
        <c:ser>
          <c:idx val="5"/>
          <c:order val="5"/>
          <c:tx>
            <c:v>Int2.4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'Cycles from graphs'!$AC$6:$AC$26</c:f>
            </c:numRef>
          </c:xVal>
          <c:yVal>
            <c:numRef>
              <c:f>'Cycles from graphs'!$AD$6:$AD$26</c:f>
            </c:numRef>
          </c:yVal>
          <c:smooth val="0"/>
          <c:extLst>
            <c:ext xmlns:c16="http://schemas.microsoft.com/office/drawing/2014/chart" uri="{C3380CC4-5D6E-409C-BE32-E72D297353CC}">
              <c16:uniqueId val="{0000000B-85D5-4F25-A6F3-768545DD0284}"/>
            </c:ext>
          </c:extLst>
        </c:ser>
        <c:ser>
          <c:idx val="6"/>
          <c:order val="6"/>
          <c:tx>
            <c:v>Int2.5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'Cycles from graphs'!$AG$6:$AG$26</c:f>
            </c:numRef>
          </c:xVal>
          <c:yVal>
            <c:numRef>
              <c:f>'Cycles from graphs'!$AH$6:$AH$26</c:f>
            </c:numRef>
          </c:yVal>
          <c:smooth val="0"/>
          <c:extLst>
            <c:ext xmlns:c16="http://schemas.microsoft.com/office/drawing/2014/chart" uri="{C3380CC4-5D6E-409C-BE32-E72D297353CC}">
              <c16:uniqueId val="{0000000C-85D5-4F25-A6F3-768545DD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51632"/>
        <c:axId val="23515130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Interpolated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'Cycles from graphs'!$G$6:$G$26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'Cycles from graphs'!$H$6:$H$26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100000</c:v>
                      </c:pt>
                      <c:pt idx="1">
                        <c:v>15000</c:v>
                      </c:pt>
                      <c:pt idx="2">
                        <c:v>7000</c:v>
                      </c:pt>
                      <c:pt idx="3">
                        <c:v>5150</c:v>
                      </c:pt>
                      <c:pt idx="4">
                        <c:v>3300</c:v>
                      </c:pt>
                      <c:pt idx="5">
                        <c:v>2675</c:v>
                      </c:pt>
                      <c:pt idx="6">
                        <c:v>2050</c:v>
                      </c:pt>
                      <c:pt idx="7">
                        <c:v>1762.5</c:v>
                      </c:pt>
                      <c:pt idx="8">
                        <c:v>1475</c:v>
                      </c:pt>
                      <c:pt idx="9">
                        <c:v>1312.5</c:v>
                      </c:pt>
                      <c:pt idx="10">
                        <c:v>1150</c:v>
                      </c:pt>
                      <c:pt idx="11">
                        <c:v>1050</c:v>
                      </c:pt>
                      <c:pt idx="12">
                        <c:v>950</c:v>
                      </c:pt>
                      <c:pt idx="13">
                        <c:v>865</c:v>
                      </c:pt>
                      <c:pt idx="14">
                        <c:v>780</c:v>
                      </c:pt>
                      <c:pt idx="15">
                        <c:v>727.5</c:v>
                      </c:pt>
                      <c:pt idx="16">
                        <c:v>675</c:v>
                      </c:pt>
                      <c:pt idx="17">
                        <c:v>632.5</c:v>
                      </c:pt>
                      <c:pt idx="18">
                        <c:v>590</c:v>
                      </c:pt>
                      <c:pt idx="19">
                        <c:v>545</c:v>
                      </c:pt>
                      <c:pt idx="20">
                        <c:v>500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85D5-4F25-A6F3-768545DD0284}"/>
                  </c:ext>
                </c:extLst>
              </c15:ser>
            </c15:filteredScatterSeries>
          </c:ext>
        </c:extLst>
      </c:scatterChart>
      <c:valAx>
        <c:axId val="23515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51304"/>
        <c:crosses val="autoZero"/>
        <c:crossBetween val="midCat"/>
      </c:valAx>
      <c:valAx>
        <c:axId val="235151304"/>
        <c:scaling>
          <c:logBase val="10"/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5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052874979954104"/>
          <c:y val="9.72222222222222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'Cycles from graphs'!$C$45:$C$65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'Cycles from graphs'!$D$45:$D$65</c:f>
              <c:numCache>
                <c:formatCode>General</c:formatCode>
                <c:ptCount val="21"/>
                <c:pt idx="0">
                  <c:v>1500000</c:v>
                </c:pt>
                <c:pt idx="1">
                  <c:v>450000</c:v>
                </c:pt>
                <c:pt idx="2">
                  <c:v>180000</c:v>
                </c:pt>
                <c:pt idx="3">
                  <c:v>75000</c:v>
                </c:pt>
                <c:pt idx="4">
                  <c:v>36000</c:v>
                </c:pt>
                <c:pt idx="5">
                  <c:v>22000</c:v>
                </c:pt>
                <c:pt idx="6">
                  <c:v>15000</c:v>
                </c:pt>
                <c:pt idx="7">
                  <c:v>10500</c:v>
                </c:pt>
                <c:pt idx="8">
                  <c:v>8000</c:v>
                </c:pt>
                <c:pt idx="9">
                  <c:v>6200</c:v>
                </c:pt>
                <c:pt idx="10">
                  <c:v>5000</c:v>
                </c:pt>
                <c:pt idx="11">
                  <c:v>4400</c:v>
                </c:pt>
                <c:pt idx="12">
                  <c:v>3800</c:v>
                </c:pt>
                <c:pt idx="13">
                  <c:v>3400</c:v>
                </c:pt>
                <c:pt idx="14">
                  <c:v>3000</c:v>
                </c:pt>
                <c:pt idx="15">
                  <c:v>2700</c:v>
                </c:pt>
                <c:pt idx="16">
                  <c:v>2400</c:v>
                </c:pt>
                <c:pt idx="17">
                  <c:v>2100</c:v>
                </c:pt>
                <c:pt idx="18">
                  <c:v>1900</c:v>
                </c:pt>
                <c:pt idx="19">
                  <c:v>1800</c:v>
                </c:pt>
                <c:pt idx="20">
                  <c:v>1750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A-4943-89F4-3711044C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23800"/>
        <c:axId val="569928392"/>
      </c:scatterChart>
      <c:valAx>
        <c:axId val="569923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28392"/>
        <c:crosses val="autoZero"/>
        <c:crossBetween val="midCat"/>
      </c:valAx>
      <c:valAx>
        <c:axId val="569928392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23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Degradation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'Cycles from graphs'!$B$68:$B$88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'Cycles from graphs'!$D$68:$D$88</c:f>
              <c:numCache>
                <c:formatCode>0.00000000</c:formatCode>
                <c:ptCount val="21"/>
                <c:pt idx="0">
                  <c:v>5.7142857142857147E-4</c:v>
                </c:pt>
                <c:pt idx="1">
                  <c:v>5.5555555555555556E-4</c:v>
                </c:pt>
                <c:pt idx="2">
                  <c:v>5.263157894736842E-4</c:v>
                </c:pt>
                <c:pt idx="3">
                  <c:v>4.7619047619047619E-4</c:v>
                </c:pt>
                <c:pt idx="4">
                  <c:v>4.1666666666666669E-4</c:v>
                </c:pt>
                <c:pt idx="5">
                  <c:v>3.7037037037037035E-4</c:v>
                </c:pt>
                <c:pt idx="6">
                  <c:v>3.3333333333333332E-4</c:v>
                </c:pt>
                <c:pt idx="7">
                  <c:v>2.941176470588235E-4</c:v>
                </c:pt>
                <c:pt idx="8">
                  <c:v>2.631578947368421E-4</c:v>
                </c:pt>
                <c:pt idx="9">
                  <c:v>2.2727272727272727E-4</c:v>
                </c:pt>
                <c:pt idx="10">
                  <c:v>2.0000000000000001E-4</c:v>
                </c:pt>
                <c:pt idx="11">
                  <c:v>1.6129032258064516E-4</c:v>
                </c:pt>
                <c:pt idx="12">
                  <c:v>1.25E-4</c:v>
                </c:pt>
                <c:pt idx="13">
                  <c:v>9.5238095238095241E-5</c:v>
                </c:pt>
                <c:pt idx="14">
                  <c:v>6.666666666666667E-5</c:v>
                </c:pt>
                <c:pt idx="15">
                  <c:v>4.5454545454545452E-5</c:v>
                </c:pt>
                <c:pt idx="16">
                  <c:v>2.7777777777777779E-5</c:v>
                </c:pt>
                <c:pt idx="17">
                  <c:v>1.3333333333333333E-5</c:v>
                </c:pt>
                <c:pt idx="18">
                  <c:v>5.5555555555555558E-6</c:v>
                </c:pt>
                <c:pt idx="19">
                  <c:v>2.2222222222222221E-6</c:v>
                </c:pt>
                <c:pt idx="20">
                  <c:v>6.6666666666666671E-7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28-4D1F-AED8-67851F2C6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36264"/>
        <c:axId val="570037576"/>
      </c:scatterChart>
      <c:valAx>
        <c:axId val="570036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037576"/>
        <c:crosses val="autoZero"/>
        <c:crossBetween val="midCat"/>
      </c:valAx>
      <c:valAx>
        <c:axId val="57003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036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'Cycles from graphs'!$B$68:$B$88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'Cycles from graphs'!$E$68:$E$88</c:f>
              <c:numCache>
                <c:formatCode>General</c:formatCode>
                <c:ptCount val="21"/>
                <c:pt idx="0">
                  <c:v>142.85714285714286</c:v>
                </c:pt>
                <c:pt idx="1">
                  <c:v>138.88888888888889</c:v>
                </c:pt>
                <c:pt idx="2">
                  <c:v>131.57894736842104</c:v>
                </c:pt>
                <c:pt idx="3">
                  <c:v>119.04761904761905</c:v>
                </c:pt>
                <c:pt idx="4">
                  <c:v>104.16666666666667</c:v>
                </c:pt>
                <c:pt idx="5">
                  <c:v>92.592592592592581</c:v>
                </c:pt>
                <c:pt idx="6">
                  <c:v>83.333333333333329</c:v>
                </c:pt>
                <c:pt idx="7">
                  <c:v>73.52941176470587</c:v>
                </c:pt>
                <c:pt idx="8">
                  <c:v>65.78947368421052</c:v>
                </c:pt>
                <c:pt idx="9">
                  <c:v>56.81818181818182</c:v>
                </c:pt>
                <c:pt idx="10">
                  <c:v>50</c:v>
                </c:pt>
                <c:pt idx="11">
                  <c:v>40.322580645161288</c:v>
                </c:pt>
                <c:pt idx="12">
                  <c:v>31.25</c:v>
                </c:pt>
                <c:pt idx="13">
                  <c:v>23.80952380952381</c:v>
                </c:pt>
                <c:pt idx="14">
                  <c:v>16.666666666666668</c:v>
                </c:pt>
                <c:pt idx="15">
                  <c:v>11.363636363636363</c:v>
                </c:pt>
                <c:pt idx="16">
                  <c:v>6.9444444444444446</c:v>
                </c:pt>
                <c:pt idx="17">
                  <c:v>3.3333333333333335</c:v>
                </c:pt>
                <c:pt idx="18">
                  <c:v>1.3888888888888891</c:v>
                </c:pt>
                <c:pt idx="19">
                  <c:v>0.55555555555555547</c:v>
                </c:pt>
                <c:pt idx="20">
                  <c:v>0.16666666666666669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7A-4CC9-B10A-F0D1D0768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36264"/>
        <c:axId val="570037576"/>
      </c:scatterChart>
      <c:valAx>
        <c:axId val="570036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037576"/>
        <c:crosses val="autoZero"/>
        <c:crossBetween val="midCat"/>
      </c:valAx>
      <c:valAx>
        <c:axId val="57003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036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'Cycles from paper'!$C$9:$C$108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0.92999999999999994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0.82000000000000006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0.67999999999999994</c:v>
                </c:pt>
                <c:pt idx="33">
                  <c:v>0.66999999999999993</c:v>
                </c:pt>
                <c:pt idx="34">
                  <c:v>0.65999999999999992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0.59000000000000008</c:v>
                </c:pt>
                <c:pt idx="42">
                  <c:v>0.58000000000000007</c:v>
                </c:pt>
                <c:pt idx="43">
                  <c:v>0.57000000000000006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0.45999999999999996</c:v>
                </c:pt>
                <c:pt idx="55">
                  <c:v>0.44999999999999996</c:v>
                </c:pt>
                <c:pt idx="56">
                  <c:v>0.43999999999999995</c:v>
                </c:pt>
                <c:pt idx="57">
                  <c:v>0.43000000000000005</c:v>
                </c:pt>
                <c:pt idx="58">
                  <c:v>0.42000000000000004</c:v>
                </c:pt>
                <c:pt idx="59">
                  <c:v>0.41000000000000003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0.33999999999999997</c:v>
                </c:pt>
                <c:pt idx="67">
                  <c:v>0.32999999999999996</c:v>
                </c:pt>
                <c:pt idx="68">
                  <c:v>0.31999999999999995</c:v>
                </c:pt>
                <c:pt idx="69">
                  <c:v>0.31000000000000005</c:v>
                </c:pt>
                <c:pt idx="70">
                  <c:v>0.30000000000000004</c:v>
                </c:pt>
                <c:pt idx="71">
                  <c:v>0.29000000000000004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0.22999999999999998</c:v>
                </c:pt>
                <c:pt idx="78">
                  <c:v>0.21999999999999997</c:v>
                </c:pt>
                <c:pt idx="79">
                  <c:v>0.20999999999999996</c:v>
                </c:pt>
                <c:pt idx="80">
                  <c:v>0.19999999999999996</c:v>
                </c:pt>
                <c:pt idx="81">
                  <c:v>0.18999999999999995</c:v>
                </c:pt>
                <c:pt idx="82">
                  <c:v>0.18000000000000005</c:v>
                </c:pt>
                <c:pt idx="83">
                  <c:v>0.17000000000000004</c:v>
                </c:pt>
                <c:pt idx="84">
                  <c:v>0.16000000000000003</c:v>
                </c:pt>
                <c:pt idx="85">
                  <c:v>0.15000000000000002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0.10999999999999999</c:v>
                </c:pt>
                <c:pt idx="90">
                  <c:v>9.9999999999999978E-2</c:v>
                </c:pt>
                <c:pt idx="91">
                  <c:v>8.9999999999999969E-2</c:v>
                </c:pt>
                <c:pt idx="92">
                  <c:v>7.999999999999996E-2</c:v>
                </c:pt>
                <c:pt idx="93">
                  <c:v>6.9999999999999951E-2</c:v>
                </c:pt>
                <c:pt idx="94">
                  <c:v>6.0000000000000053E-2</c:v>
                </c:pt>
                <c:pt idx="95">
                  <c:v>5.0000000000000044E-2</c:v>
                </c:pt>
                <c:pt idx="96">
                  <c:v>4.0000000000000036E-2</c:v>
                </c:pt>
                <c:pt idx="97">
                  <c:v>3.0000000000000027E-2</c:v>
                </c:pt>
                <c:pt idx="98">
                  <c:v>2.0000000000000018E-2</c:v>
                </c:pt>
                <c:pt idx="99">
                  <c:v>1.0000000000000009E-2</c:v>
                </c:pt>
              </c:numCache>
            </c:numRef>
          </c:xVal>
          <c:yVal>
            <c:numRef>
              <c:f>'Cycles from paper'!$D$9:$D$108</c:f>
              <c:numCache>
                <c:formatCode>0.00</c:formatCode>
                <c:ptCount val="100"/>
                <c:pt idx="0">
                  <c:v>4901</c:v>
                </c:pt>
                <c:pt idx="1">
                  <c:v>5000.3051017245425</c:v>
                </c:pt>
                <c:pt idx="2">
                  <c:v>5102.6531319671785</c:v>
                </c:pt>
                <c:pt idx="3">
                  <c:v>5208.1697410732977</c:v>
                </c:pt>
                <c:pt idx="4">
                  <c:v>5316.987135828168</c:v>
                </c:pt>
                <c:pt idx="5">
                  <c:v>5429.2444945018906</c:v>
                </c:pt>
                <c:pt idx="6">
                  <c:v>5545.0884128846719</c:v>
                </c:pt>
                <c:pt idx="7">
                  <c:v>5664.673383986149</c:v>
                </c:pt>
                <c:pt idx="8">
                  <c:v>5788.1623143350434</c:v>
                </c:pt>
                <c:pt idx="9">
                  <c:v>5915.7270801066406</c:v>
                </c:pt>
                <c:pt idx="10">
                  <c:v>6047.5491266295294</c:v>
                </c:pt>
                <c:pt idx="11">
                  <c:v>6183.8201151833528</c:v>
                </c:pt>
                <c:pt idx="12">
                  <c:v>6324.7426214007974</c:v>
                </c:pt>
                <c:pt idx="13">
                  <c:v>6470.5308900347636</c:v>
                </c:pt>
                <c:pt idx="14">
                  <c:v>6621.4116513518011</c:v>
                </c:pt>
                <c:pt idx="15">
                  <c:v>6777.6250049718692</c:v>
                </c:pt>
                <c:pt idx="16">
                  <c:v>6939.4253776004616</c:v>
                </c:pt>
                <c:pt idx="17">
                  <c:v>7107.0825618007148</c:v>
                </c:pt>
                <c:pt idx="18">
                  <c:v>7280.8828437406619</c:v>
                </c:pt>
                <c:pt idx="19">
                  <c:v>7461.1302287359422</c:v>
                </c:pt>
                <c:pt idx="20">
                  <c:v>7648.147774404476</c:v>
                </c:pt>
                <c:pt idx="21">
                  <c:v>7842.2790423726019</c:v>
                </c:pt>
                <c:pt idx="22">
                  <c:v>8043.8896807395986</c:v>
                </c:pt>
                <c:pt idx="23">
                  <c:v>8253.3691509402652</c:v>
                </c:pt>
                <c:pt idx="24">
                  <c:v>8471.1326142675716</c:v>
                </c:pt>
                <c:pt idx="25">
                  <c:v>8697.6229951567075</c:v>
                </c:pt>
                <c:pt idx="26">
                  <c:v>8933.3132404210701</c:v>
                </c:pt>
                <c:pt idx="27">
                  <c:v>9178.7087960075696</c:v>
                </c:pt>
                <c:pt idx="28">
                  <c:v>9434.3503255469132</c:v>
                </c:pt>
                <c:pt idx="29">
                  <c:v>9700.8166980663846</c:v>
                </c:pt>
                <c:pt idx="30">
                  <c:v>9978.7282757682879</c:v>
                </c:pt>
                <c:pt idx="31">
                  <c:v>10268.750536827845</c:v>
                </c:pt>
                <c:pt idx="32">
                  <c:v>10571.598072813871</c:v>
                </c:pt>
                <c:pt idx="33">
                  <c:v>10888.039005682618</c:v>
                </c:pt>
                <c:pt idx="34">
                  <c:v>11218.899875456782</c:v>
                </c:pt>
                <c:pt idx="35">
                  <c:v>11565.071056816525</c:v>
                </c:pt>
                <c:pt idx="36">
                  <c:v>11927.512771062051</c:v>
                </c:pt>
                <c:pt idx="37">
                  <c:v>12307.261769454326</c:v>
                </c:pt>
                <c:pt idx="38">
                  <c:v>12705.438775036389</c:v>
                </c:pt>
                <c:pt idx="39">
                  <c:v>13123.256782963488</c:v>
                </c:pt>
                <c:pt idx="40">
                  <c:v>13562.030334463409</c:v>
                </c:pt>
                <c:pt idx="41">
                  <c:v>14023.185897215708</c:v>
                </c:pt>
                <c:pt idx="42">
                  <c:v>14508.273505671432</c:v>
                </c:pt>
                <c:pt idx="43">
                  <c:v>15018.979839228514</c:v>
                </c:pt>
                <c:pt idx="44">
                  <c:v>15557.142944957241</c:v>
                </c:pt>
                <c:pt idx="45">
                  <c:v>16124.768845616793</c:v>
                </c:pt>
                <c:pt idx="46">
                  <c:v>16724.050314100063</c:v>
                </c:pt>
                <c:pt idx="47">
                  <c:v>17357.388143515833</c:v>
                </c:pt>
                <c:pt idx="48">
                  <c:v>18027.415299501426</c:v>
                </c:pt>
                <c:pt idx="49">
                  <c:v>18737.024410079051</c:v>
                </c:pt>
                <c:pt idx="50">
                  <c:v>19489.399130937636</c:v>
                </c:pt>
                <c:pt idx="51">
                  <c:v>20288.050023574127</c:v>
                </c:pt>
                <c:pt idx="52">
                  <c:v>21136.855704186037</c:v>
                </c:pt>
                <c:pt idx="53">
                  <c:v>22040.110167506304</c:v>
                </c:pt>
                <c:pt idx="54">
                  <c:v>23002.577368142778</c:v>
                </c:pt>
                <c:pt idx="55">
                  <c:v>24029.554360338283</c:v>
                </c:pt>
                <c:pt idx="56">
                  <c:v>25126.944565488233</c:v>
                </c:pt>
                <c:pt idx="57">
                  <c:v>26301.3430681686</c:v>
                </c:pt>
                <c:pt idx="58">
                  <c:v>27560.136252492903</c:v>
                </c:pt>
                <c:pt idx="59">
                  <c:v>28911.618602912265</c:v>
                </c:pt>
                <c:pt idx="60">
                  <c:v>30365.13013521619</c:v>
                </c:pt>
                <c:pt idx="61">
                  <c:v>31931.21873134387</c:v>
                </c:pt>
                <c:pt idx="62">
                  <c:v>33621.832674303907</c:v>
                </c:pt>
                <c:pt idx="63">
                  <c:v>35450.549981597367</c:v>
                </c:pt>
                <c:pt idx="64">
                  <c:v>37432.852803386719</c:v>
                </c:pt>
                <c:pt idx="65">
                  <c:v>39586.457301548326</c:v>
                </c:pt>
                <c:pt idx="66">
                  <c:v>41931.712215528758</c:v>
                </c:pt>
                <c:pt idx="67">
                  <c:v>44492.082966552975</c:v>
                </c:pt>
                <c:pt idx="68">
                  <c:v>47294.742951202476</c:v>
                </c:pt>
                <c:pt idx="69">
                  <c:v>50371.30004359271</c:v>
                </c:pt>
                <c:pt idx="70">
                  <c:v>53758.694845501414</c:v>
                </c:pt>
                <c:pt idx="71">
                  <c:v>57500.318723803539</c:v>
                </c:pt>
                <c:pt idx="72">
                  <c:v>61647.415342580287</c:v>
                </c:pt>
                <c:pt idx="73">
                  <c:v>66260.850957697985</c:v>
                </c:pt>
                <c:pt idx="74">
                  <c:v>71413.368727685709</c:v>
                </c:pt>
                <c:pt idx="75">
                  <c:v>77192.484476012614</c:v>
                </c:pt>
                <c:pt idx="76">
                  <c:v>83704.241404036176</c:v>
                </c:pt>
                <c:pt idx="77">
                  <c:v>91078.127910696392</c:v>
                </c:pt>
                <c:pt idx="78">
                  <c:v>99473.589476521651</c:v>
                </c:pt>
                <c:pt idx="79">
                  <c:v>109088.7539682405</c:v>
                </c:pt>
                <c:pt idx="80">
                  <c:v>120172.27431372386</c:v>
                </c:pt>
                <c:pt idx="81">
                  <c:v>133039.63022243368</c:v>
                </c:pt>
                <c:pt idx="82">
                  <c:v>148095.91727630291</c:v>
                </c:pt>
                <c:pt idx="83">
                  <c:v>165868.25239203384</c:v>
                </c:pt>
                <c:pt idx="84">
                  <c:v>187052.73157748076</c:v>
                </c:pt>
                <c:pt idx="85">
                  <c:v>212583.92168990916</c:v>
                </c:pt>
                <c:pt idx="86">
                  <c:v>243740.15554279476</c:v>
                </c:pt>
                <c:pt idx="87">
                  <c:v>282307.38821247726</c:v>
                </c:pt>
                <c:pt idx="88">
                  <c:v>330842.0488256411</c:v>
                </c:pt>
                <c:pt idx="89">
                  <c:v>393107.68974616408</c:v>
                </c:pt>
                <c:pt idx="90">
                  <c:v>474830.42963465396</c:v>
                </c:pt>
                <c:pt idx="91">
                  <c:v>585070.04263116489</c:v>
                </c:pt>
                <c:pt idx="92">
                  <c:v>738855.21504935529</c:v>
                </c:pt>
                <c:pt idx="93">
                  <c:v>962615.57709760813</c:v>
                </c:pt>
                <c:pt idx="94">
                  <c:v>1306402.5389334192</c:v>
                </c:pt>
                <c:pt idx="95">
                  <c:v>1874672.3333087487</c:v>
                </c:pt>
                <c:pt idx="96">
                  <c:v>2916598.7338662427</c:v>
                </c:pt>
                <c:pt idx="97">
                  <c:v>5156141.9907802287</c:v>
                </c:pt>
                <c:pt idx="98">
                  <c:v>11509462.667723287</c:v>
                </c:pt>
                <c:pt idx="99">
                  <c:v>45411299.202855244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70-43C3-A4AA-FEF208784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320008"/>
        <c:axId val="599320992"/>
      </c:scatterChart>
      <c:valAx>
        <c:axId val="599320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20992"/>
        <c:crosses val="autoZero"/>
        <c:crossBetween val="midCat"/>
      </c:valAx>
      <c:valAx>
        <c:axId val="599320992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20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9278652668416447"/>
                  <c:y val="4.83665062700495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'Calculated Ncycles'!$H$8:$H$13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'Calculated Ncycles'!$I$8:$I$13</c:f>
              <c:numCache>
                <c:formatCode>General</c:formatCode>
                <c:ptCount val="6"/>
                <c:pt idx="0">
                  <c:v>4250</c:v>
                </c:pt>
                <c:pt idx="1">
                  <c:v>2750</c:v>
                </c:pt>
                <c:pt idx="2">
                  <c:v>2125</c:v>
                </c:pt>
                <c:pt idx="3">
                  <c:v>1375</c:v>
                </c:pt>
                <c:pt idx="4">
                  <c:v>1000</c:v>
                </c:pt>
                <c:pt idx="5">
                  <c:v>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C5-40A2-8A1C-B8276C059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271448"/>
        <c:axId val="604268824"/>
      </c:scatterChart>
      <c:valAx>
        <c:axId val="60427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268824"/>
        <c:crosses val="autoZero"/>
        <c:crossBetween val="midCat"/>
      </c:valAx>
      <c:valAx>
        <c:axId val="60426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271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2.xml"/><Relationship Id="rId7" Type="http://schemas.openxmlformats.org/officeDocument/2006/relationships/chart" Target="../charts/chart4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chart" Target="../charts/chart3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chart" Target="../charts/chart7.xml"/><Relationship Id="rId1" Type="http://schemas.openxmlformats.org/officeDocument/2006/relationships/image" Target="../media/image6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57</xdr:col>
      <xdr:colOff>583669</xdr:colOff>
      <xdr:row>53</xdr:row>
      <xdr:rowOff>75876</xdr:rowOff>
    </xdr:from>
    <xdr:to>
      <xdr:col>72</xdr:col>
      <xdr:colOff>588818</xdr:colOff>
      <xdr:row>84</xdr:row>
      <xdr:rowOff>166772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499F4C-39B8-3257-2294-08765DDC1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96" y="9600876"/>
          <a:ext cx="9097195" cy="5996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302221</xdr:colOff>
      <xdr:row>43</xdr:row>
      <xdr:rowOff>82587</xdr:rowOff>
    </xdr:from>
    <xdr:to>
      <xdr:col>28</xdr:col>
      <xdr:colOff>322728</xdr:colOff>
      <xdr:row>60</xdr:row>
      <xdr:rowOff>35858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5152472-CFBB-035B-A449-D5D3DBEB9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63</xdr:col>
      <xdr:colOff>243689</xdr:colOff>
      <xdr:row>7</xdr:row>
      <xdr:rowOff>56900</xdr:rowOff>
    </xdr:from>
    <xdr:to>
      <xdr:col>79</xdr:col>
      <xdr:colOff>406974</xdr:colOff>
      <xdr:row>30</xdr:row>
      <xdr:rowOff>29687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C6B53B0-88BF-42F1-8417-65042156C4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34</xdr:col>
      <xdr:colOff>598715</xdr:colOff>
      <xdr:row>0</xdr:row>
      <xdr:rowOff>131909</xdr:rowOff>
    </xdr:from>
    <xdr:ext cx="9783536" cy="4746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CF1103D-8112-94D4-1225-F091F0EBFCF1}"/>
                </a:ext>
              </a:extLst>
            </xdr:cNvPr>
            <xdr:cNvSpPr txBox="1"/>
          </xdr:nvSpPr>
          <xdr:spPr>
            <a:xfrm>
              <a:off x="8095450" y="131909"/>
              <a:ext cx="9783536" cy="4746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t-IT" sz="1500" b="0" i="1">
                        <a:latin typeface="Cambria Math" panose="02040503050406030204" pitchFamily="18" charset="0"/>
                      </a:rPr>
                      <m:t>𝑑𝑒𝑔</m:t>
                    </m:r>
                    <m:r>
                      <a:rPr lang="it-IT" sz="15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it-IT" sz="1500" b="0" i="1">
                        <a:latin typeface="Cambria Math" panose="02040503050406030204" pitchFamily="18" charset="0"/>
                      </a:rPr>
                      <m:t>h𝑎𝑙𝑓</m:t>
                    </m:r>
                    <m:r>
                      <a:rPr lang="it-IT" sz="1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t-IT" sz="1500" b="0" i="1">
                        <a:latin typeface="Cambria Math" panose="02040503050406030204" pitchFamily="18" charset="0"/>
                      </a:rPr>
                      <m:t>𝑐𝑦𝑐𝑙𝑒</m:t>
                    </m:r>
                    <m:r>
                      <a:rPr lang="it-IT" sz="15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5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5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it-IT" sz="15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it-IT" sz="15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it-IT" sz="1500" b="0" i="1">
                            <a:latin typeface="Cambria Math" panose="02040503050406030204" pitchFamily="18" charset="0"/>
                          </a:rPr>
                          <m:t>𝑒𝑞</m:t>
                        </m:r>
                        <m:r>
                          <a:rPr lang="it-IT" sz="15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it-IT" sz="1500" b="0" i="1">
                            <a:latin typeface="Cambria Math" panose="02040503050406030204" pitchFamily="18" charset="0"/>
                          </a:rPr>
                          <m:t>𝑐𝑦𝑐𝑙𝑒𝑠</m:t>
                        </m:r>
                        <m:r>
                          <a:rPr lang="it-IT" sz="15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it-IT" sz="1500" b="0" i="1">
                            <a:latin typeface="Cambria Math" panose="02040503050406030204" pitchFamily="18" charset="0"/>
                          </a:rPr>
                          <m:t>𝐷𝑜𝐷</m:t>
                        </m:r>
                        <m:r>
                          <a:rPr lang="it-IT" sz="15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it-IT" sz="1500" b="0" i="1">
                        <a:latin typeface="Cambria Math" panose="02040503050406030204" pitchFamily="18" charset="0"/>
                      </a:rPr>
                      <m:t>∗0.5∗</m:t>
                    </m:r>
                    <m:r>
                      <a:rPr lang="it-IT" sz="1500" b="0" i="1">
                        <a:latin typeface="Cambria Math" panose="02040503050406030204" pitchFamily="18" charset="0"/>
                      </a:rPr>
                      <m:t>𝑒𝑛𝑒𝑟𝑔𝑦𝐶𝑎𝑝𝑎𝑐𝑖𝑡𝑦</m:t>
                    </m:r>
                    <m:r>
                      <a:rPr lang="it-IT" sz="15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it-IT" sz="1500" b="0" i="1">
                        <a:latin typeface="Cambria Math" panose="02040503050406030204" pitchFamily="18" charset="0"/>
                      </a:rPr>
                      <m:t>𝑐𝑜𝑠𝑡𝑅𝑒𝑝𝑙𝑎𝑐𝑒𝑚𝑒𝑛𝑡</m:t>
                    </m:r>
                  </m:oMath>
                </m:oMathPara>
              </a14:m>
              <a:endParaRPr lang="en-AU" sz="15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CF1103D-8112-94D4-1225-F091F0EBFCF1}"/>
                </a:ext>
              </a:extLst>
            </xdr:cNvPr>
            <xdr:cNvSpPr txBox="1"/>
          </xdr:nvSpPr>
          <xdr:spPr>
            <a:xfrm>
              <a:off x="8095450" y="131909"/>
              <a:ext cx="9783536" cy="4746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500" b="0" i="0">
                  <a:latin typeface="Cambria Math" panose="02040503050406030204" pitchFamily="18" charset="0"/>
                </a:rPr>
                <a:t>𝑑𝑒𝑔,ℎ𝑎𝑙𝑓 𝑐𝑦𝑐𝑙𝑒=1/(𝑛.𝑒𝑞.𝑐𝑦𝑐𝑙𝑒𝑠(𝐷𝑜𝐷))∗0.5∗𝑒𝑛𝑒𝑟𝑔𝑦𝐶𝑎𝑝𝑎𝑐𝑖𝑡𝑦∗𝑐𝑜𝑠𝑡𝑅𝑒𝑝𝑙𝑎𝑐𝑒𝑚𝑒𝑛𝑡</a:t>
              </a:r>
              <a:endParaRPr lang="en-AU" sz="1500"/>
            </a:p>
          </xdr:txBody>
        </xdr:sp>
      </mc:Fallback>
    </mc:AlternateContent>
    <xdr:clientData/>
  </xdr:oneCellAnchor>
  <xdr:oneCellAnchor>
    <xdr:from>
      <xdr:col>34</xdr:col>
      <xdr:colOff>428224</xdr:colOff>
      <xdr:row>23</xdr:row>
      <xdr:rowOff>156082</xdr:rowOff>
    </xdr:from>
    <xdr:ext cx="5995937" cy="4705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2109738-DCB7-43FF-9509-32924C687E33}"/>
                </a:ext>
              </a:extLst>
            </xdr:cNvPr>
            <xdr:cNvSpPr txBox="1"/>
          </xdr:nvSpPr>
          <xdr:spPr>
            <a:xfrm>
              <a:off x="7924959" y="4728082"/>
              <a:ext cx="5995937" cy="4705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2000" b="0"/>
                <a:t>degradazione</a:t>
              </a:r>
              <a:r>
                <a:rPr lang="it-IT" sz="2000" b="0" baseline="0"/>
                <a:t> MWh</a:t>
              </a:r>
              <a14:m>
                <m:oMath xmlns:m="http://schemas.openxmlformats.org/officeDocument/2006/math">
                  <m:r>
                    <a:rPr lang="it-IT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it-IT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it-IT" sz="20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it-IT" sz="20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it-IT" sz="2000" b="0" i="1"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2000" b="0" i="1">
                          <a:latin typeface="Cambria Math" panose="02040503050406030204" pitchFamily="18" charset="0"/>
                        </a:rPr>
                        <m:t>𝑒𝑞</m:t>
                      </m:r>
                      <m:r>
                        <a:rPr lang="it-IT" sz="2000" b="0" i="1"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2000" b="0" i="1">
                          <a:latin typeface="Cambria Math" panose="02040503050406030204" pitchFamily="18" charset="0"/>
                        </a:rPr>
                        <m:t>𝑐𝑦𝑐𝑙𝑒𝑠</m:t>
                      </m:r>
                    </m:den>
                  </m:f>
                  <m:r>
                    <a:rPr lang="it-IT" sz="2000" b="0" i="1">
                      <a:latin typeface="Cambria Math" panose="02040503050406030204" pitchFamily="18" charset="0"/>
                    </a:rPr>
                    <m:t>∗0.5∗</m:t>
                  </m:r>
                  <m:r>
                    <a:rPr lang="it-IT" sz="2000" b="0" i="1">
                      <a:latin typeface="Cambria Math" panose="02040503050406030204" pitchFamily="18" charset="0"/>
                    </a:rPr>
                    <m:t>𝑒𝑛𝑒𝑟𝑔𝑦𝐶𝑎𝑝𝑎𝑐𝑖𝑡𝑦</m:t>
                  </m:r>
                </m:oMath>
              </a14:m>
              <a:endParaRPr lang="en-AU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2109738-DCB7-43FF-9509-32924C687E33}"/>
                </a:ext>
              </a:extLst>
            </xdr:cNvPr>
            <xdr:cNvSpPr txBox="1"/>
          </xdr:nvSpPr>
          <xdr:spPr>
            <a:xfrm>
              <a:off x="7924959" y="4728082"/>
              <a:ext cx="5995937" cy="4705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2000" b="0"/>
                <a:t>degradazione</a:t>
              </a:r>
              <a:r>
                <a:rPr lang="it-IT" sz="2000" b="0" baseline="0"/>
                <a:t> MWh</a:t>
              </a:r>
              <a:r>
                <a:rPr lang="it-IT" sz="2000" b="0" i="0">
                  <a:latin typeface="Cambria Math" panose="02040503050406030204" pitchFamily="18" charset="0"/>
                </a:rPr>
                <a:t>=1/(𝑛.𝑒𝑞.𝑐𝑦𝑐𝑙𝑒𝑠)∗0.5∗𝑒𝑛𝑒𝑟𝑔𝑦𝐶𝑎𝑝𝑎𝑐𝑖𝑡𝑦</a:t>
              </a:r>
              <a:endParaRPr lang="en-AU" sz="2000"/>
            </a:p>
          </xdr:txBody>
        </xdr:sp>
      </mc:Fallback>
    </mc:AlternateContent>
    <xdr:clientData/>
  </xdr:oneCellAnchor>
  <xdr:twoCellAnchor editAs="oneCell">
    <xdr:from>
      <xdr:col>47</xdr:col>
      <xdr:colOff>72982</xdr:colOff>
      <xdr:row>2</xdr:row>
      <xdr:rowOff>91540</xdr:rowOff>
    </xdr:from>
    <xdr:to>
      <xdr:col>60</xdr:col>
      <xdr:colOff>363682</xdr:colOff>
      <xdr:row>33</xdr:row>
      <xdr:rowOff>61308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BE9DB7F-D824-E698-A38F-D700B3AB1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59346" y="663040"/>
          <a:ext cx="8170471" cy="5875268"/>
        </a:xfrm>
        <a:prstGeom prst="rect">
          <a:avLst/>
        </a:prstGeom>
      </xdr:spPr>
    </xdr:pic>
    <xdr:clientData/>
  </xdr:twoCellAnchor>
  <xdr:oneCellAnchor>
    <xdr:from>
      <xdr:col>34</xdr:col>
      <xdr:colOff>585105</xdr:colOff>
      <xdr:row>18</xdr:row>
      <xdr:rowOff>27214</xdr:rowOff>
    </xdr:from>
    <xdr:ext cx="7347858" cy="748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3C55015-08E2-443D-BFD8-878D79FE1A4F}"/>
                </a:ext>
              </a:extLst>
            </xdr:cNvPr>
            <xdr:cNvSpPr txBox="1"/>
          </xdr:nvSpPr>
          <xdr:spPr>
            <a:xfrm>
              <a:off x="8137069" y="3646714"/>
              <a:ext cx="7347858" cy="748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t-IT" sz="1800" b="0" i="1">
                        <a:latin typeface="Cambria Math" panose="02040503050406030204" pitchFamily="18" charset="0"/>
                      </a:rPr>
                      <m:t>𝑑𝑒𝑔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h𝑎𝑙𝑓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𝑐𝑦𝑐𝑙𝑒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𝑒𝑞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𝑐𝑦𝑐𝑙𝑒𝑠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𝐷𝑜𝐷𝑥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it-IT" sz="1800" b="0" i="1">
                        <a:latin typeface="Cambria Math" panose="02040503050406030204" pitchFamily="18" charset="0"/>
                      </a:rPr>
                      <m:t>∗0.5−</m:t>
                    </m:r>
                    <m:f>
                      <m:fPr>
                        <m:ctrlP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𝑒𝑞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𝑐𝑦𝑐𝑙𝑒𝑠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𝐷𝑜𝐷𝑥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r>
                      <a:rPr lang="it-IT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∗0.5</m:t>
                    </m:r>
                  </m:oMath>
                </m:oMathPara>
              </a14:m>
              <a:endParaRPr lang="en-AU" sz="18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3C55015-08E2-443D-BFD8-878D79FE1A4F}"/>
                </a:ext>
              </a:extLst>
            </xdr:cNvPr>
            <xdr:cNvSpPr txBox="1"/>
          </xdr:nvSpPr>
          <xdr:spPr>
            <a:xfrm>
              <a:off x="8137069" y="3646714"/>
              <a:ext cx="7347858" cy="748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𝑑𝑒𝑔,ℎ𝑎𝑙𝑓 𝑐𝑦𝑐𝑙𝑒=1/(𝑛.𝑒𝑞.𝑐𝑦𝑐𝑙𝑒𝑠(𝐷𝑜𝐷𝑥))∗0.5−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1/(𝑛.𝑒𝑞.𝑐𝑦𝑐𝑙𝑒𝑠(𝐷𝑜𝐷𝑥))∗0.5</a:t>
              </a:r>
              <a:endParaRPr lang="en-AU" sz="1800"/>
            </a:p>
          </xdr:txBody>
        </xdr:sp>
      </mc:Fallback>
    </mc:AlternateContent>
    <xdr:clientData/>
  </xdr:oneCellAnchor>
  <xdr:oneCellAnchor>
    <xdr:from>
      <xdr:col>35</xdr:col>
      <xdr:colOff>164086</xdr:colOff>
      <xdr:row>4</xdr:row>
      <xdr:rowOff>9602</xdr:rowOff>
    </xdr:from>
    <xdr:ext cx="7347858" cy="748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4FD5EF7-224F-45A2-9598-F09D0A01346D}"/>
                </a:ext>
              </a:extLst>
            </xdr:cNvPr>
            <xdr:cNvSpPr txBox="1"/>
          </xdr:nvSpPr>
          <xdr:spPr>
            <a:xfrm>
              <a:off x="8265939" y="962102"/>
              <a:ext cx="7347858" cy="748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t-IT" sz="18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(75→20)=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𝑒𝑞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𝑐𝑦𝑐𝑙𝑒𝑠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(80)</m:t>
                        </m:r>
                      </m:den>
                    </m:f>
                    <m:r>
                      <a:rPr lang="it-IT" sz="1800" b="0" i="1">
                        <a:latin typeface="Cambria Math" panose="02040503050406030204" pitchFamily="18" charset="0"/>
                      </a:rPr>
                      <m:t>∗0.5−</m:t>
                    </m:r>
                    <m:f>
                      <m:fPr>
                        <m:ctrlP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𝑒𝑞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𝑐𝑦𝑐𝑙𝑒𝑠</m:t>
                        </m:r>
                        <m:r>
                          <a:rPr lang="it-IT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(25)</m:t>
                        </m:r>
                      </m:den>
                    </m:f>
                    <m:r>
                      <a:rPr lang="it-IT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∗0.5</m:t>
                    </m:r>
                  </m:oMath>
                </m:oMathPara>
              </a14:m>
              <a:endParaRPr lang="en-AU" sz="18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4FD5EF7-224F-45A2-9598-F09D0A01346D}"/>
                </a:ext>
              </a:extLst>
            </xdr:cNvPr>
            <xdr:cNvSpPr txBox="1"/>
          </xdr:nvSpPr>
          <xdr:spPr>
            <a:xfrm>
              <a:off x="8265939" y="962102"/>
              <a:ext cx="7347858" cy="748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𝐷(75→20)=1/(𝑛.𝑒𝑞.𝑐𝑦𝑐𝑙𝑒𝑠(80))∗0.5−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1/(𝑛.𝑒𝑞.𝑐𝑦𝑐𝑙𝑒𝑠(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))∗0.5</a:t>
              </a:r>
              <a:endParaRPr lang="en-AU" sz="1800"/>
            </a:p>
          </xdr:txBody>
        </xdr:sp>
      </mc:Fallback>
    </mc:AlternateContent>
    <xdr:clientData/>
  </xdr:oneCellAnchor>
  <xdr:twoCellAnchor editAs="oneCell">
    <xdr:from>
      <xdr:col>34</xdr:col>
      <xdr:colOff>280147</xdr:colOff>
      <xdr:row>53</xdr:row>
      <xdr:rowOff>39064</xdr:rowOff>
    </xdr:from>
    <xdr:to>
      <xdr:col>44</xdr:col>
      <xdr:colOff>526677</xdr:colOff>
      <xdr:row>78</xdr:row>
      <xdr:rowOff>41156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D0FBC05-69E8-4E8A-8EBF-DBFA1B4E1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23294" y="10180388"/>
          <a:ext cx="8292354" cy="4764592"/>
        </a:xfrm>
        <a:prstGeom prst="rect">
          <a:avLst/>
        </a:prstGeom>
      </xdr:spPr>
    </xdr:pic>
    <xdr:clientData/>
  </xdr:twoCellAnchor>
  <xdr:twoCellAnchor>
    <xdr:from>
      <xdr:col>35</xdr:col>
      <xdr:colOff>213817</xdr:colOff>
      <xdr:row>80</xdr:row>
      <xdr:rowOff>68398</xdr:rowOff>
    </xdr:from>
    <xdr:to>
      <xdr:col>42</xdr:col>
      <xdr:colOff>361061</xdr:colOff>
      <xdr:row>94</xdr:row>
      <xdr:rowOff>144598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1D6AEB8-AF9D-CE2E-7E99-6BAC5B600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89646</xdr:colOff>
      <xdr:row>67</xdr:row>
      <xdr:rowOff>90767</xdr:rowOff>
    </xdr:from>
    <xdr:to>
      <xdr:col>34</xdr:col>
      <xdr:colOff>717177</xdr:colOff>
      <xdr:row>83</xdr:row>
      <xdr:rowOff>89646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03BE63-C2DD-86F4-189E-E670B174B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78441</xdr:colOff>
      <xdr:row>84</xdr:row>
      <xdr:rowOff>78442</xdr:rowOff>
    </xdr:from>
    <xdr:to>
      <xdr:col>34</xdr:col>
      <xdr:colOff>705972</xdr:colOff>
      <xdr:row>100</xdr:row>
      <xdr:rowOff>77321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302523-1C9D-41BE-BED1-BBE64687B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219075</xdr:colOff>
      <xdr:row>1</xdr:row>
      <xdr:rowOff>123825</xdr:rowOff>
    </xdr:from>
    <xdr:to>
      <xdr:col>8</xdr:col>
      <xdr:colOff>780542</xdr:colOff>
      <xdr:row>3</xdr:row>
      <xdr:rowOff>180915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7E5BC-D0E4-010C-34CF-E2132CF22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314325"/>
          <a:ext cx="4066667" cy="4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7</xdr:row>
      <xdr:rowOff>66675</xdr:rowOff>
    </xdr:from>
    <xdr:to>
      <xdr:col>14</xdr:col>
      <xdr:colOff>494937</xdr:colOff>
      <xdr:row>16</xdr:row>
      <xdr:rowOff>56937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152392-ECA2-EA30-6633-AD74ED5DA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0" y="1514475"/>
          <a:ext cx="2904762" cy="1704762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8</xdr:row>
      <xdr:rowOff>47624</xdr:rowOff>
    </xdr:from>
    <xdr:to>
      <xdr:col>10</xdr:col>
      <xdr:colOff>352425</xdr:colOff>
      <xdr:row>23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4C01E3-4590-4184-AD3B-62AF4E132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325211</xdr:colOff>
      <xdr:row>1</xdr:row>
      <xdr:rowOff>183696</xdr:rowOff>
    </xdr:from>
    <xdr:to>
      <xdr:col>23</xdr:col>
      <xdr:colOff>248335</xdr:colOff>
      <xdr:row>19</xdr:row>
      <xdr:rowOff>40410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EFFD84-2257-A293-C324-72E95CDEE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6247" y="374196"/>
          <a:ext cx="5434017" cy="3285714"/>
        </a:xfrm>
        <a:prstGeom prst="rect">
          <a:avLst/>
        </a:prstGeom>
      </xdr:spPr>
    </xdr:pic>
    <xdr:clientData/>
  </xdr:twoCellAnchor>
  <xdr:twoCellAnchor>
    <xdr:from>
      <xdr:col>8</xdr:col>
      <xdr:colOff>237005</xdr:colOff>
      <xdr:row>13</xdr:row>
      <xdr:rowOff>160524</xdr:rowOff>
    </xdr:from>
    <xdr:to>
      <xdr:col>15</xdr:col>
      <xdr:colOff>537322</xdr:colOff>
      <xdr:row>28</xdr:row>
      <xdr:rowOff>46224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AAE1B0-6933-D4B0-4DF8-900643FAF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573100</xdr:colOff>
      <xdr:row>24</xdr:row>
      <xdr:rowOff>1602</xdr:rowOff>
    </xdr:from>
    <xdr:to>
      <xdr:col>20</xdr:col>
      <xdr:colOff>587408</xdr:colOff>
      <xdr:row>43</xdr:row>
      <xdr:rowOff>13328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C23038-F4F8-DFE4-18C5-2C570A45F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71776" y="4573602"/>
          <a:ext cx="7275720" cy="3631226"/>
        </a:xfrm>
        <a:prstGeom prst="rect">
          <a:avLst/>
        </a:prstGeom>
      </xdr:spPr>
    </xdr:pic>
    <xdr:clientData/>
  </xdr:twoCellAnchor>
  <xdr:twoCellAnchor editAs="oneCell">
    <xdr:from>
      <xdr:col>15</xdr:col>
      <xdr:colOff>601116</xdr:colOff>
      <xdr:row>0</xdr:row>
      <xdr:rowOff>0</xdr:rowOff>
    </xdr:from>
    <xdr:to>
      <xdr:col>34</xdr:col>
      <xdr:colOff>240879</xdr:colOff>
      <xdr:row>20</xdr:row>
      <xdr:rowOff>94762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56B9A7-ADBF-3824-1747-DE0857352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35616" y="0"/>
          <a:ext cx="11136998" cy="3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277745</xdr:colOff>
      <xdr:row>42</xdr:row>
      <xdr:rowOff>89647</xdr:rowOff>
    </xdr:from>
    <xdr:to>
      <xdr:col>19</xdr:col>
      <xdr:colOff>440158</xdr:colOff>
      <xdr:row>61</xdr:row>
      <xdr:rowOff>157683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DB183B-F9D1-4A4E-716B-295C3755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3098" y="8090647"/>
          <a:ext cx="10102031" cy="3687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C5D0-D564-4A7A-A3E5-A234007DA2A3}">
  <dimension ref="B1:AU102"/>
  <sheetViews>
    <sheetView zoomScale="85" zoomScaleNormal="85" workbookViewId="0">
      <selection activeCell="H7" sqref="H7"/>
    </sheetView>
  </sheetViews>
  <sheetFormatPr defaultRowHeight="15" x14ac:dyDescent="0.25"/>
  <cols>
    <col min="3" max="3" width="12.7109375" bestFit="1" customWidth="1"/>
    <col min="4" max="4" width="10.7109375" bestFit="1" customWidth="1"/>
    <col min="5" max="6" width="12.28515625" bestFit="1" customWidth="1"/>
    <col min="7" max="7" width="18.140625" bestFit="1" customWidth="1"/>
    <col min="8" max="8" width="11.5703125" bestFit="1" customWidth="1"/>
    <col min="10" max="10" width="18.140625" bestFit="1" customWidth="1"/>
    <col min="11" max="11" width="12.42578125" bestFit="1" customWidth="1"/>
    <col min="12" max="17" width="0" hidden="1" customWidth="1"/>
    <col min="18" max="18" width="13" hidden="1" customWidth="1"/>
    <col min="19" max="34" width="0" hidden="1" customWidth="1"/>
    <col min="35" max="35" width="11.7109375" bestFit="1" customWidth="1"/>
    <col min="36" max="37" width="13.85546875" bestFit="1" customWidth="1"/>
    <col min="38" max="43" width="11.7109375" bestFit="1" customWidth="1"/>
    <col min="44" max="47" width="10.7109375" bestFit="1" customWidth="1"/>
  </cols>
  <sheetData>
    <row r="1" spans="2:39" x14ac:dyDescent="0.25">
      <c r="B1" s="81" t="s">
        <v>3</v>
      </c>
      <c r="C1" s="81"/>
      <c r="D1" s="81"/>
      <c r="E1" s="81"/>
      <c r="G1" s="22" t="s">
        <v>61</v>
      </c>
      <c r="H1">
        <v>10</v>
      </c>
      <c r="I1" t="s">
        <v>40</v>
      </c>
    </row>
    <row r="2" spans="2:39" x14ac:dyDescent="0.25">
      <c r="B2" s="81"/>
      <c r="C2" s="81"/>
      <c r="D2" s="81"/>
      <c r="E2" s="81"/>
      <c r="G2" t="s">
        <v>62</v>
      </c>
      <c r="H2">
        <v>250000</v>
      </c>
      <c r="I2" t="s">
        <v>27</v>
      </c>
    </row>
    <row r="3" spans="2:39" x14ac:dyDescent="0.25">
      <c r="B3" s="2"/>
      <c r="C3" s="2"/>
      <c r="D3" s="2"/>
      <c r="E3" s="2"/>
    </row>
    <row r="4" spans="2:39" x14ac:dyDescent="0.25">
      <c r="F4" s="82" t="s">
        <v>5</v>
      </c>
      <c r="G4" s="82"/>
      <c r="H4" s="82"/>
      <c r="I4" s="1"/>
      <c r="J4" s="1"/>
      <c r="L4" s="82" t="s">
        <v>6</v>
      </c>
      <c r="M4" s="82"/>
      <c r="N4" s="82"/>
    </row>
    <row r="5" spans="2:39" x14ac:dyDescent="0.25">
      <c r="B5" s="3" t="s">
        <v>2</v>
      </c>
      <c r="C5" s="3" t="s">
        <v>0</v>
      </c>
      <c r="D5" s="3" t="s">
        <v>1</v>
      </c>
      <c r="F5" s="3" t="s">
        <v>7</v>
      </c>
      <c r="G5" s="3" t="s">
        <v>0</v>
      </c>
      <c r="H5" s="3" t="s">
        <v>1</v>
      </c>
      <c r="I5" s="3" t="s">
        <v>63</v>
      </c>
      <c r="J5" s="3" t="s">
        <v>64</v>
      </c>
      <c r="L5" s="3" t="s">
        <v>7</v>
      </c>
      <c r="M5" s="3" t="s">
        <v>0</v>
      </c>
      <c r="N5" s="3" t="s">
        <v>1</v>
      </c>
      <c r="P5" s="3" t="s">
        <v>7</v>
      </c>
      <c r="Q5" s="3" t="s">
        <v>0</v>
      </c>
      <c r="R5" s="3" t="s">
        <v>1</v>
      </c>
      <c r="T5" s="3" t="s">
        <v>7</v>
      </c>
      <c r="U5" s="3" t="s">
        <v>0</v>
      </c>
      <c r="V5" s="3" t="s">
        <v>1</v>
      </c>
      <c r="X5" s="3" t="s">
        <v>7</v>
      </c>
      <c r="Y5" s="3" t="s">
        <v>0</v>
      </c>
      <c r="Z5" s="3" t="s">
        <v>1</v>
      </c>
      <c r="AB5" s="3" t="s">
        <v>7</v>
      </c>
      <c r="AC5" s="3" t="s">
        <v>0</v>
      </c>
      <c r="AD5" s="3" t="s">
        <v>1</v>
      </c>
      <c r="AF5" s="3" t="s">
        <v>7</v>
      </c>
      <c r="AG5" s="3" t="s">
        <v>0</v>
      </c>
      <c r="AH5" s="3" t="s">
        <v>1</v>
      </c>
    </row>
    <row r="6" spans="2:39" x14ac:dyDescent="0.25">
      <c r="B6">
        <f>100-C6</f>
        <v>99.9</v>
      </c>
      <c r="C6">
        <v>0.1</v>
      </c>
      <c r="D6">
        <v>100000</v>
      </c>
      <c r="F6" s="5"/>
      <c r="G6" s="5">
        <v>0.1</v>
      </c>
      <c r="H6" s="5">
        <v>100000</v>
      </c>
      <c r="I6" s="1">
        <f>0.5/H6</f>
        <v>5.0000000000000004E-6</v>
      </c>
      <c r="J6" s="1">
        <f>0.5/H6*$H$1</f>
        <v>5.0000000000000002E-5</v>
      </c>
      <c r="K6">
        <f>J6*$H$2</f>
        <v>12.5</v>
      </c>
      <c r="L6" s="5">
        <v>99.99</v>
      </c>
      <c r="M6" s="5">
        <v>0.1</v>
      </c>
      <c r="N6" s="5">
        <v>100000</v>
      </c>
      <c r="P6" s="5">
        <v>99.99</v>
      </c>
      <c r="Q6" s="5">
        <v>0.1</v>
      </c>
      <c r="R6" s="5">
        <v>100000</v>
      </c>
      <c r="T6" s="4">
        <f>P26</f>
        <v>80</v>
      </c>
      <c r="U6" s="4">
        <f t="shared" ref="U6:V6" si="0">Q26</f>
        <v>20</v>
      </c>
      <c r="V6" s="4">
        <f t="shared" si="0"/>
        <v>3300</v>
      </c>
      <c r="X6" s="4">
        <f>T26</f>
        <v>60</v>
      </c>
      <c r="Y6" s="4">
        <f t="shared" ref="Y6" si="1">U26</f>
        <v>40</v>
      </c>
      <c r="Z6" s="4">
        <f>V26</f>
        <v>1475</v>
      </c>
      <c r="AB6" s="4">
        <f>X26</f>
        <v>40</v>
      </c>
      <c r="AC6" s="4">
        <f t="shared" ref="AC6" si="2">Y26</f>
        <v>60</v>
      </c>
      <c r="AD6" s="4">
        <f>Z26</f>
        <v>950</v>
      </c>
      <c r="AF6" s="4">
        <f>AB26</f>
        <v>20</v>
      </c>
      <c r="AG6" s="4">
        <f t="shared" ref="AG6" si="3">AC26</f>
        <v>80</v>
      </c>
      <c r="AH6" s="4">
        <f>AD26</f>
        <v>675</v>
      </c>
      <c r="AI6">
        <v>0</v>
      </c>
    </row>
    <row r="7" spans="2:39" x14ac:dyDescent="0.25">
      <c r="B7">
        <f t="shared" ref="B7:B17" si="4">100-C7</f>
        <v>95</v>
      </c>
      <c r="C7">
        <v>5</v>
      </c>
      <c r="D7">
        <v>15000</v>
      </c>
      <c r="F7" s="1">
        <v>95</v>
      </c>
      <c r="G7" s="1">
        <v>5</v>
      </c>
      <c r="H7" s="1">
        <v>15000</v>
      </c>
      <c r="I7" s="1">
        <f t="shared" ref="I7:I26" si="5">0.5/H7</f>
        <v>3.3333333333333335E-5</v>
      </c>
      <c r="J7" s="1">
        <f t="shared" ref="J7:J25" si="6">0.5/H7*$H$1</f>
        <v>3.3333333333333338E-4</v>
      </c>
      <c r="K7">
        <f t="shared" ref="K7:K26" si="7">J7*$H$2</f>
        <v>83.333333333333343</v>
      </c>
      <c r="L7" s="1">
        <v>95</v>
      </c>
      <c r="M7" s="1">
        <v>5</v>
      </c>
      <c r="N7" s="1">
        <v>15000</v>
      </c>
      <c r="P7" s="1">
        <v>99</v>
      </c>
      <c r="Q7">
        <f>100-P7</f>
        <v>1</v>
      </c>
      <c r="R7" s="6">
        <f>(Q7-$Q$6)/($Q$11-$Q$6)*($R$11-$R$6)+$R$6</f>
        <v>84387.755102040814</v>
      </c>
      <c r="T7">
        <f>T6-1</f>
        <v>79</v>
      </c>
      <c r="U7">
        <f>100-T7</f>
        <v>21</v>
      </c>
      <c r="V7">
        <f>(U7-$U$6)/($U$16-$U$6)*($V$16-$V$6)+$V$6</f>
        <v>3175</v>
      </c>
      <c r="X7">
        <f>X6-1</f>
        <v>59</v>
      </c>
      <c r="Y7">
        <f>100-X7</f>
        <v>41</v>
      </c>
      <c r="Z7">
        <f>(Y7-$Y$6)/($Y$16-$Y$6)*($Z$16-$Z$6)+$Z$6</f>
        <v>1442.5</v>
      </c>
      <c r="AB7">
        <f>AB6-1</f>
        <v>39</v>
      </c>
      <c r="AC7">
        <f>100-AB7</f>
        <v>61</v>
      </c>
      <c r="AD7">
        <f>(AC7-$AC$6)/($AC$16-$AC$6)*($AD$16-$AD$6)+$AD$6</f>
        <v>933</v>
      </c>
      <c r="AF7">
        <f>AF6-1</f>
        <v>19</v>
      </c>
      <c r="AG7">
        <f>100-AF7</f>
        <v>81</v>
      </c>
      <c r="AH7">
        <f>(AG7-$AG$6)/($AG$16-$AG$6)*($AH$16-$AH$6)+$AH$6</f>
        <v>666.5</v>
      </c>
    </row>
    <row r="8" spans="2:39" x14ac:dyDescent="0.25">
      <c r="B8">
        <f t="shared" si="4"/>
        <v>90</v>
      </c>
      <c r="C8">
        <v>10</v>
      </c>
      <c r="D8">
        <v>7000</v>
      </c>
      <c r="F8" s="1">
        <v>90</v>
      </c>
      <c r="G8" s="1">
        <v>10</v>
      </c>
      <c r="H8" s="1">
        <v>7000</v>
      </c>
      <c r="I8" s="1">
        <f t="shared" si="5"/>
        <v>7.1428571428571434E-5</v>
      </c>
      <c r="J8" s="1">
        <f t="shared" si="6"/>
        <v>7.1428571428571439E-4</v>
      </c>
      <c r="K8">
        <f t="shared" si="7"/>
        <v>178.57142857142861</v>
      </c>
      <c r="L8" s="5">
        <v>90</v>
      </c>
      <c r="M8" s="5">
        <v>10</v>
      </c>
      <c r="N8" s="5">
        <v>7000</v>
      </c>
      <c r="P8" s="1">
        <v>98</v>
      </c>
      <c r="Q8">
        <f t="shared" ref="Q8:Q26" si="8">100-P8</f>
        <v>2</v>
      </c>
      <c r="R8" s="6">
        <f>(Q8-$Q$6)/($Q$11-$Q$6)*($R$11-$R$6)+$R$6</f>
        <v>67040.816326530621</v>
      </c>
      <c r="T8">
        <f t="shared" ref="T8:T26" si="9">T7-1</f>
        <v>78</v>
      </c>
      <c r="U8">
        <f>100-T8</f>
        <v>22</v>
      </c>
      <c r="V8">
        <f t="shared" ref="V8:V15" si="10">(U8-$U$6)/($U$16-$U$6)*($V$16-$V$6)+$V$6</f>
        <v>3050</v>
      </c>
      <c r="X8">
        <f t="shared" ref="X8:X26" si="11">X7-1</f>
        <v>58</v>
      </c>
      <c r="Y8">
        <f>100-X8</f>
        <v>42</v>
      </c>
      <c r="Z8">
        <f t="shared" ref="Z8:Z15" si="12">(Y8-$Y$6)/($Y$16-$Y$6)*($Z$16-$Z$6)+$Z$6</f>
        <v>1410</v>
      </c>
      <c r="AB8">
        <f t="shared" ref="AB8:AB26" si="13">AB7-1</f>
        <v>38</v>
      </c>
      <c r="AC8">
        <f>100-AB8</f>
        <v>62</v>
      </c>
      <c r="AD8">
        <f t="shared" ref="AD8:AD15" si="14">(AC8-$AC$6)/($AC$16-$AC$6)*($AD$16-$AD$6)+$AD$6</f>
        <v>916</v>
      </c>
      <c r="AF8">
        <f t="shared" ref="AF8:AF25" si="15">AF7-1</f>
        <v>18</v>
      </c>
      <c r="AG8">
        <f>100-AF8</f>
        <v>82</v>
      </c>
      <c r="AH8">
        <f t="shared" ref="AH8:AH15" si="16">(AG8-$AG$6)/($AG$16-$AG$6)*($AH$16-$AH$6)+$AH$6</f>
        <v>658</v>
      </c>
    </row>
    <row r="9" spans="2:39" x14ac:dyDescent="0.25">
      <c r="B9">
        <f t="shared" si="4"/>
        <v>80</v>
      </c>
      <c r="C9">
        <v>20</v>
      </c>
      <c r="D9">
        <v>3300</v>
      </c>
      <c r="F9" s="1">
        <v>85</v>
      </c>
      <c r="G9" s="1">
        <v>15</v>
      </c>
      <c r="H9" s="1">
        <f>(G9-G8)/(G10-G8)*(H10-H8)+H8</f>
        <v>5150</v>
      </c>
      <c r="I9" s="1">
        <f t="shared" si="5"/>
        <v>9.7087378640776706E-5</v>
      </c>
      <c r="J9" s="1">
        <f t="shared" si="6"/>
        <v>9.7087378640776706E-4</v>
      </c>
      <c r="K9">
        <f t="shared" si="7"/>
        <v>242.71844660194176</v>
      </c>
      <c r="L9" s="1">
        <v>85</v>
      </c>
      <c r="M9" s="1">
        <v>15</v>
      </c>
      <c r="N9" s="1">
        <v>5150</v>
      </c>
      <c r="P9" s="1">
        <v>97</v>
      </c>
      <c r="Q9">
        <f t="shared" si="8"/>
        <v>3</v>
      </c>
      <c r="R9" s="6">
        <f t="shared" ref="R9:R10" si="17">(Q9-$Q$6)/($Q$11-$Q$6)*($R$11-$R$6)+$R$6</f>
        <v>49693.877551020407</v>
      </c>
      <c r="T9">
        <f t="shared" si="9"/>
        <v>77</v>
      </c>
      <c r="U9">
        <f t="shared" ref="U9:U26" si="18">100-T9</f>
        <v>23</v>
      </c>
      <c r="V9">
        <f t="shared" si="10"/>
        <v>2925</v>
      </c>
      <c r="X9">
        <f t="shared" si="11"/>
        <v>57</v>
      </c>
      <c r="Y9">
        <f t="shared" ref="Y9:Y26" si="19">100-X9</f>
        <v>43</v>
      </c>
      <c r="Z9">
        <f t="shared" si="12"/>
        <v>1377.5</v>
      </c>
      <c r="AB9">
        <f t="shared" si="13"/>
        <v>37</v>
      </c>
      <c r="AC9">
        <f t="shared" ref="AC9:AC26" si="20">100-AB9</f>
        <v>63</v>
      </c>
      <c r="AD9">
        <f t="shared" si="14"/>
        <v>899</v>
      </c>
      <c r="AF9">
        <f t="shared" si="15"/>
        <v>17</v>
      </c>
      <c r="AG9">
        <f t="shared" ref="AG9:AG26" si="21">100-AF9</f>
        <v>83</v>
      </c>
      <c r="AH9">
        <f t="shared" si="16"/>
        <v>649.5</v>
      </c>
    </row>
    <row r="10" spans="2:39" x14ac:dyDescent="0.25">
      <c r="B10">
        <f t="shared" si="4"/>
        <v>70</v>
      </c>
      <c r="C10">
        <v>30</v>
      </c>
      <c r="D10">
        <v>2050</v>
      </c>
      <c r="F10" s="1">
        <v>80</v>
      </c>
      <c r="G10" s="1">
        <v>20</v>
      </c>
      <c r="H10" s="1">
        <v>3300</v>
      </c>
      <c r="I10" s="1">
        <f t="shared" si="5"/>
        <v>1.5151515151515152E-4</v>
      </c>
      <c r="J10" s="1">
        <f t="shared" si="6"/>
        <v>1.5151515151515152E-3</v>
      </c>
      <c r="K10">
        <f t="shared" si="7"/>
        <v>378.78787878787881</v>
      </c>
      <c r="L10" s="5">
        <v>80</v>
      </c>
      <c r="M10" s="5">
        <v>20</v>
      </c>
      <c r="N10" s="5">
        <v>3300</v>
      </c>
      <c r="P10" s="1">
        <v>96</v>
      </c>
      <c r="Q10">
        <f t="shared" si="8"/>
        <v>4</v>
      </c>
      <c r="R10" s="6">
        <f t="shared" si="17"/>
        <v>32346.938775510207</v>
      </c>
      <c r="T10">
        <f t="shared" si="9"/>
        <v>76</v>
      </c>
      <c r="U10">
        <f t="shared" si="18"/>
        <v>24</v>
      </c>
      <c r="V10">
        <f t="shared" si="10"/>
        <v>2800</v>
      </c>
      <c r="X10">
        <f t="shared" si="11"/>
        <v>56</v>
      </c>
      <c r="Y10">
        <f t="shared" si="19"/>
        <v>44</v>
      </c>
      <c r="Z10">
        <f t="shared" si="12"/>
        <v>1345</v>
      </c>
      <c r="AB10">
        <f t="shared" si="13"/>
        <v>36</v>
      </c>
      <c r="AC10">
        <f t="shared" si="20"/>
        <v>64</v>
      </c>
      <c r="AD10">
        <f t="shared" si="14"/>
        <v>882</v>
      </c>
      <c r="AF10">
        <f t="shared" si="15"/>
        <v>16</v>
      </c>
      <c r="AG10">
        <f t="shared" si="21"/>
        <v>84</v>
      </c>
      <c r="AH10">
        <f t="shared" si="16"/>
        <v>641</v>
      </c>
      <c r="AJ10" t="s">
        <v>73</v>
      </c>
      <c r="AK10" t="s">
        <v>74</v>
      </c>
    </row>
    <row r="11" spans="2:39" x14ac:dyDescent="0.25">
      <c r="B11">
        <f t="shared" si="4"/>
        <v>60</v>
      </c>
      <c r="C11">
        <v>40</v>
      </c>
      <c r="D11">
        <v>1475</v>
      </c>
      <c r="F11" s="5">
        <v>75</v>
      </c>
      <c r="G11" s="5">
        <v>25</v>
      </c>
      <c r="H11" s="5">
        <f>(G11-G10)/(G12-G10)*(H12-H10)+H10</f>
        <v>2675</v>
      </c>
      <c r="I11" s="1">
        <f t="shared" si="5"/>
        <v>1.8691588785046728E-4</v>
      </c>
      <c r="J11" s="1">
        <f t="shared" si="6"/>
        <v>1.8691588785046728E-3</v>
      </c>
      <c r="K11">
        <f t="shared" si="7"/>
        <v>467.28971962616816</v>
      </c>
      <c r="L11" s="1">
        <v>75</v>
      </c>
      <c r="M11" s="1">
        <v>25</v>
      </c>
      <c r="N11" s="1">
        <v>2675</v>
      </c>
      <c r="P11" s="5">
        <v>95</v>
      </c>
      <c r="Q11" s="4">
        <f t="shared" si="8"/>
        <v>5</v>
      </c>
      <c r="R11" s="4">
        <f>D7</f>
        <v>15000</v>
      </c>
      <c r="T11">
        <f t="shared" si="9"/>
        <v>75</v>
      </c>
      <c r="U11">
        <f t="shared" si="18"/>
        <v>25</v>
      </c>
      <c r="V11">
        <f t="shared" si="10"/>
        <v>2675</v>
      </c>
      <c r="X11">
        <f t="shared" si="11"/>
        <v>55</v>
      </c>
      <c r="Y11">
        <f t="shared" si="19"/>
        <v>45</v>
      </c>
      <c r="Z11">
        <f t="shared" si="12"/>
        <v>1312.5</v>
      </c>
      <c r="AB11">
        <f t="shared" si="13"/>
        <v>35</v>
      </c>
      <c r="AC11">
        <f t="shared" si="20"/>
        <v>65</v>
      </c>
      <c r="AD11">
        <f t="shared" si="14"/>
        <v>865</v>
      </c>
      <c r="AF11">
        <f t="shared" si="15"/>
        <v>15</v>
      </c>
      <c r="AG11">
        <f t="shared" si="21"/>
        <v>85</v>
      </c>
      <c r="AH11">
        <f t="shared" si="16"/>
        <v>632.5</v>
      </c>
      <c r="AJ11" t="s">
        <v>70</v>
      </c>
      <c r="AK11" t="s">
        <v>71</v>
      </c>
    </row>
    <row r="12" spans="2:39" x14ac:dyDescent="0.25">
      <c r="B12">
        <f t="shared" si="4"/>
        <v>50</v>
      </c>
      <c r="C12">
        <v>50</v>
      </c>
      <c r="D12">
        <v>1150</v>
      </c>
      <c r="F12" s="1">
        <v>70</v>
      </c>
      <c r="G12" s="1">
        <v>30</v>
      </c>
      <c r="H12" s="1">
        <v>2050</v>
      </c>
      <c r="I12" s="1">
        <f t="shared" si="5"/>
        <v>2.4390243902439024E-4</v>
      </c>
      <c r="J12" s="1">
        <f t="shared" si="6"/>
        <v>2.4390243902439024E-3</v>
      </c>
      <c r="K12">
        <f t="shared" si="7"/>
        <v>609.7560975609756</v>
      </c>
      <c r="L12" s="5">
        <v>70</v>
      </c>
      <c r="M12" s="5">
        <v>30</v>
      </c>
      <c r="N12" s="5">
        <v>2050</v>
      </c>
      <c r="P12" s="1">
        <v>94</v>
      </c>
      <c r="Q12">
        <f t="shared" si="8"/>
        <v>6</v>
      </c>
      <c r="R12">
        <f>(Q12-$Q$11)/($Q$16-$Q$11)*($R$16-$R$11)+$R$11</f>
        <v>13400</v>
      </c>
      <c r="T12">
        <f t="shared" si="9"/>
        <v>74</v>
      </c>
      <c r="U12">
        <f t="shared" si="18"/>
        <v>26</v>
      </c>
      <c r="V12">
        <f t="shared" si="10"/>
        <v>2550</v>
      </c>
      <c r="X12">
        <f t="shared" si="11"/>
        <v>54</v>
      </c>
      <c r="Y12">
        <f t="shared" si="19"/>
        <v>46</v>
      </c>
      <c r="Z12">
        <f t="shared" si="12"/>
        <v>1280</v>
      </c>
      <c r="AB12">
        <f t="shared" si="13"/>
        <v>34</v>
      </c>
      <c r="AC12">
        <f t="shared" si="20"/>
        <v>66</v>
      </c>
      <c r="AD12">
        <f t="shared" si="14"/>
        <v>848</v>
      </c>
      <c r="AF12">
        <f t="shared" si="15"/>
        <v>14</v>
      </c>
      <c r="AG12">
        <f t="shared" si="21"/>
        <v>86</v>
      </c>
      <c r="AH12">
        <f t="shared" si="16"/>
        <v>624</v>
      </c>
      <c r="AJ12">
        <v>2675</v>
      </c>
      <c r="AK12">
        <v>675</v>
      </c>
    </row>
    <row r="13" spans="2:39" x14ac:dyDescent="0.25">
      <c r="B13">
        <f t="shared" si="4"/>
        <v>40</v>
      </c>
      <c r="C13">
        <v>60</v>
      </c>
      <c r="D13">
        <v>950</v>
      </c>
      <c r="F13" s="1">
        <v>65</v>
      </c>
      <c r="G13" s="1">
        <v>35</v>
      </c>
      <c r="H13" s="1">
        <f>(G13-G12)/(G14-G12)*(H14-H12)+H12</f>
        <v>1762.5</v>
      </c>
      <c r="I13" s="1">
        <f t="shared" si="5"/>
        <v>2.8368794326241134E-4</v>
      </c>
      <c r="J13" s="1">
        <f t="shared" si="6"/>
        <v>2.8368794326241132E-3</v>
      </c>
      <c r="K13">
        <f t="shared" si="7"/>
        <v>709.21985815602829</v>
      </c>
      <c r="L13" s="1">
        <v>65</v>
      </c>
      <c r="M13" s="1">
        <v>35</v>
      </c>
      <c r="N13" s="1">
        <v>1762.5</v>
      </c>
      <c r="P13" s="1">
        <v>93</v>
      </c>
      <c r="Q13">
        <f t="shared" si="8"/>
        <v>7</v>
      </c>
      <c r="R13">
        <f t="shared" ref="R13:R15" si="22">(Q13-$Q$11)/($Q$16-$Q$11)*($R$16-$R$11)+$R$11</f>
        <v>11800</v>
      </c>
      <c r="T13">
        <f t="shared" si="9"/>
        <v>73</v>
      </c>
      <c r="U13">
        <f t="shared" si="18"/>
        <v>27</v>
      </c>
      <c r="V13">
        <f t="shared" si="10"/>
        <v>2425</v>
      </c>
      <c r="X13">
        <f t="shared" si="11"/>
        <v>53</v>
      </c>
      <c r="Y13">
        <f t="shared" si="19"/>
        <v>47</v>
      </c>
      <c r="Z13">
        <f t="shared" si="12"/>
        <v>1247.5</v>
      </c>
      <c r="AB13">
        <f t="shared" si="13"/>
        <v>33</v>
      </c>
      <c r="AC13">
        <f t="shared" si="20"/>
        <v>67</v>
      </c>
      <c r="AD13">
        <f t="shared" si="14"/>
        <v>831</v>
      </c>
      <c r="AF13">
        <f t="shared" si="15"/>
        <v>13</v>
      </c>
      <c r="AG13">
        <f t="shared" si="21"/>
        <v>87</v>
      </c>
      <c r="AH13">
        <f t="shared" si="16"/>
        <v>615.5</v>
      </c>
      <c r="AJ13">
        <f>1/AJ12*0.5</f>
        <v>1.8691588785046728E-4</v>
      </c>
      <c r="AK13">
        <f>1/AK12*0.5</f>
        <v>7.407407407407407E-4</v>
      </c>
      <c r="AL13">
        <f>AK13-AJ13</f>
        <v>5.5382485289027345E-4</v>
      </c>
    </row>
    <row r="14" spans="2:39" x14ac:dyDescent="0.25">
      <c r="B14">
        <f t="shared" si="4"/>
        <v>30</v>
      </c>
      <c r="C14">
        <v>70</v>
      </c>
      <c r="D14">
        <v>780</v>
      </c>
      <c r="F14" s="1">
        <v>60</v>
      </c>
      <c r="G14" s="1">
        <v>40</v>
      </c>
      <c r="H14" s="1">
        <v>1475</v>
      </c>
      <c r="I14" s="1">
        <f t="shared" si="5"/>
        <v>3.3898305084745765E-4</v>
      </c>
      <c r="J14" s="1">
        <f t="shared" si="6"/>
        <v>3.3898305084745766E-3</v>
      </c>
      <c r="K14">
        <f t="shared" si="7"/>
        <v>847.45762711864415</v>
      </c>
      <c r="L14" s="5">
        <v>60</v>
      </c>
      <c r="M14" s="5">
        <v>40</v>
      </c>
      <c r="N14" s="5">
        <v>1475</v>
      </c>
      <c r="P14" s="1">
        <v>92</v>
      </c>
      <c r="Q14">
        <f t="shared" si="8"/>
        <v>8</v>
      </c>
      <c r="R14">
        <f t="shared" si="22"/>
        <v>10200</v>
      </c>
      <c r="T14">
        <f t="shared" si="9"/>
        <v>72</v>
      </c>
      <c r="U14">
        <f t="shared" si="18"/>
        <v>28</v>
      </c>
      <c r="V14">
        <f t="shared" si="10"/>
        <v>2300</v>
      </c>
      <c r="X14">
        <f t="shared" si="11"/>
        <v>52</v>
      </c>
      <c r="Y14">
        <f t="shared" si="19"/>
        <v>48</v>
      </c>
      <c r="Z14">
        <f t="shared" si="12"/>
        <v>1215</v>
      </c>
      <c r="AB14">
        <f t="shared" si="13"/>
        <v>32</v>
      </c>
      <c r="AC14">
        <f t="shared" si="20"/>
        <v>68</v>
      </c>
      <c r="AD14">
        <f t="shared" si="14"/>
        <v>814</v>
      </c>
      <c r="AF14">
        <f t="shared" si="15"/>
        <v>12</v>
      </c>
      <c r="AG14">
        <f t="shared" si="21"/>
        <v>88</v>
      </c>
      <c r="AH14">
        <f t="shared" si="16"/>
        <v>607</v>
      </c>
      <c r="AL14">
        <f>AL13*H1*H2</f>
        <v>1384.5621322256836</v>
      </c>
      <c r="AM14" t="s">
        <v>72</v>
      </c>
    </row>
    <row r="15" spans="2:39" x14ac:dyDescent="0.25">
      <c r="B15">
        <f t="shared" si="4"/>
        <v>20</v>
      </c>
      <c r="C15">
        <v>80</v>
      </c>
      <c r="D15">
        <v>675</v>
      </c>
      <c r="F15" s="1">
        <v>55</v>
      </c>
      <c r="G15" s="1">
        <v>45</v>
      </c>
      <c r="H15" s="1">
        <f>(G15-G14)/(G16-G14)*(H16-H14)+H14</f>
        <v>1312.5</v>
      </c>
      <c r="I15" s="1">
        <f t="shared" si="5"/>
        <v>3.8095238095238096E-4</v>
      </c>
      <c r="J15" s="1">
        <f t="shared" si="6"/>
        <v>3.8095238095238095E-3</v>
      </c>
      <c r="K15">
        <f t="shared" si="7"/>
        <v>952.38095238095241</v>
      </c>
      <c r="L15" s="1">
        <v>55</v>
      </c>
      <c r="M15" s="1">
        <v>45</v>
      </c>
      <c r="N15" s="1">
        <v>1312.5</v>
      </c>
      <c r="P15" s="1">
        <v>91</v>
      </c>
      <c r="Q15">
        <f t="shared" si="8"/>
        <v>9</v>
      </c>
      <c r="R15">
        <f t="shared" si="22"/>
        <v>8600</v>
      </c>
      <c r="T15">
        <f t="shared" si="9"/>
        <v>71</v>
      </c>
      <c r="U15">
        <f t="shared" si="18"/>
        <v>29</v>
      </c>
      <c r="V15">
        <f t="shared" si="10"/>
        <v>2175</v>
      </c>
      <c r="X15">
        <f t="shared" si="11"/>
        <v>51</v>
      </c>
      <c r="Y15">
        <f t="shared" si="19"/>
        <v>49</v>
      </c>
      <c r="Z15">
        <f t="shared" si="12"/>
        <v>1182.5</v>
      </c>
      <c r="AB15">
        <f t="shared" si="13"/>
        <v>31</v>
      </c>
      <c r="AC15">
        <f t="shared" si="20"/>
        <v>69</v>
      </c>
      <c r="AD15">
        <f t="shared" si="14"/>
        <v>797</v>
      </c>
      <c r="AF15">
        <f t="shared" si="15"/>
        <v>11</v>
      </c>
      <c r="AG15">
        <f t="shared" si="21"/>
        <v>89</v>
      </c>
      <c r="AH15">
        <f t="shared" si="16"/>
        <v>598.5</v>
      </c>
      <c r="AL15" s="6">
        <f>AL14+AJ17</f>
        <v>1851.8518322256837</v>
      </c>
    </row>
    <row r="16" spans="2:39" x14ac:dyDescent="0.25">
      <c r="B16">
        <f t="shared" si="4"/>
        <v>10</v>
      </c>
      <c r="C16">
        <v>90</v>
      </c>
      <c r="D16">
        <v>590</v>
      </c>
      <c r="F16" s="5">
        <v>50</v>
      </c>
      <c r="G16" s="5">
        <v>50</v>
      </c>
      <c r="H16" s="5">
        <v>1150</v>
      </c>
      <c r="I16" s="1">
        <f t="shared" si="5"/>
        <v>4.3478260869565219E-4</v>
      </c>
      <c r="J16" s="1">
        <f t="shared" si="6"/>
        <v>4.3478260869565218E-3</v>
      </c>
      <c r="K16">
        <f t="shared" si="7"/>
        <v>1086.9565217391305</v>
      </c>
      <c r="L16" s="5">
        <v>50</v>
      </c>
      <c r="M16" s="5">
        <v>50</v>
      </c>
      <c r="N16" s="5">
        <v>1150</v>
      </c>
      <c r="P16" s="5">
        <v>90</v>
      </c>
      <c r="Q16" s="4">
        <f t="shared" si="8"/>
        <v>10</v>
      </c>
      <c r="R16" s="4">
        <f>D8</f>
        <v>7000</v>
      </c>
      <c r="T16" s="4">
        <f t="shared" si="9"/>
        <v>70</v>
      </c>
      <c r="U16" s="4">
        <f t="shared" si="18"/>
        <v>30</v>
      </c>
      <c r="V16" s="4">
        <f>D10</f>
        <v>2050</v>
      </c>
      <c r="X16" s="4">
        <f t="shared" si="11"/>
        <v>50</v>
      </c>
      <c r="Y16" s="4">
        <f t="shared" si="19"/>
        <v>50</v>
      </c>
      <c r="Z16" s="4">
        <f>D12</f>
        <v>1150</v>
      </c>
      <c r="AB16" s="4">
        <f t="shared" si="13"/>
        <v>30</v>
      </c>
      <c r="AC16" s="4">
        <f t="shared" si="20"/>
        <v>70</v>
      </c>
      <c r="AD16" s="4">
        <f>D14</f>
        <v>780</v>
      </c>
      <c r="AF16" s="4">
        <f t="shared" si="15"/>
        <v>10</v>
      </c>
      <c r="AG16" s="4">
        <f t="shared" si="21"/>
        <v>90</v>
      </c>
      <c r="AH16" s="4">
        <f>D16</f>
        <v>590</v>
      </c>
    </row>
    <row r="17" spans="2:37" x14ac:dyDescent="0.25">
      <c r="B17">
        <f t="shared" si="4"/>
        <v>0</v>
      </c>
      <c r="C17">
        <v>100</v>
      </c>
      <c r="D17">
        <v>500</v>
      </c>
      <c r="F17" s="1">
        <v>45</v>
      </c>
      <c r="G17" s="1">
        <v>55</v>
      </c>
      <c r="H17" s="1">
        <f>(G17-G16)/(G18-G16)*(H18-H16)+H16</f>
        <v>1050</v>
      </c>
      <c r="I17" s="1">
        <f t="shared" si="5"/>
        <v>4.7619047619047619E-4</v>
      </c>
      <c r="J17" s="1">
        <f t="shared" si="6"/>
        <v>4.7619047619047623E-3</v>
      </c>
      <c r="K17">
        <f t="shared" si="7"/>
        <v>1190.4761904761906</v>
      </c>
      <c r="L17" s="1">
        <v>45</v>
      </c>
      <c r="M17" s="1">
        <v>55</v>
      </c>
      <c r="N17" s="1">
        <v>1050</v>
      </c>
      <c r="P17" s="1">
        <v>89</v>
      </c>
      <c r="Q17">
        <f t="shared" si="8"/>
        <v>11</v>
      </c>
      <c r="R17">
        <f>(Q17-$Q$16)/($Q$26-$Q$16)*($R$26-$R$16)+$R$16</f>
        <v>6630</v>
      </c>
      <c r="T17">
        <f t="shared" si="9"/>
        <v>69</v>
      </c>
      <c r="U17">
        <f t="shared" si="18"/>
        <v>31</v>
      </c>
      <c r="V17">
        <f>(U17-$U$16)/($U$26-$U$16)*($V$26-$V$16)+$V$16</f>
        <v>1992.5</v>
      </c>
      <c r="X17">
        <f t="shared" si="11"/>
        <v>49</v>
      </c>
      <c r="Y17">
        <f t="shared" si="19"/>
        <v>51</v>
      </c>
      <c r="Z17">
        <f>(Y17-$Y$16)/($Y$26-$Y$16)*($Z$26-$Z$16)+$Z$16</f>
        <v>1130</v>
      </c>
      <c r="AB17">
        <f t="shared" si="13"/>
        <v>29</v>
      </c>
      <c r="AC17">
        <f t="shared" si="20"/>
        <v>71</v>
      </c>
      <c r="AD17">
        <f>(AC17-$AC$16)/($AC$26-$AC$16)*($AD$26-$AD$16)+$AD$16</f>
        <v>769.5</v>
      </c>
      <c r="AF17">
        <f t="shared" si="15"/>
        <v>9</v>
      </c>
      <c r="AG17">
        <f t="shared" si="21"/>
        <v>91</v>
      </c>
      <c r="AH17">
        <f>(AG17-$AG$16)/($AG$26-$AG$16)*($AH$26-$AH$16)+$AH$16</f>
        <v>581</v>
      </c>
      <c r="AJ17" s="6">
        <v>467.28969999999998</v>
      </c>
      <c r="AK17">
        <v>1851.8520000000001</v>
      </c>
    </row>
    <row r="18" spans="2:37" x14ac:dyDescent="0.25">
      <c r="F18" s="1">
        <v>40</v>
      </c>
      <c r="G18" s="1">
        <v>60</v>
      </c>
      <c r="H18" s="1">
        <v>950</v>
      </c>
      <c r="I18" s="1">
        <f t="shared" si="5"/>
        <v>5.263157894736842E-4</v>
      </c>
      <c r="J18" s="1">
        <f t="shared" si="6"/>
        <v>5.263157894736842E-3</v>
      </c>
      <c r="K18">
        <f t="shared" si="7"/>
        <v>1315.7894736842104</v>
      </c>
      <c r="L18" s="5">
        <v>40</v>
      </c>
      <c r="M18" s="5">
        <v>60</v>
      </c>
      <c r="N18" s="5">
        <v>950</v>
      </c>
      <c r="P18" s="1">
        <v>88</v>
      </c>
      <c r="Q18">
        <f t="shared" si="8"/>
        <v>12</v>
      </c>
      <c r="R18">
        <f t="shared" ref="R18:R25" si="23">(Q18-$Q$16)/($Q$26-$Q$16)*($R$26-$R$16)+$R$16</f>
        <v>6260</v>
      </c>
      <c r="T18">
        <f t="shared" si="9"/>
        <v>68</v>
      </c>
      <c r="U18">
        <f t="shared" si="18"/>
        <v>32</v>
      </c>
      <c r="V18">
        <f t="shared" ref="V18:V25" si="24">(U18-$U$16)/($U$26-$U$16)*($V$26-$V$16)+$V$16</f>
        <v>1935</v>
      </c>
      <c r="X18">
        <f t="shared" si="11"/>
        <v>48</v>
      </c>
      <c r="Y18">
        <f t="shared" si="19"/>
        <v>52</v>
      </c>
      <c r="Z18">
        <f t="shared" ref="Z18:Z25" si="25">(Y18-$Y$16)/($Y$26-$Y$16)*($Z$26-$Z$16)+$Z$16</f>
        <v>1110</v>
      </c>
      <c r="AB18">
        <f t="shared" si="13"/>
        <v>28</v>
      </c>
      <c r="AC18">
        <f t="shared" si="20"/>
        <v>72</v>
      </c>
      <c r="AD18">
        <f t="shared" ref="AD18:AD25" si="26">(AC18-$AC$16)/($AC$26-$AC$16)*($AD$26-$AD$16)+$AD$16</f>
        <v>759</v>
      </c>
      <c r="AF18">
        <f t="shared" si="15"/>
        <v>8</v>
      </c>
      <c r="AG18">
        <f t="shared" si="21"/>
        <v>92</v>
      </c>
      <c r="AH18">
        <f t="shared" ref="AH18:AH25" si="27">(AG18-$AG$16)/($AG$26-$AG$16)*($AH$26-$AH$16)+$AH$16</f>
        <v>572</v>
      </c>
    </row>
    <row r="19" spans="2:37" x14ac:dyDescent="0.25">
      <c r="F19" s="1">
        <v>35</v>
      </c>
      <c r="G19" s="1">
        <v>65</v>
      </c>
      <c r="H19" s="1">
        <f>(G19-G18)/(G20-G18)*(H20-H18)+H18</f>
        <v>865</v>
      </c>
      <c r="I19" s="1">
        <f t="shared" si="5"/>
        <v>5.7803468208092489E-4</v>
      </c>
      <c r="J19" s="1">
        <f t="shared" si="6"/>
        <v>5.7803468208092491E-3</v>
      </c>
      <c r="K19">
        <f t="shared" si="7"/>
        <v>1445.0867052023123</v>
      </c>
      <c r="L19" s="1">
        <v>35</v>
      </c>
      <c r="M19" s="1">
        <v>65</v>
      </c>
      <c r="N19" s="1">
        <v>865</v>
      </c>
      <c r="P19" s="1">
        <v>87</v>
      </c>
      <c r="Q19">
        <f t="shared" si="8"/>
        <v>13</v>
      </c>
      <c r="R19">
        <f t="shared" si="23"/>
        <v>5890</v>
      </c>
      <c r="T19">
        <f t="shared" si="9"/>
        <v>67</v>
      </c>
      <c r="U19">
        <f t="shared" si="18"/>
        <v>33</v>
      </c>
      <c r="V19">
        <f t="shared" si="24"/>
        <v>1877.5</v>
      </c>
      <c r="X19">
        <f t="shared" si="11"/>
        <v>47</v>
      </c>
      <c r="Y19">
        <f t="shared" si="19"/>
        <v>53</v>
      </c>
      <c r="Z19">
        <f t="shared" si="25"/>
        <v>1090</v>
      </c>
      <c r="AB19">
        <f t="shared" si="13"/>
        <v>27</v>
      </c>
      <c r="AC19">
        <f t="shared" si="20"/>
        <v>73</v>
      </c>
      <c r="AD19">
        <f t="shared" si="26"/>
        <v>748.5</v>
      </c>
      <c r="AF19">
        <f t="shared" si="15"/>
        <v>7</v>
      </c>
      <c r="AG19">
        <f t="shared" si="21"/>
        <v>93</v>
      </c>
      <c r="AH19">
        <f t="shared" si="27"/>
        <v>563</v>
      </c>
    </row>
    <row r="20" spans="2:37" x14ac:dyDescent="0.25">
      <c r="F20" s="1">
        <v>30</v>
      </c>
      <c r="G20" s="1">
        <v>70</v>
      </c>
      <c r="H20" s="1">
        <v>780</v>
      </c>
      <c r="I20" s="1">
        <f t="shared" si="5"/>
        <v>6.4102564102564103E-4</v>
      </c>
      <c r="J20" s="1">
        <f t="shared" si="6"/>
        <v>6.41025641025641E-3</v>
      </c>
      <c r="K20">
        <f t="shared" si="7"/>
        <v>1602.5641025641025</v>
      </c>
      <c r="L20" s="5">
        <v>30</v>
      </c>
      <c r="M20" s="5">
        <v>70</v>
      </c>
      <c r="N20" s="5">
        <v>780</v>
      </c>
      <c r="P20" s="1">
        <v>86</v>
      </c>
      <c r="Q20">
        <f t="shared" si="8"/>
        <v>14</v>
      </c>
      <c r="R20">
        <f t="shared" si="23"/>
        <v>5520</v>
      </c>
      <c r="T20">
        <f t="shared" si="9"/>
        <v>66</v>
      </c>
      <c r="U20">
        <f t="shared" si="18"/>
        <v>34</v>
      </c>
      <c r="V20">
        <f t="shared" si="24"/>
        <v>1820</v>
      </c>
      <c r="X20">
        <f t="shared" si="11"/>
        <v>46</v>
      </c>
      <c r="Y20">
        <f t="shared" si="19"/>
        <v>54</v>
      </c>
      <c r="Z20">
        <f t="shared" si="25"/>
        <v>1070</v>
      </c>
      <c r="AB20">
        <f t="shared" si="13"/>
        <v>26</v>
      </c>
      <c r="AC20">
        <f t="shared" si="20"/>
        <v>74</v>
      </c>
      <c r="AD20">
        <f t="shared" si="26"/>
        <v>738</v>
      </c>
      <c r="AF20">
        <f t="shared" si="15"/>
        <v>6</v>
      </c>
      <c r="AG20">
        <f t="shared" si="21"/>
        <v>94</v>
      </c>
      <c r="AH20">
        <f t="shared" si="27"/>
        <v>554</v>
      </c>
    </row>
    <row r="21" spans="2:37" x14ac:dyDescent="0.25">
      <c r="F21" s="5">
        <v>25</v>
      </c>
      <c r="G21" s="5">
        <v>75</v>
      </c>
      <c r="H21" s="5">
        <f>(G21-G20)/(G22-G20)*(H22-H20)+H20</f>
        <v>727.5</v>
      </c>
      <c r="I21" s="1">
        <f t="shared" si="5"/>
        <v>6.8728522336769765E-4</v>
      </c>
      <c r="J21" s="1">
        <f t="shared" si="6"/>
        <v>6.8728522336769767E-3</v>
      </c>
      <c r="K21">
        <f t="shared" si="7"/>
        <v>1718.2130584192441</v>
      </c>
      <c r="L21" s="1">
        <v>25</v>
      </c>
      <c r="M21" s="1">
        <v>75</v>
      </c>
      <c r="N21" s="1">
        <v>727.5</v>
      </c>
      <c r="P21" s="1">
        <v>85</v>
      </c>
      <c r="Q21">
        <f t="shared" si="8"/>
        <v>15</v>
      </c>
      <c r="R21">
        <f t="shared" si="23"/>
        <v>5150</v>
      </c>
      <c r="T21">
        <f t="shared" si="9"/>
        <v>65</v>
      </c>
      <c r="U21">
        <f t="shared" si="18"/>
        <v>35</v>
      </c>
      <c r="V21">
        <f t="shared" si="24"/>
        <v>1762.5</v>
      </c>
      <c r="X21">
        <f t="shared" si="11"/>
        <v>45</v>
      </c>
      <c r="Y21">
        <f t="shared" si="19"/>
        <v>55</v>
      </c>
      <c r="Z21">
        <f t="shared" si="25"/>
        <v>1050</v>
      </c>
      <c r="AB21">
        <f t="shared" si="13"/>
        <v>25</v>
      </c>
      <c r="AC21">
        <f t="shared" si="20"/>
        <v>75</v>
      </c>
      <c r="AD21">
        <f t="shared" si="26"/>
        <v>727.5</v>
      </c>
      <c r="AF21">
        <f t="shared" si="15"/>
        <v>5</v>
      </c>
      <c r="AG21">
        <f t="shared" si="21"/>
        <v>95</v>
      </c>
      <c r="AH21">
        <f t="shared" si="27"/>
        <v>545</v>
      </c>
    </row>
    <row r="22" spans="2:37" x14ac:dyDescent="0.25">
      <c r="F22" s="1">
        <v>20</v>
      </c>
      <c r="G22" s="1">
        <v>80</v>
      </c>
      <c r="H22" s="1">
        <v>675</v>
      </c>
      <c r="I22" s="1">
        <f t="shared" si="5"/>
        <v>7.407407407407407E-4</v>
      </c>
      <c r="J22" s="1">
        <f>0.5/H22*$H$1</f>
        <v>7.4074074074074068E-3</v>
      </c>
      <c r="K22" s="23">
        <f t="shared" si="7"/>
        <v>1851.8518518518517</v>
      </c>
      <c r="L22" s="5">
        <v>20</v>
      </c>
      <c r="M22" s="5">
        <v>80</v>
      </c>
      <c r="N22" s="5">
        <v>675</v>
      </c>
      <c r="P22" s="1">
        <v>84</v>
      </c>
      <c r="Q22">
        <f t="shared" si="8"/>
        <v>16</v>
      </c>
      <c r="R22">
        <f t="shared" si="23"/>
        <v>4780</v>
      </c>
      <c r="T22">
        <f t="shared" si="9"/>
        <v>64</v>
      </c>
      <c r="U22">
        <f t="shared" si="18"/>
        <v>36</v>
      </c>
      <c r="V22">
        <f t="shared" si="24"/>
        <v>1705</v>
      </c>
      <c r="X22">
        <f t="shared" si="11"/>
        <v>44</v>
      </c>
      <c r="Y22">
        <f t="shared" si="19"/>
        <v>56</v>
      </c>
      <c r="Z22">
        <f t="shared" si="25"/>
        <v>1030</v>
      </c>
      <c r="AB22">
        <f t="shared" si="13"/>
        <v>24</v>
      </c>
      <c r="AC22">
        <f t="shared" si="20"/>
        <v>76</v>
      </c>
      <c r="AD22">
        <f t="shared" si="26"/>
        <v>717</v>
      </c>
      <c r="AF22">
        <f t="shared" si="15"/>
        <v>4</v>
      </c>
      <c r="AG22">
        <f t="shared" si="21"/>
        <v>96</v>
      </c>
      <c r="AH22">
        <f t="shared" si="27"/>
        <v>536</v>
      </c>
    </row>
    <row r="23" spans="2:37" x14ac:dyDescent="0.25">
      <c r="F23" s="1">
        <v>15</v>
      </c>
      <c r="G23" s="1">
        <v>85</v>
      </c>
      <c r="H23" s="1">
        <f>(G23-G22)/(G24-G22)*(H24-H22)+H22</f>
        <v>632.5</v>
      </c>
      <c r="I23" s="1">
        <f t="shared" si="5"/>
        <v>7.9051383399209485E-4</v>
      </c>
      <c r="J23" s="1">
        <f t="shared" si="6"/>
        <v>7.9051383399209481E-3</v>
      </c>
      <c r="K23">
        <f t="shared" si="7"/>
        <v>1976.284584980237</v>
      </c>
      <c r="L23" s="1">
        <v>15</v>
      </c>
      <c r="M23" s="1">
        <v>85</v>
      </c>
      <c r="N23" s="1">
        <v>632.5</v>
      </c>
      <c r="P23" s="1">
        <v>83</v>
      </c>
      <c r="Q23">
        <f t="shared" si="8"/>
        <v>17</v>
      </c>
      <c r="R23">
        <f t="shared" si="23"/>
        <v>4410</v>
      </c>
      <c r="T23">
        <f t="shared" si="9"/>
        <v>63</v>
      </c>
      <c r="U23">
        <f t="shared" si="18"/>
        <v>37</v>
      </c>
      <c r="V23">
        <f t="shared" si="24"/>
        <v>1647.5</v>
      </c>
      <c r="X23">
        <f t="shared" si="11"/>
        <v>43</v>
      </c>
      <c r="Y23">
        <f t="shared" si="19"/>
        <v>57</v>
      </c>
      <c r="Z23">
        <f t="shared" si="25"/>
        <v>1010</v>
      </c>
      <c r="AB23">
        <f t="shared" si="13"/>
        <v>23</v>
      </c>
      <c r="AC23">
        <f t="shared" si="20"/>
        <v>77</v>
      </c>
      <c r="AD23">
        <f t="shared" si="26"/>
        <v>706.5</v>
      </c>
      <c r="AF23">
        <f t="shared" si="15"/>
        <v>3</v>
      </c>
      <c r="AG23">
        <f t="shared" si="21"/>
        <v>97</v>
      </c>
      <c r="AH23">
        <f t="shared" si="27"/>
        <v>527</v>
      </c>
    </row>
    <row r="24" spans="2:37" x14ac:dyDescent="0.25">
      <c r="F24" s="1">
        <v>10</v>
      </c>
      <c r="G24" s="1">
        <v>90</v>
      </c>
      <c r="H24" s="1">
        <v>590</v>
      </c>
      <c r="I24" s="1">
        <f t="shared" si="5"/>
        <v>8.4745762711864404E-4</v>
      </c>
      <c r="J24" s="1">
        <f t="shared" si="6"/>
        <v>8.4745762711864406E-3</v>
      </c>
      <c r="K24">
        <f t="shared" si="7"/>
        <v>2118.6440677966102</v>
      </c>
      <c r="L24" s="5">
        <v>10</v>
      </c>
      <c r="M24" s="5">
        <v>90</v>
      </c>
      <c r="N24" s="5">
        <v>590</v>
      </c>
      <c r="P24" s="1">
        <v>82</v>
      </c>
      <c r="Q24">
        <f t="shared" si="8"/>
        <v>18</v>
      </c>
      <c r="R24">
        <f t="shared" si="23"/>
        <v>4040</v>
      </c>
      <c r="T24">
        <f t="shared" si="9"/>
        <v>62</v>
      </c>
      <c r="U24">
        <f t="shared" si="18"/>
        <v>38</v>
      </c>
      <c r="V24">
        <f t="shared" si="24"/>
        <v>1590</v>
      </c>
      <c r="X24">
        <f t="shared" si="11"/>
        <v>42</v>
      </c>
      <c r="Y24">
        <f t="shared" si="19"/>
        <v>58</v>
      </c>
      <c r="Z24">
        <f t="shared" si="25"/>
        <v>990</v>
      </c>
      <c r="AB24">
        <f t="shared" si="13"/>
        <v>22</v>
      </c>
      <c r="AC24">
        <f t="shared" si="20"/>
        <v>78</v>
      </c>
      <c r="AD24">
        <f t="shared" si="26"/>
        <v>696</v>
      </c>
      <c r="AF24">
        <f t="shared" si="15"/>
        <v>2</v>
      </c>
      <c r="AG24">
        <f t="shared" si="21"/>
        <v>98</v>
      </c>
      <c r="AH24">
        <f t="shared" si="27"/>
        <v>518</v>
      </c>
    </row>
    <row r="25" spans="2:37" x14ac:dyDescent="0.25">
      <c r="F25" s="1">
        <v>5</v>
      </c>
      <c r="G25" s="1">
        <v>95</v>
      </c>
      <c r="H25" s="1">
        <f>(G25-G24)/(G26-G24)*(H26-H24)+H24</f>
        <v>545</v>
      </c>
      <c r="I25" s="1">
        <f t="shared" si="5"/>
        <v>9.1743119266055051E-4</v>
      </c>
      <c r="J25" s="1">
        <f t="shared" si="6"/>
        <v>9.1743119266055051E-3</v>
      </c>
      <c r="K25">
        <f t="shared" si="7"/>
        <v>2293.5779816513764</v>
      </c>
      <c r="L25" s="1">
        <v>5</v>
      </c>
      <c r="M25" s="1">
        <v>95</v>
      </c>
      <c r="N25" s="1">
        <v>545</v>
      </c>
      <c r="P25" s="1">
        <v>81</v>
      </c>
      <c r="Q25">
        <f t="shared" si="8"/>
        <v>19</v>
      </c>
      <c r="R25">
        <f t="shared" si="23"/>
        <v>3670</v>
      </c>
      <c r="T25">
        <f t="shared" si="9"/>
        <v>61</v>
      </c>
      <c r="U25">
        <f t="shared" si="18"/>
        <v>39</v>
      </c>
      <c r="V25">
        <f t="shared" si="24"/>
        <v>1532.5</v>
      </c>
      <c r="X25">
        <f t="shared" si="11"/>
        <v>41</v>
      </c>
      <c r="Y25">
        <f t="shared" si="19"/>
        <v>59</v>
      </c>
      <c r="Z25">
        <f t="shared" si="25"/>
        <v>970</v>
      </c>
      <c r="AB25">
        <f t="shared" si="13"/>
        <v>21</v>
      </c>
      <c r="AC25">
        <f t="shared" si="20"/>
        <v>79</v>
      </c>
      <c r="AD25">
        <f t="shared" si="26"/>
        <v>685.5</v>
      </c>
      <c r="AF25">
        <f t="shared" si="15"/>
        <v>1</v>
      </c>
      <c r="AG25">
        <f t="shared" si="21"/>
        <v>99</v>
      </c>
      <c r="AH25">
        <f t="shared" si="27"/>
        <v>509</v>
      </c>
    </row>
    <row r="26" spans="2:37" x14ac:dyDescent="0.25">
      <c r="F26" s="5">
        <v>0</v>
      </c>
      <c r="G26" s="5">
        <v>100</v>
      </c>
      <c r="H26" s="5">
        <v>500</v>
      </c>
      <c r="I26" s="1">
        <f t="shared" si="5"/>
        <v>1E-3</v>
      </c>
      <c r="J26" s="1">
        <f>0.5/H26*$H$1</f>
        <v>0.01</v>
      </c>
      <c r="K26">
        <f t="shared" si="7"/>
        <v>2500</v>
      </c>
      <c r="L26" s="5">
        <v>0</v>
      </c>
      <c r="M26" s="5">
        <v>100</v>
      </c>
      <c r="N26" s="5">
        <v>500</v>
      </c>
      <c r="P26" s="5">
        <v>80</v>
      </c>
      <c r="Q26" s="4">
        <f t="shared" si="8"/>
        <v>20</v>
      </c>
      <c r="R26" s="4">
        <f>D9</f>
        <v>3300</v>
      </c>
      <c r="T26" s="4">
        <f t="shared" si="9"/>
        <v>60</v>
      </c>
      <c r="U26" s="4">
        <f t="shared" si="18"/>
        <v>40</v>
      </c>
      <c r="V26" s="4">
        <f>D11</f>
        <v>1475</v>
      </c>
      <c r="X26" s="4">
        <f t="shared" si="11"/>
        <v>40</v>
      </c>
      <c r="Y26" s="4">
        <f t="shared" si="19"/>
        <v>60</v>
      </c>
      <c r="Z26" s="4">
        <f>D13</f>
        <v>950</v>
      </c>
      <c r="AB26" s="4">
        <f t="shared" si="13"/>
        <v>20</v>
      </c>
      <c r="AC26" s="4">
        <f t="shared" si="20"/>
        <v>80</v>
      </c>
      <c r="AD26" s="4">
        <f>D15</f>
        <v>675</v>
      </c>
      <c r="AF26" s="4">
        <f>AF25-1</f>
        <v>0</v>
      </c>
      <c r="AG26" s="4">
        <f t="shared" si="21"/>
        <v>100</v>
      </c>
      <c r="AH26" s="4">
        <f>D17</f>
        <v>500</v>
      </c>
    </row>
    <row r="27" spans="2:37" x14ac:dyDescent="0.25">
      <c r="F27" s="1"/>
      <c r="G27" s="1"/>
      <c r="H27" s="1"/>
      <c r="I27" s="1"/>
      <c r="J27" s="1"/>
      <c r="L27" s="1"/>
      <c r="M27" s="1"/>
      <c r="N27" s="1"/>
      <c r="P27" s="1"/>
    </row>
    <row r="28" spans="2:37" x14ac:dyDescent="0.25">
      <c r="C28">
        <f>1/2675*0.5</f>
        <v>1.8691588785046728E-4</v>
      </c>
      <c r="F28" s="1"/>
      <c r="G28" s="1"/>
      <c r="H28" s="1"/>
      <c r="I28" s="1"/>
      <c r="J28" s="1">
        <v>0.01</v>
      </c>
      <c r="L28" s="1"/>
      <c r="M28" s="1"/>
      <c r="N28" s="1"/>
      <c r="P28" s="1"/>
    </row>
    <row r="29" spans="2:37" x14ac:dyDescent="0.25">
      <c r="C29">
        <f>1/727.5*0.5</f>
        <v>6.8728522336769765E-4</v>
      </c>
      <c r="F29" s="1"/>
      <c r="G29" s="1"/>
      <c r="H29" s="1"/>
      <c r="I29" s="1"/>
      <c r="J29" s="1">
        <f>J25</f>
        <v>9.1743119266055051E-3</v>
      </c>
      <c r="L29" s="1"/>
      <c r="M29" s="1"/>
      <c r="N29" s="1"/>
      <c r="P29" s="1"/>
    </row>
    <row r="30" spans="2:37" x14ac:dyDescent="0.25">
      <c r="C30">
        <f>C29-C28</f>
        <v>5.0036933551723039E-4</v>
      </c>
      <c r="F30" s="1"/>
      <c r="G30" s="1"/>
      <c r="H30" s="1"/>
      <c r="I30" s="1"/>
      <c r="J30" s="1">
        <f>J24</f>
        <v>8.4745762711864406E-3</v>
      </c>
      <c r="L30" s="1"/>
      <c r="M30" s="1"/>
      <c r="N30" s="1"/>
      <c r="P30" s="1"/>
    </row>
    <row r="31" spans="2:37" x14ac:dyDescent="0.25">
      <c r="C31">
        <f>C28-C29</f>
        <v>-5.0036933551723039E-4</v>
      </c>
      <c r="F31" s="1"/>
      <c r="G31" s="1"/>
      <c r="H31" s="1"/>
      <c r="I31" s="1"/>
      <c r="J31" s="1">
        <f>J23</f>
        <v>7.9051383399209481E-3</v>
      </c>
      <c r="L31" s="1"/>
      <c r="M31" s="1"/>
      <c r="N31" s="1"/>
      <c r="P31" s="1"/>
    </row>
    <row r="32" spans="2:37" x14ac:dyDescent="0.25">
      <c r="J32">
        <f>J22</f>
        <v>7.4074074074074068E-3</v>
      </c>
    </row>
    <row r="33" spans="2:47" x14ac:dyDescent="0.25">
      <c r="J33">
        <f>J21</f>
        <v>6.8728522336769767E-3</v>
      </c>
    </row>
    <row r="34" spans="2:47" x14ac:dyDescent="0.25">
      <c r="J34">
        <f>J20</f>
        <v>6.41025641025641E-3</v>
      </c>
    </row>
    <row r="38" spans="2:47" x14ac:dyDescent="0.25">
      <c r="C38">
        <f>(0.5*ABS(E47-E57)+0.5*ABS(E57-E51)+0.5*ABS(E51-E61))*1</f>
        <v>4.0204678362573102E-4</v>
      </c>
      <c r="D38">
        <f>0.5*ABS(E65-E45)</f>
        <v>2.8538095238095238E-4</v>
      </c>
      <c r="E38">
        <f>D38*2</f>
        <v>5.7076190476190475E-4</v>
      </c>
    </row>
    <row r="39" spans="2:47" x14ac:dyDescent="0.25">
      <c r="C39">
        <f>1-C38</f>
        <v>0.99959795321637424</v>
      </c>
      <c r="D39">
        <f>D38*1.3</f>
        <v>3.7099523809523813E-4</v>
      </c>
      <c r="E39">
        <f>1.1*E38</f>
        <v>6.2783809523809533E-4</v>
      </c>
      <c r="J39">
        <f>J19</f>
        <v>5.7803468208092491E-3</v>
      </c>
    </row>
    <row r="40" spans="2:47" x14ac:dyDescent="0.25">
      <c r="J40">
        <f>J19</f>
        <v>5.7803468208092491E-3</v>
      </c>
    </row>
    <row r="41" spans="2:47" x14ac:dyDescent="0.25">
      <c r="B41" s="81" t="s">
        <v>4</v>
      </c>
      <c r="C41" s="81"/>
      <c r="D41" s="81"/>
      <c r="E41" s="81"/>
      <c r="J41" t="s">
        <v>113</v>
      </c>
    </row>
    <row r="42" spans="2:47" ht="15.75" thickBot="1" x14ac:dyDescent="0.3">
      <c r="B42" s="81"/>
      <c r="C42" s="81"/>
      <c r="D42" s="81"/>
      <c r="E42" s="81"/>
    </row>
    <row r="43" spans="2:47" ht="15.75" thickBot="1" x14ac:dyDescent="0.3">
      <c r="K43" s="79" t="s">
        <v>85</v>
      </c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0"/>
      <c r="AJ43" s="79" t="s">
        <v>91</v>
      </c>
      <c r="AK43" s="80"/>
      <c r="AL43" s="79" t="s">
        <v>89</v>
      </c>
      <c r="AM43" s="80"/>
      <c r="AN43" s="79" t="s">
        <v>86</v>
      </c>
      <c r="AO43" s="80"/>
      <c r="AP43" s="79" t="s">
        <v>90</v>
      </c>
      <c r="AQ43" s="80"/>
      <c r="AR43" s="79" t="s">
        <v>87</v>
      </c>
      <c r="AS43" s="80"/>
      <c r="AT43" s="79" t="s">
        <v>88</v>
      </c>
      <c r="AU43" s="80"/>
    </row>
    <row r="44" spans="2:47" x14ac:dyDescent="0.25">
      <c r="B44" s="3" t="s">
        <v>2</v>
      </c>
      <c r="C44" s="3" t="s">
        <v>0</v>
      </c>
      <c r="D44" s="3" t="s">
        <v>1</v>
      </c>
      <c r="E44" s="3" t="s">
        <v>67</v>
      </c>
      <c r="F44" s="3" t="s">
        <v>75</v>
      </c>
      <c r="G44" s="3" t="s">
        <v>77</v>
      </c>
      <c r="H44" s="3" t="s">
        <v>76</v>
      </c>
      <c r="J44" s="27" t="s">
        <v>78</v>
      </c>
      <c r="K44" s="31">
        <v>70</v>
      </c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3">
        <v>20</v>
      </c>
      <c r="AJ44" s="34">
        <v>75</v>
      </c>
      <c r="AK44" s="33">
        <v>0</v>
      </c>
      <c r="AL44" s="34">
        <v>75</v>
      </c>
      <c r="AM44" s="33">
        <v>50</v>
      </c>
      <c r="AN44" s="34">
        <v>75</v>
      </c>
      <c r="AO44" s="33">
        <v>25</v>
      </c>
      <c r="AP44" s="34">
        <v>75</v>
      </c>
      <c r="AQ44" s="33">
        <v>0</v>
      </c>
      <c r="AR44" s="34">
        <v>50</v>
      </c>
      <c r="AS44" s="33">
        <v>25</v>
      </c>
      <c r="AT44" s="34">
        <v>0</v>
      </c>
      <c r="AU44" s="35">
        <v>25</v>
      </c>
    </row>
    <row r="45" spans="2:47" x14ac:dyDescent="0.25">
      <c r="B45" s="68">
        <v>100</v>
      </c>
      <c r="C45" s="10">
        <f>100-B45</f>
        <v>0</v>
      </c>
      <c r="D45" s="10">
        <v>1500000</v>
      </c>
      <c r="E45">
        <f>1/D45</f>
        <v>6.6666666666666671E-7</v>
      </c>
      <c r="F45" s="67">
        <f>0.5*E45</f>
        <v>3.3333333333333335E-7</v>
      </c>
      <c r="G45">
        <f>F45*$H$1</f>
        <v>3.3333333333333333E-6</v>
      </c>
      <c r="H45" s="25">
        <f>G45*$H$2</f>
        <v>0.83333333333333337</v>
      </c>
      <c r="J45" s="28" t="s">
        <v>79</v>
      </c>
      <c r="K45" s="36">
        <f>100-K44</f>
        <v>30</v>
      </c>
      <c r="L45" s="37">
        <f t="shared" ref="L45:AI45" si="28">100-L44</f>
        <v>100</v>
      </c>
      <c r="M45" s="37">
        <f t="shared" si="28"/>
        <v>100</v>
      </c>
      <c r="N45" s="37">
        <f t="shared" si="28"/>
        <v>100</v>
      </c>
      <c r="O45" s="37">
        <f t="shared" si="28"/>
        <v>100</v>
      </c>
      <c r="P45" s="37">
        <f t="shared" si="28"/>
        <v>100</v>
      </c>
      <c r="Q45" s="37">
        <f t="shared" si="28"/>
        <v>100</v>
      </c>
      <c r="R45" s="37">
        <f t="shared" si="28"/>
        <v>100</v>
      </c>
      <c r="S45" s="37">
        <f t="shared" si="28"/>
        <v>100</v>
      </c>
      <c r="T45" s="37">
        <f t="shared" si="28"/>
        <v>100</v>
      </c>
      <c r="U45" s="37">
        <f t="shared" si="28"/>
        <v>100</v>
      </c>
      <c r="V45" s="37">
        <f t="shared" si="28"/>
        <v>100</v>
      </c>
      <c r="W45" s="37">
        <f t="shared" si="28"/>
        <v>100</v>
      </c>
      <c r="X45" s="37">
        <f t="shared" si="28"/>
        <v>100</v>
      </c>
      <c r="Y45" s="37">
        <f t="shared" si="28"/>
        <v>100</v>
      </c>
      <c r="Z45" s="37">
        <f t="shared" si="28"/>
        <v>100</v>
      </c>
      <c r="AA45" s="37">
        <f t="shared" si="28"/>
        <v>100</v>
      </c>
      <c r="AB45" s="37">
        <f t="shared" si="28"/>
        <v>100</v>
      </c>
      <c r="AC45" s="37">
        <f t="shared" si="28"/>
        <v>100</v>
      </c>
      <c r="AD45" s="37">
        <f t="shared" si="28"/>
        <v>100</v>
      </c>
      <c r="AE45" s="37">
        <f t="shared" si="28"/>
        <v>100</v>
      </c>
      <c r="AF45" s="37">
        <f t="shared" si="28"/>
        <v>100</v>
      </c>
      <c r="AG45" s="37">
        <f t="shared" si="28"/>
        <v>100</v>
      </c>
      <c r="AH45" s="37">
        <f t="shared" si="28"/>
        <v>100</v>
      </c>
      <c r="AI45" s="38">
        <f t="shared" si="28"/>
        <v>80</v>
      </c>
      <c r="AJ45" s="39">
        <f t="shared" ref="AJ45" si="29">100-AJ44</f>
        <v>25</v>
      </c>
      <c r="AK45" s="38">
        <f t="shared" ref="AK45" si="30">100-AK44</f>
        <v>100</v>
      </c>
      <c r="AL45" s="39">
        <f t="shared" ref="AL45" si="31">100-AL44</f>
        <v>25</v>
      </c>
      <c r="AM45" s="38">
        <f t="shared" ref="AM45" si="32">100-AM44</f>
        <v>50</v>
      </c>
      <c r="AN45" s="39">
        <f>100-AN44</f>
        <v>25</v>
      </c>
      <c r="AO45" s="38">
        <f>100-AO44</f>
        <v>75</v>
      </c>
      <c r="AP45" s="39">
        <f t="shared" ref="AP45" si="33">100-AP44</f>
        <v>25</v>
      </c>
      <c r="AQ45" s="38">
        <f t="shared" ref="AQ45" si="34">100-AQ44</f>
        <v>100</v>
      </c>
      <c r="AR45" s="39">
        <f t="shared" ref="AR45" si="35">100-AR44</f>
        <v>50</v>
      </c>
      <c r="AS45" s="38">
        <f t="shared" ref="AS45" si="36">100-AS44</f>
        <v>75</v>
      </c>
      <c r="AT45" s="39">
        <f t="shared" ref="AT45" si="37">100-AT44</f>
        <v>100</v>
      </c>
      <c r="AU45" s="40">
        <f t="shared" ref="AU45" si="38">100-AU44</f>
        <v>75</v>
      </c>
    </row>
    <row r="46" spans="2:47" x14ac:dyDescent="0.25">
      <c r="B46" s="10">
        <v>95</v>
      </c>
      <c r="C46" s="10">
        <f t="shared" ref="C46:C65" si="39">100-B46</f>
        <v>5</v>
      </c>
      <c r="D46" s="10">
        <v>450000</v>
      </c>
      <c r="E46">
        <f t="shared" ref="E46:E65" si="40">1/D46</f>
        <v>2.2222222222222221E-6</v>
      </c>
      <c r="F46" s="67">
        <f t="shared" ref="F46:F65" si="41">0.5*E46</f>
        <v>1.111111111111111E-6</v>
      </c>
      <c r="G46">
        <f t="shared" ref="G46:G65" si="42">F46*$H$1</f>
        <v>1.111111111111111E-5</v>
      </c>
      <c r="H46">
        <f t="shared" ref="H46:H65" si="43">G46*$H$2</f>
        <v>2.7777777777777777</v>
      </c>
      <c r="J46" s="28" t="s">
        <v>84</v>
      </c>
      <c r="K46" s="36">
        <v>15000</v>
      </c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8">
        <v>2400</v>
      </c>
      <c r="AJ46" s="39">
        <v>22000</v>
      </c>
      <c r="AK46" s="38">
        <v>1500000</v>
      </c>
      <c r="AL46" s="39">
        <v>22000</v>
      </c>
      <c r="AM46" s="38">
        <v>5000</v>
      </c>
      <c r="AN46" s="39">
        <v>22000</v>
      </c>
      <c r="AO46" s="38">
        <v>2700</v>
      </c>
      <c r="AP46" s="39">
        <v>22000</v>
      </c>
      <c r="AQ46" s="38">
        <v>1750</v>
      </c>
      <c r="AR46" s="39">
        <v>5000</v>
      </c>
      <c r="AS46" s="38">
        <v>2700</v>
      </c>
      <c r="AT46" s="39">
        <v>1750</v>
      </c>
      <c r="AU46" s="40">
        <v>2700</v>
      </c>
    </row>
    <row r="47" spans="2:47" x14ac:dyDescent="0.25">
      <c r="B47" s="68">
        <v>90</v>
      </c>
      <c r="C47" s="10">
        <f t="shared" si="39"/>
        <v>10</v>
      </c>
      <c r="D47" s="10">
        <v>180000</v>
      </c>
      <c r="E47">
        <f t="shared" si="40"/>
        <v>5.5555555555555558E-6</v>
      </c>
      <c r="F47" s="67">
        <f t="shared" si="41"/>
        <v>2.7777777777777779E-6</v>
      </c>
      <c r="G47">
        <f t="shared" si="42"/>
        <v>2.7777777777777779E-5</v>
      </c>
      <c r="H47">
        <f t="shared" si="43"/>
        <v>6.9444444444444446</v>
      </c>
      <c r="J47" s="28" t="s">
        <v>82</v>
      </c>
      <c r="K47" s="70">
        <f>0.5/K46</f>
        <v>3.3333333333333335E-5</v>
      </c>
      <c r="L47" s="37" t="e">
        <f t="shared" ref="L47:AI47" si="44">0.5/L46</f>
        <v>#DIV/0!</v>
      </c>
      <c r="M47" s="37" t="e">
        <f t="shared" si="44"/>
        <v>#DIV/0!</v>
      </c>
      <c r="N47" s="37" t="e">
        <f t="shared" si="44"/>
        <v>#DIV/0!</v>
      </c>
      <c r="O47" s="37" t="e">
        <f t="shared" si="44"/>
        <v>#DIV/0!</v>
      </c>
      <c r="P47" s="37" t="e">
        <f t="shared" si="44"/>
        <v>#DIV/0!</v>
      </c>
      <c r="Q47" s="37" t="e">
        <f t="shared" si="44"/>
        <v>#DIV/0!</v>
      </c>
      <c r="R47" s="37" t="e">
        <f t="shared" si="44"/>
        <v>#DIV/0!</v>
      </c>
      <c r="S47" s="37" t="e">
        <f t="shared" si="44"/>
        <v>#DIV/0!</v>
      </c>
      <c r="T47" s="37" t="e">
        <f t="shared" si="44"/>
        <v>#DIV/0!</v>
      </c>
      <c r="U47" s="37" t="e">
        <f t="shared" si="44"/>
        <v>#DIV/0!</v>
      </c>
      <c r="V47" s="37" t="e">
        <f t="shared" si="44"/>
        <v>#DIV/0!</v>
      </c>
      <c r="W47" s="37" t="e">
        <f t="shared" si="44"/>
        <v>#DIV/0!</v>
      </c>
      <c r="X47" s="37" t="e">
        <f t="shared" si="44"/>
        <v>#DIV/0!</v>
      </c>
      <c r="Y47" s="37" t="e">
        <f t="shared" si="44"/>
        <v>#DIV/0!</v>
      </c>
      <c r="Z47" s="37" t="e">
        <f t="shared" si="44"/>
        <v>#DIV/0!</v>
      </c>
      <c r="AA47" s="37" t="e">
        <f t="shared" si="44"/>
        <v>#DIV/0!</v>
      </c>
      <c r="AB47" s="37" t="e">
        <f t="shared" si="44"/>
        <v>#DIV/0!</v>
      </c>
      <c r="AC47" s="37" t="e">
        <f t="shared" si="44"/>
        <v>#DIV/0!</v>
      </c>
      <c r="AD47" s="37" t="e">
        <f t="shared" si="44"/>
        <v>#DIV/0!</v>
      </c>
      <c r="AE47" s="37" t="e">
        <f t="shared" si="44"/>
        <v>#DIV/0!</v>
      </c>
      <c r="AF47" s="37" t="e">
        <f t="shared" si="44"/>
        <v>#DIV/0!</v>
      </c>
      <c r="AG47" s="37" t="e">
        <f t="shared" si="44"/>
        <v>#DIV/0!</v>
      </c>
      <c r="AH47" s="37" t="e">
        <f t="shared" si="44"/>
        <v>#DIV/0!</v>
      </c>
      <c r="AI47" s="72">
        <f t="shared" si="44"/>
        <v>2.0833333333333335E-4</v>
      </c>
      <c r="AJ47" s="39">
        <f t="shared" ref="AJ47" si="45">0.5/AJ46</f>
        <v>2.2727272727272726E-5</v>
      </c>
      <c r="AK47" s="38">
        <f t="shared" ref="AK47" si="46">0.5/AK46</f>
        <v>3.3333333333333335E-7</v>
      </c>
      <c r="AL47" s="39">
        <f t="shared" ref="AL47" si="47">0.5/AL46</f>
        <v>2.2727272727272726E-5</v>
      </c>
      <c r="AM47" s="38">
        <f t="shared" ref="AM47" si="48">0.5/AM46</f>
        <v>1E-4</v>
      </c>
      <c r="AN47" s="39">
        <f>0.5/AN46</f>
        <v>2.2727272727272726E-5</v>
      </c>
      <c r="AO47" s="38">
        <f>0.5/AO46</f>
        <v>1.8518518518518518E-4</v>
      </c>
      <c r="AP47" s="39">
        <f t="shared" ref="AP47" si="49">0.5/AP46</f>
        <v>2.2727272727272726E-5</v>
      </c>
      <c r="AQ47" s="38">
        <f t="shared" ref="AQ47" si="50">0.5/AQ46</f>
        <v>2.8571428571428574E-4</v>
      </c>
      <c r="AR47" s="39">
        <f t="shared" ref="AR47" si="51">0.5/AR46</f>
        <v>1E-4</v>
      </c>
      <c r="AS47" s="38">
        <f t="shared" ref="AS47" si="52">0.5/AS46</f>
        <v>1.8518518518518518E-4</v>
      </c>
      <c r="AT47" s="39">
        <f t="shared" ref="AT47" si="53">0.5/AT46</f>
        <v>2.8571428571428574E-4</v>
      </c>
      <c r="AU47" s="40">
        <f t="shared" ref="AU47" si="54">0.5/AU46</f>
        <v>1.8518518518518518E-4</v>
      </c>
    </row>
    <row r="48" spans="2:47" ht="15.75" thickBot="1" x14ac:dyDescent="0.3">
      <c r="B48" s="10">
        <v>85</v>
      </c>
      <c r="C48" s="10">
        <f t="shared" si="39"/>
        <v>15</v>
      </c>
      <c r="D48" s="10">
        <v>75000</v>
      </c>
      <c r="E48">
        <f t="shared" si="40"/>
        <v>1.3333333333333333E-5</v>
      </c>
      <c r="F48" s="67">
        <f t="shared" si="41"/>
        <v>6.6666666666666666E-6</v>
      </c>
      <c r="G48">
        <f t="shared" si="42"/>
        <v>6.666666666666667E-5</v>
      </c>
      <c r="H48">
        <f t="shared" si="43"/>
        <v>16.666666666666668</v>
      </c>
      <c r="J48" s="29" t="s">
        <v>83</v>
      </c>
      <c r="K48" s="36">
        <f>K47*$H$1*$H$2</f>
        <v>83.333333333333343</v>
      </c>
      <c r="L48" s="37" t="e">
        <f t="shared" ref="L48:AI48" si="55">L47*$H$1*$H$2</f>
        <v>#DIV/0!</v>
      </c>
      <c r="M48" s="37" t="e">
        <f t="shared" si="55"/>
        <v>#DIV/0!</v>
      </c>
      <c r="N48" s="37" t="e">
        <f t="shared" si="55"/>
        <v>#DIV/0!</v>
      </c>
      <c r="O48" s="37" t="e">
        <f t="shared" si="55"/>
        <v>#DIV/0!</v>
      </c>
      <c r="P48" s="37" t="e">
        <f t="shared" si="55"/>
        <v>#DIV/0!</v>
      </c>
      <c r="Q48" s="37" t="e">
        <f t="shared" si="55"/>
        <v>#DIV/0!</v>
      </c>
      <c r="R48" s="37" t="e">
        <f t="shared" si="55"/>
        <v>#DIV/0!</v>
      </c>
      <c r="S48" s="37" t="e">
        <f t="shared" si="55"/>
        <v>#DIV/0!</v>
      </c>
      <c r="T48" s="37" t="e">
        <f t="shared" si="55"/>
        <v>#DIV/0!</v>
      </c>
      <c r="U48" s="37" t="e">
        <f t="shared" si="55"/>
        <v>#DIV/0!</v>
      </c>
      <c r="V48" s="37" t="e">
        <f t="shared" si="55"/>
        <v>#DIV/0!</v>
      </c>
      <c r="W48" s="37" t="e">
        <f t="shared" si="55"/>
        <v>#DIV/0!</v>
      </c>
      <c r="X48" s="37" t="e">
        <f t="shared" si="55"/>
        <v>#DIV/0!</v>
      </c>
      <c r="Y48" s="37" t="e">
        <f t="shared" si="55"/>
        <v>#DIV/0!</v>
      </c>
      <c r="Z48" s="37" t="e">
        <f t="shared" si="55"/>
        <v>#DIV/0!</v>
      </c>
      <c r="AA48" s="37" t="e">
        <f t="shared" si="55"/>
        <v>#DIV/0!</v>
      </c>
      <c r="AB48" s="37" t="e">
        <f t="shared" si="55"/>
        <v>#DIV/0!</v>
      </c>
      <c r="AC48" s="37" t="e">
        <f t="shared" si="55"/>
        <v>#DIV/0!</v>
      </c>
      <c r="AD48" s="37" t="e">
        <f t="shared" si="55"/>
        <v>#DIV/0!</v>
      </c>
      <c r="AE48" s="37" t="e">
        <f t="shared" si="55"/>
        <v>#DIV/0!</v>
      </c>
      <c r="AF48" s="37" t="e">
        <f t="shared" si="55"/>
        <v>#DIV/0!</v>
      </c>
      <c r="AG48" s="37" t="e">
        <f t="shared" si="55"/>
        <v>#DIV/0!</v>
      </c>
      <c r="AH48" s="37" t="e">
        <f t="shared" si="55"/>
        <v>#DIV/0!</v>
      </c>
      <c r="AI48" s="38">
        <f t="shared" si="55"/>
        <v>520.83333333333337</v>
      </c>
      <c r="AJ48" s="39">
        <f t="shared" ref="AJ48" si="56">AJ47*$H$1*$H$2</f>
        <v>56.81818181818182</v>
      </c>
      <c r="AK48" s="38">
        <f t="shared" ref="AK48" si="57">AK47*$H$1*$H$2</f>
        <v>0.83333333333333337</v>
      </c>
      <c r="AL48" s="39">
        <f t="shared" ref="AL48" si="58">AL47*$H$1*$H$2</f>
        <v>56.81818181818182</v>
      </c>
      <c r="AM48" s="38">
        <f t="shared" ref="AM48" si="59">AM47*$H$1*$H$2</f>
        <v>250</v>
      </c>
      <c r="AN48" s="39">
        <f>AN47*$H$1*$H$2</f>
        <v>56.81818181818182</v>
      </c>
      <c r="AO48" s="38">
        <f>AO47*$H$1*$H$2</f>
        <v>462.96296296296293</v>
      </c>
      <c r="AP48" s="39">
        <f t="shared" ref="AP48" si="60">AP47*$H$1*$H$2</f>
        <v>56.81818181818182</v>
      </c>
      <c r="AQ48" s="38">
        <f t="shared" ref="AQ48" si="61">AQ47*$H$1*$H$2</f>
        <v>714.28571428571445</v>
      </c>
      <c r="AR48" s="39">
        <f t="shared" ref="AR48" si="62">AR47*$H$1*$H$2</f>
        <v>250</v>
      </c>
      <c r="AS48" s="38">
        <f t="shared" ref="AS48" si="63">AS47*$H$1*$H$2</f>
        <v>462.96296296296293</v>
      </c>
      <c r="AT48" s="39">
        <f t="shared" ref="AT48" si="64">AT47*$H$1*$H$2</f>
        <v>714.28571428571445</v>
      </c>
      <c r="AU48" s="40">
        <f t="shared" ref="AU48" si="65">AU47*$H$1*$H$2</f>
        <v>462.96296296296293</v>
      </c>
    </row>
    <row r="49" spans="2:47" x14ac:dyDescent="0.25">
      <c r="B49" s="68">
        <v>80</v>
      </c>
      <c r="C49" s="10">
        <f t="shared" si="39"/>
        <v>20</v>
      </c>
      <c r="D49" s="10">
        <v>36000</v>
      </c>
      <c r="E49">
        <f t="shared" si="40"/>
        <v>2.7777777777777779E-5</v>
      </c>
      <c r="F49" s="67">
        <f t="shared" si="41"/>
        <v>1.388888888888889E-5</v>
      </c>
      <c r="G49">
        <f t="shared" si="42"/>
        <v>1.3888888888888889E-4</v>
      </c>
      <c r="H49">
        <f t="shared" si="43"/>
        <v>34.722222222222221</v>
      </c>
      <c r="J49" s="27" t="s">
        <v>80</v>
      </c>
      <c r="K49" s="36">
        <v>20</v>
      </c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8">
        <v>70</v>
      </c>
      <c r="AJ49" s="39">
        <v>100</v>
      </c>
      <c r="AK49" s="38">
        <v>75</v>
      </c>
      <c r="AL49" s="39">
        <v>50</v>
      </c>
      <c r="AM49" s="38">
        <v>75</v>
      </c>
      <c r="AN49" s="39">
        <v>25</v>
      </c>
      <c r="AO49" s="38">
        <v>75</v>
      </c>
      <c r="AP49" s="39">
        <v>0</v>
      </c>
      <c r="AQ49" s="38">
        <v>75</v>
      </c>
      <c r="AR49" s="39">
        <v>25</v>
      </c>
      <c r="AS49" s="38">
        <v>50</v>
      </c>
      <c r="AT49" s="39">
        <v>25</v>
      </c>
      <c r="AU49" s="40">
        <v>0</v>
      </c>
    </row>
    <row r="50" spans="2:47" x14ac:dyDescent="0.25">
      <c r="B50" s="10">
        <v>75</v>
      </c>
      <c r="C50" s="10">
        <f t="shared" si="39"/>
        <v>25</v>
      </c>
      <c r="D50" s="10">
        <v>22000</v>
      </c>
      <c r="E50">
        <f t="shared" si="40"/>
        <v>4.5454545454545452E-5</v>
      </c>
      <c r="F50" s="67">
        <f t="shared" si="41"/>
        <v>2.2727272727272726E-5</v>
      </c>
      <c r="G50">
        <f t="shared" si="42"/>
        <v>2.2727272727272727E-4</v>
      </c>
      <c r="H50" s="25">
        <f>G50*$H$2</f>
        <v>56.81818181818182</v>
      </c>
      <c r="J50" s="30" t="s">
        <v>81</v>
      </c>
      <c r="K50" s="36">
        <f>100-K49</f>
        <v>80</v>
      </c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8">
        <f t="shared" ref="AI50:AQ50" si="66">100-AI49</f>
        <v>30</v>
      </c>
      <c r="AJ50" s="39">
        <f t="shared" si="66"/>
        <v>0</v>
      </c>
      <c r="AK50" s="38">
        <f t="shared" si="66"/>
        <v>25</v>
      </c>
      <c r="AL50" s="39">
        <f t="shared" si="66"/>
        <v>50</v>
      </c>
      <c r="AM50" s="38">
        <f t="shared" si="66"/>
        <v>25</v>
      </c>
      <c r="AN50" s="39">
        <f t="shared" si="66"/>
        <v>75</v>
      </c>
      <c r="AO50" s="38">
        <f t="shared" si="66"/>
        <v>25</v>
      </c>
      <c r="AP50" s="39">
        <f t="shared" si="66"/>
        <v>100</v>
      </c>
      <c r="AQ50" s="38">
        <f t="shared" si="66"/>
        <v>25</v>
      </c>
      <c r="AR50" s="39">
        <f t="shared" ref="AR50:AS50" si="67">100-AR49</f>
        <v>75</v>
      </c>
      <c r="AS50" s="38">
        <f t="shared" si="67"/>
        <v>50</v>
      </c>
      <c r="AT50" s="39">
        <f t="shared" ref="AT50" si="68">100-AT49</f>
        <v>75</v>
      </c>
      <c r="AU50" s="40">
        <f t="shared" ref="AU50" si="69">100-AU49</f>
        <v>100</v>
      </c>
    </row>
    <row r="51" spans="2:47" x14ac:dyDescent="0.25">
      <c r="B51" s="68">
        <v>70</v>
      </c>
      <c r="C51" s="10">
        <f t="shared" si="39"/>
        <v>30</v>
      </c>
      <c r="D51" s="10">
        <v>15000</v>
      </c>
      <c r="E51">
        <f t="shared" si="40"/>
        <v>6.666666666666667E-5</v>
      </c>
      <c r="F51" s="67">
        <f t="shared" si="41"/>
        <v>3.3333333333333335E-5</v>
      </c>
      <c r="G51">
        <f t="shared" si="42"/>
        <v>3.3333333333333338E-4</v>
      </c>
      <c r="H51">
        <f t="shared" si="43"/>
        <v>83.333333333333343</v>
      </c>
      <c r="J51" s="30" t="s">
        <v>84</v>
      </c>
      <c r="K51" s="36">
        <f>D61</f>
        <v>2400</v>
      </c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8">
        <v>15000</v>
      </c>
      <c r="AJ51" s="39">
        <v>1500000</v>
      </c>
      <c r="AK51" s="38">
        <v>22000</v>
      </c>
      <c r="AL51" s="39">
        <v>5000</v>
      </c>
      <c r="AM51" s="38">
        <v>22000</v>
      </c>
      <c r="AN51" s="39">
        <v>2700</v>
      </c>
      <c r="AO51" s="38">
        <v>22000</v>
      </c>
      <c r="AP51" s="39">
        <v>1750</v>
      </c>
      <c r="AQ51" s="38">
        <v>22000</v>
      </c>
      <c r="AR51" s="39">
        <v>2700</v>
      </c>
      <c r="AS51" s="38">
        <v>5000</v>
      </c>
      <c r="AT51" s="39">
        <v>2700</v>
      </c>
      <c r="AU51" s="40">
        <v>1750</v>
      </c>
    </row>
    <row r="52" spans="2:47" x14ac:dyDescent="0.25">
      <c r="B52" s="10">
        <v>65</v>
      </c>
      <c r="C52" s="10">
        <f t="shared" si="39"/>
        <v>35</v>
      </c>
      <c r="D52" s="10">
        <v>10500</v>
      </c>
      <c r="E52">
        <f t="shared" si="40"/>
        <v>9.5238095238095241E-5</v>
      </c>
      <c r="F52" s="67">
        <f t="shared" si="41"/>
        <v>4.761904761904762E-5</v>
      </c>
      <c r="G52">
        <f t="shared" si="42"/>
        <v>4.7619047619047619E-4</v>
      </c>
      <c r="H52">
        <f t="shared" si="43"/>
        <v>119.04761904761905</v>
      </c>
      <c r="J52" s="28" t="s">
        <v>82</v>
      </c>
      <c r="K52" s="70">
        <f>0.5/K51</f>
        <v>2.0833333333333335E-4</v>
      </c>
      <c r="L52" s="37" t="e">
        <f t="shared" ref="L52:AI52" si="70">0.5/L51</f>
        <v>#DIV/0!</v>
      </c>
      <c r="M52" s="37" t="e">
        <f t="shared" si="70"/>
        <v>#DIV/0!</v>
      </c>
      <c r="N52" s="37" t="e">
        <f t="shared" si="70"/>
        <v>#DIV/0!</v>
      </c>
      <c r="O52" s="37" t="e">
        <f t="shared" si="70"/>
        <v>#DIV/0!</v>
      </c>
      <c r="P52" s="37" t="e">
        <f t="shared" si="70"/>
        <v>#DIV/0!</v>
      </c>
      <c r="Q52" s="37" t="e">
        <f t="shared" si="70"/>
        <v>#DIV/0!</v>
      </c>
      <c r="R52" s="37" t="e">
        <f t="shared" si="70"/>
        <v>#DIV/0!</v>
      </c>
      <c r="S52" s="37" t="e">
        <f t="shared" si="70"/>
        <v>#DIV/0!</v>
      </c>
      <c r="T52" s="37" t="e">
        <f t="shared" si="70"/>
        <v>#DIV/0!</v>
      </c>
      <c r="U52" s="37" t="e">
        <f t="shared" si="70"/>
        <v>#DIV/0!</v>
      </c>
      <c r="V52" s="37" t="e">
        <f t="shared" si="70"/>
        <v>#DIV/0!</v>
      </c>
      <c r="W52" s="37" t="e">
        <f t="shared" si="70"/>
        <v>#DIV/0!</v>
      </c>
      <c r="X52" s="37" t="e">
        <f t="shared" si="70"/>
        <v>#DIV/0!</v>
      </c>
      <c r="Y52" s="37" t="e">
        <f t="shared" si="70"/>
        <v>#DIV/0!</v>
      </c>
      <c r="Z52" s="37" t="e">
        <f t="shared" si="70"/>
        <v>#DIV/0!</v>
      </c>
      <c r="AA52" s="37" t="e">
        <f t="shared" si="70"/>
        <v>#DIV/0!</v>
      </c>
      <c r="AB52" s="37" t="e">
        <f t="shared" si="70"/>
        <v>#DIV/0!</v>
      </c>
      <c r="AC52" s="37" t="e">
        <f t="shared" si="70"/>
        <v>#DIV/0!</v>
      </c>
      <c r="AD52" s="37" t="e">
        <f t="shared" si="70"/>
        <v>#DIV/0!</v>
      </c>
      <c r="AE52" s="37" t="e">
        <f t="shared" si="70"/>
        <v>#DIV/0!</v>
      </c>
      <c r="AF52" s="37" t="e">
        <f t="shared" si="70"/>
        <v>#DIV/0!</v>
      </c>
      <c r="AG52" s="37" t="e">
        <f t="shared" si="70"/>
        <v>#DIV/0!</v>
      </c>
      <c r="AH52" s="37" t="e">
        <f t="shared" si="70"/>
        <v>#DIV/0!</v>
      </c>
      <c r="AI52" s="71">
        <f t="shared" si="70"/>
        <v>3.3333333333333335E-5</v>
      </c>
      <c r="AJ52" s="39">
        <f t="shared" ref="AJ52" si="71">0.5/AJ51</f>
        <v>3.3333333333333335E-7</v>
      </c>
      <c r="AK52" s="38">
        <f t="shared" ref="AK52" si="72">0.5/AK51</f>
        <v>2.2727272727272726E-5</v>
      </c>
      <c r="AL52" s="39">
        <f t="shared" ref="AL52" si="73">0.5/AL51</f>
        <v>1E-4</v>
      </c>
      <c r="AM52" s="38">
        <f t="shared" ref="AM52" si="74">0.5/AM51</f>
        <v>2.2727272727272726E-5</v>
      </c>
      <c r="AN52" s="39">
        <f>0.5/AN51</f>
        <v>1.8518518518518518E-4</v>
      </c>
      <c r="AO52" s="38">
        <f>0.5/AO51</f>
        <v>2.2727272727272726E-5</v>
      </c>
      <c r="AP52" s="39">
        <f t="shared" ref="AP52" si="75">0.5/AP51</f>
        <v>2.8571428571428574E-4</v>
      </c>
      <c r="AQ52" s="38">
        <f t="shared" ref="AQ52" si="76">0.5/AQ51</f>
        <v>2.2727272727272726E-5</v>
      </c>
      <c r="AR52" s="39">
        <f t="shared" ref="AR52" si="77">0.5/AR51</f>
        <v>1.8518518518518518E-4</v>
      </c>
      <c r="AS52" s="38">
        <f t="shared" ref="AS52" si="78">0.5/AS51</f>
        <v>1E-4</v>
      </c>
      <c r="AT52" s="39">
        <f t="shared" ref="AT52" si="79">0.5/AT51</f>
        <v>1.8518518518518518E-4</v>
      </c>
      <c r="AU52" s="40">
        <f t="shared" ref="AU52" si="80">0.5/AU51</f>
        <v>2.8571428571428574E-4</v>
      </c>
    </row>
    <row r="53" spans="2:47" ht="15.75" thickBot="1" x14ac:dyDescent="0.3">
      <c r="B53" s="68">
        <v>60</v>
      </c>
      <c r="C53" s="10">
        <f t="shared" si="39"/>
        <v>40</v>
      </c>
      <c r="D53" s="10">
        <v>8000</v>
      </c>
      <c r="E53">
        <f t="shared" si="40"/>
        <v>1.25E-4</v>
      </c>
      <c r="F53" s="67">
        <f t="shared" si="41"/>
        <v>6.2500000000000001E-5</v>
      </c>
      <c r="G53">
        <f t="shared" si="42"/>
        <v>6.2500000000000001E-4</v>
      </c>
      <c r="H53">
        <f t="shared" si="43"/>
        <v>156.25</v>
      </c>
      <c r="J53" s="29" t="s">
        <v>83</v>
      </c>
      <c r="K53" s="41">
        <f>K52*$H$1*$H$2</f>
        <v>520.83333333333337</v>
      </c>
      <c r="L53" s="42" t="e">
        <f t="shared" ref="L53:AI53" si="81">L52*$H$1*$H$2</f>
        <v>#DIV/0!</v>
      </c>
      <c r="M53" s="42" t="e">
        <f t="shared" si="81"/>
        <v>#DIV/0!</v>
      </c>
      <c r="N53" s="42" t="e">
        <f t="shared" si="81"/>
        <v>#DIV/0!</v>
      </c>
      <c r="O53" s="42" t="e">
        <f t="shared" si="81"/>
        <v>#DIV/0!</v>
      </c>
      <c r="P53" s="42" t="e">
        <f t="shared" si="81"/>
        <v>#DIV/0!</v>
      </c>
      <c r="Q53" s="42" t="e">
        <f t="shared" si="81"/>
        <v>#DIV/0!</v>
      </c>
      <c r="R53" s="42" t="e">
        <f t="shared" si="81"/>
        <v>#DIV/0!</v>
      </c>
      <c r="S53" s="42" t="e">
        <f t="shared" si="81"/>
        <v>#DIV/0!</v>
      </c>
      <c r="T53" s="42" t="e">
        <f t="shared" si="81"/>
        <v>#DIV/0!</v>
      </c>
      <c r="U53" s="42" t="e">
        <f t="shared" si="81"/>
        <v>#DIV/0!</v>
      </c>
      <c r="V53" s="42" t="e">
        <f t="shared" si="81"/>
        <v>#DIV/0!</v>
      </c>
      <c r="W53" s="42" t="e">
        <f t="shared" si="81"/>
        <v>#DIV/0!</v>
      </c>
      <c r="X53" s="42" t="e">
        <f t="shared" si="81"/>
        <v>#DIV/0!</v>
      </c>
      <c r="Y53" s="42" t="e">
        <f t="shared" si="81"/>
        <v>#DIV/0!</v>
      </c>
      <c r="Z53" s="42" t="e">
        <f t="shared" si="81"/>
        <v>#DIV/0!</v>
      </c>
      <c r="AA53" s="42" t="e">
        <f t="shared" si="81"/>
        <v>#DIV/0!</v>
      </c>
      <c r="AB53" s="42" t="e">
        <f t="shared" si="81"/>
        <v>#DIV/0!</v>
      </c>
      <c r="AC53" s="42" t="e">
        <f t="shared" si="81"/>
        <v>#DIV/0!</v>
      </c>
      <c r="AD53" s="42" t="e">
        <f t="shared" si="81"/>
        <v>#DIV/0!</v>
      </c>
      <c r="AE53" s="42" t="e">
        <f t="shared" si="81"/>
        <v>#DIV/0!</v>
      </c>
      <c r="AF53" s="42" t="e">
        <f t="shared" si="81"/>
        <v>#DIV/0!</v>
      </c>
      <c r="AG53" s="42" t="e">
        <f t="shared" si="81"/>
        <v>#DIV/0!</v>
      </c>
      <c r="AH53" s="42" t="e">
        <f t="shared" si="81"/>
        <v>#DIV/0!</v>
      </c>
      <c r="AI53" s="43">
        <f t="shared" si="81"/>
        <v>83.333333333333343</v>
      </c>
      <c r="AJ53" s="44">
        <f t="shared" ref="AJ53" si="82">AJ52*$H$1*$H$2</f>
        <v>0.83333333333333337</v>
      </c>
      <c r="AK53" s="43">
        <f t="shared" ref="AK53" si="83">AK52*$H$1*$H$2</f>
        <v>56.81818181818182</v>
      </c>
      <c r="AL53" s="44">
        <f t="shared" ref="AL53" si="84">AL52*$H$1*$H$2</f>
        <v>250</v>
      </c>
      <c r="AM53" s="43">
        <f t="shared" ref="AM53" si="85">AM52*$H$1*$H$2</f>
        <v>56.81818181818182</v>
      </c>
      <c r="AN53" s="44">
        <f>AN52*$H$1*$H$2</f>
        <v>462.96296296296293</v>
      </c>
      <c r="AO53" s="43">
        <f>AO52*$H$1*$H$2</f>
        <v>56.81818181818182</v>
      </c>
      <c r="AP53" s="44">
        <f t="shared" ref="AP53" si="86">AP52*$H$1*$H$2</f>
        <v>714.28571428571445</v>
      </c>
      <c r="AQ53" s="43">
        <f t="shared" ref="AQ53" si="87">AQ52*$H$1*$H$2</f>
        <v>56.81818181818182</v>
      </c>
      <c r="AR53" s="44">
        <f t="shared" ref="AR53" si="88">AR52*$H$1*$H$2</f>
        <v>462.96296296296293</v>
      </c>
      <c r="AS53" s="43">
        <f t="shared" ref="AS53" si="89">AS52*$H$1*$H$2</f>
        <v>250</v>
      </c>
      <c r="AT53" s="44">
        <f t="shared" ref="AT53" si="90">AT52*$H$1*$H$2</f>
        <v>462.96296296296293</v>
      </c>
      <c r="AU53" s="45">
        <f t="shared" ref="AU53" si="91">AU52*$H$1*$H$2</f>
        <v>714.28571428571445</v>
      </c>
    </row>
    <row r="54" spans="2:47" x14ac:dyDescent="0.25">
      <c r="B54" s="10">
        <v>55</v>
      </c>
      <c r="C54" s="10">
        <f t="shared" si="39"/>
        <v>45</v>
      </c>
      <c r="D54" s="10">
        <v>6200</v>
      </c>
      <c r="E54">
        <f t="shared" si="40"/>
        <v>1.6129032258064516E-4</v>
      </c>
      <c r="F54" s="67">
        <f t="shared" si="41"/>
        <v>8.0645161290322581E-5</v>
      </c>
      <c r="G54">
        <f t="shared" si="42"/>
        <v>8.0645161290322581E-4</v>
      </c>
      <c r="H54">
        <f t="shared" si="43"/>
        <v>201.61290322580646</v>
      </c>
      <c r="J54" s="26" t="s">
        <v>92</v>
      </c>
      <c r="K54" s="46">
        <f>K48-K53</f>
        <v>-437.5</v>
      </c>
      <c r="L54" s="46" t="e">
        <f t="shared" ref="L54:AI54" si="92">L48-L53</f>
        <v>#DIV/0!</v>
      </c>
      <c r="M54" s="46" t="e">
        <f t="shared" si="92"/>
        <v>#DIV/0!</v>
      </c>
      <c r="N54" s="46" t="e">
        <f t="shared" si="92"/>
        <v>#DIV/0!</v>
      </c>
      <c r="O54" s="46" t="e">
        <f t="shared" si="92"/>
        <v>#DIV/0!</v>
      </c>
      <c r="P54" s="46" t="e">
        <f t="shared" si="92"/>
        <v>#DIV/0!</v>
      </c>
      <c r="Q54" s="46" t="e">
        <f t="shared" si="92"/>
        <v>#DIV/0!</v>
      </c>
      <c r="R54" s="46" t="e">
        <f t="shared" si="92"/>
        <v>#DIV/0!</v>
      </c>
      <c r="S54" s="46" t="e">
        <f t="shared" si="92"/>
        <v>#DIV/0!</v>
      </c>
      <c r="T54" s="46" t="e">
        <f t="shared" si="92"/>
        <v>#DIV/0!</v>
      </c>
      <c r="U54" s="46" t="e">
        <f t="shared" si="92"/>
        <v>#DIV/0!</v>
      </c>
      <c r="V54" s="46" t="e">
        <f t="shared" si="92"/>
        <v>#DIV/0!</v>
      </c>
      <c r="W54" s="46" t="e">
        <f t="shared" si="92"/>
        <v>#DIV/0!</v>
      </c>
      <c r="X54" s="46" t="e">
        <f t="shared" si="92"/>
        <v>#DIV/0!</v>
      </c>
      <c r="Y54" s="46" t="e">
        <f t="shared" si="92"/>
        <v>#DIV/0!</v>
      </c>
      <c r="Z54" s="46" t="e">
        <f t="shared" si="92"/>
        <v>#DIV/0!</v>
      </c>
      <c r="AA54" s="46" t="e">
        <f t="shared" si="92"/>
        <v>#DIV/0!</v>
      </c>
      <c r="AB54" s="46" t="e">
        <f t="shared" si="92"/>
        <v>#DIV/0!</v>
      </c>
      <c r="AC54" s="46" t="e">
        <f t="shared" si="92"/>
        <v>#DIV/0!</v>
      </c>
      <c r="AD54" s="46" t="e">
        <f t="shared" si="92"/>
        <v>#DIV/0!</v>
      </c>
      <c r="AE54" s="46" t="e">
        <f t="shared" si="92"/>
        <v>#DIV/0!</v>
      </c>
      <c r="AF54" s="46" t="e">
        <f t="shared" si="92"/>
        <v>#DIV/0!</v>
      </c>
      <c r="AG54" s="46" t="e">
        <f t="shared" si="92"/>
        <v>#DIV/0!</v>
      </c>
      <c r="AH54" s="46" t="e">
        <f t="shared" si="92"/>
        <v>#DIV/0!</v>
      </c>
      <c r="AI54" s="46">
        <f t="shared" si="92"/>
        <v>437.5</v>
      </c>
      <c r="AJ54" s="46">
        <f t="shared" ref="AJ54" si="93">AJ48-AJ53</f>
        <v>55.984848484848484</v>
      </c>
      <c r="AK54" s="46">
        <f t="shared" ref="AK54" si="94">AK48-AK53</f>
        <v>-55.984848484848484</v>
      </c>
      <c r="AL54" s="46">
        <f t="shared" ref="AL54" si="95">AL48-AL53</f>
        <v>-193.18181818181819</v>
      </c>
      <c r="AM54" s="46">
        <f t="shared" ref="AM54" si="96">AM48-AM53</f>
        <v>193.18181818181819</v>
      </c>
      <c r="AN54" s="46">
        <f>AN48-AN53</f>
        <v>-406.14478114478112</v>
      </c>
      <c r="AO54" s="46">
        <f>AO48-AO53</f>
        <v>406.14478114478112</v>
      </c>
      <c r="AP54" s="46">
        <f t="shared" ref="AP54" si="97">AP48-AP53</f>
        <v>-657.46753246753258</v>
      </c>
      <c r="AQ54" s="46">
        <f t="shared" ref="AQ54" si="98">AQ48-AQ53</f>
        <v>657.46753246753258</v>
      </c>
      <c r="AR54" s="46">
        <f t="shared" ref="AR54" si="99">AR48-AR53</f>
        <v>-212.96296296296293</v>
      </c>
      <c r="AS54" s="46">
        <f t="shared" ref="AS54" si="100">AS48-AS53</f>
        <v>212.96296296296293</v>
      </c>
      <c r="AT54" s="46">
        <f t="shared" ref="AT54" si="101">AT48-AT53</f>
        <v>251.32275132275151</v>
      </c>
      <c r="AU54" s="46">
        <f t="shared" ref="AU54" si="102">AU48-AU53</f>
        <v>-251.32275132275151</v>
      </c>
    </row>
    <row r="55" spans="2:47" x14ac:dyDescent="0.25">
      <c r="B55" s="68">
        <v>50</v>
      </c>
      <c r="C55" s="10">
        <f t="shared" si="39"/>
        <v>50</v>
      </c>
      <c r="D55" s="10">
        <v>5000</v>
      </c>
      <c r="E55">
        <f t="shared" si="40"/>
        <v>2.0000000000000001E-4</v>
      </c>
      <c r="F55" s="67">
        <f t="shared" si="41"/>
        <v>1E-4</v>
      </c>
      <c r="G55">
        <f t="shared" si="42"/>
        <v>1E-3</v>
      </c>
      <c r="H55" s="25">
        <f t="shared" si="43"/>
        <v>250</v>
      </c>
    </row>
    <row r="56" spans="2:47" x14ac:dyDescent="0.25">
      <c r="B56" s="10">
        <v>45</v>
      </c>
      <c r="C56" s="10">
        <f t="shared" si="39"/>
        <v>55</v>
      </c>
      <c r="D56" s="10">
        <v>4400</v>
      </c>
      <c r="E56">
        <f t="shared" si="40"/>
        <v>2.2727272727272727E-4</v>
      </c>
      <c r="F56" s="67">
        <f t="shared" si="41"/>
        <v>1.1363636363636364E-4</v>
      </c>
      <c r="G56">
        <f t="shared" si="42"/>
        <v>1.1363636363636363E-3</v>
      </c>
      <c r="H56">
        <f t="shared" si="43"/>
        <v>284.09090909090907</v>
      </c>
    </row>
    <row r="57" spans="2:47" x14ac:dyDescent="0.25">
      <c r="B57" s="68">
        <v>40</v>
      </c>
      <c r="C57" s="10">
        <f t="shared" si="39"/>
        <v>60</v>
      </c>
      <c r="D57" s="10">
        <v>3800</v>
      </c>
      <c r="E57">
        <f t="shared" si="40"/>
        <v>2.631578947368421E-4</v>
      </c>
      <c r="F57" s="67">
        <f t="shared" si="41"/>
        <v>1.3157894736842105E-4</v>
      </c>
      <c r="G57">
        <f t="shared" si="42"/>
        <v>1.3157894736842105E-3</v>
      </c>
      <c r="H57">
        <f t="shared" si="43"/>
        <v>328.9473684210526</v>
      </c>
    </row>
    <row r="58" spans="2:47" x14ac:dyDescent="0.25">
      <c r="B58" s="10">
        <v>35</v>
      </c>
      <c r="C58" s="10">
        <f t="shared" si="39"/>
        <v>65</v>
      </c>
      <c r="D58" s="10">
        <v>3400</v>
      </c>
      <c r="E58">
        <f t="shared" si="40"/>
        <v>2.941176470588235E-4</v>
      </c>
      <c r="F58" s="67">
        <f t="shared" si="41"/>
        <v>1.4705882352941175E-4</v>
      </c>
      <c r="G58">
        <f t="shared" si="42"/>
        <v>1.4705882352941176E-3</v>
      </c>
      <c r="H58">
        <f t="shared" si="43"/>
        <v>367.64705882352939</v>
      </c>
    </row>
    <row r="59" spans="2:47" x14ac:dyDescent="0.25">
      <c r="B59" s="68">
        <v>30</v>
      </c>
      <c r="C59" s="10">
        <f t="shared" si="39"/>
        <v>70</v>
      </c>
      <c r="D59" s="10">
        <v>3000</v>
      </c>
      <c r="E59">
        <f t="shared" si="40"/>
        <v>3.3333333333333332E-4</v>
      </c>
      <c r="F59" s="67">
        <f t="shared" si="41"/>
        <v>1.6666666666666666E-4</v>
      </c>
      <c r="G59">
        <f t="shared" si="42"/>
        <v>1.6666666666666666E-3</v>
      </c>
      <c r="H59">
        <f t="shared" si="43"/>
        <v>416.66666666666663</v>
      </c>
    </row>
    <row r="60" spans="2:47" x14ac:dyDescent="0.25">
      <c r="B60" s="10">
        <v>25</v>
      </c>
      <c r="C60" s="10">
        <f t="shared" si="39"/>
        <v>75</v>
      </c>
      <c r="D60" s="10">
        <v>2700</v>
      </c>
      <c r="E60">
        <f t="shared" si="40"/>
        <v>3.7037037037037035E-4</v>
      </c>
      <c r="F60" s="67">
        <f t="shared" si="41"/>
        <v>1.8518518518518518E-4</v>
      </c>
      <c r="G60">
        <f t="shared" si="42"/>
        <v>1.8518518518518517E-3</v>
      </c>
      <c r="H60" s="25">
        <f t="shared" si="43"/>
        <v>462.96296296296293</v>
      </c>
      <c r="J60" s="69">
        <f>0.05*ABS(1/D51-1/D61)*10</f>
        <v>1.7500000000000003E-4</v>
      </c>
    </row>
    <row r="61" spans="2:47" x14ac:dyDescent="0.25">
      <c r="B61" s="68">
        <v>20</v>
      </c>
      <c r="C61" s="10">
        <f t="shared" si="39"/>
        <v>80</v>
      </c>
      <c r="D61" s="10">
        <v>2400</v>
      </c>
      <c r="E61">
        <f t="shared" si="40"/>
        <v>4.1666666666666669E-4</v>
      </c>
      <c r="F61" s="67">
        <f t="shared" si="41"/>
        <v>2.0833333333333335E-4</v>
      </c>
      <c r="G61">
        <f t="shared" si="42"/>
        <v>2.0833333333333333E-3</v>
      </c>
      <c r="H61">
        <f t="shared" si="43"/>
        <v>520.83333333333337</v>
      </c>
    </row>
    <row r="62" spans="2:47" x14ac:dyDescent="0.25">
      <c r="B62" s="10">
        <v>15</v>
      </c>
      <c r="C62" s="10">
        <f t="shared" si="39"/>
        <v>85</v>
      </c>
      <c r="D62" s="10">
        <v>2100</v>
      </c>
      <c r="E62">
        <f t="shared" si="40"/>
        <v>4.7619047619047619E-4</v>
      </c>
      <c r="F62" s="67">
        <f t="shared" si="41"/>
        <v>2.380952380952381E-4</v>
      </c>
      <c r="G62">
        <f t="shared" si="42"/>
        <v>2.3809523809523812E-3</v>
      </c>
      <c r="H62">
        <f t="shared" si="43"/>
        <v>595.2380952380953</v>
      </c>
    </row>
    <row r="63" spans="2:47" x14ac:dyDescent="0.25">
      <c r="B63" s="68">
        <v>10</v>
      </c>
      <c r="C63" s="10">
        <f t="shared" si="39"/>
        <v>90</v>
      </c>
      <c r="D63" s="10">
        <v>1900</v>
      </c>
      <c r="E63">
        <f t="shared" si="40"/>
        <v>5.263157894736842E-4</v>
      </c>
      <c r="F63" s="67">
        <f t="shared" si="41"/>
        <v>2.631578947368421E-4</v>
      </c>
      <c r="G63">
        <f t="shared" si="42"/>
        <v>2.631578947368421E-3</v>
      </c>
      <c r="H63">
        <f t="shared" si="43"/>
        <v>657.8947368421052</v>
      </c>
    </row>
    <row r="64" spans="2:47" x14ac:dyDescent="0.25">
      <c r="B64" s="10">
        <v>5</v>
      </c>
      <c r="C64" s="10">
        <f t="shared" si="39"/>
        <v>95</v>
      </c>
      <c r="D64" s="10">
        <v>1800</v>
      </c>
      <c r="E64">
        <f t="shared" si="40"/>
        <v>5.5555555555555556E-4</v>
      </c>
      <c r="F64" s="67">
        <f t="shared" si="41"/>
        <v>2.7777777777777778E-4</v>
      </c>
      <c r="G64">
        <f t="shared" si="42"/>
        <v>2.7777777777777779E-3</v>
      </c>
      <c r="H64">
        <f t="shared" si="43"/>
        <v>694.44444444444446</v>
      </c>
    </row>
    <row r="65" spans="2:22" x14ac:dyDescent="0.25">
      <c r="B65" s="68">
        <v>0</v>
      </c>
      <c r="C65" s="10">
        <f t="shared" si="39"/>
        <v>100</v>
      </c>
      <c r="D65" s="10">
        <v>1750</v>
      </c>
      <c r="E65">
        <f t="shared" si="40"/>
        <v>5.7142857142857147E-4</v>
      </c>
      <c r="F65" s="67">
        <f t="shared" si="41"/>
        <v>2.8571428571428574E-4</v>
      </c>
      <c r="G65">
        <f t="shared" si="42"/>
        <v>2.8571428571428576E-3</v>
      </c>
      <c r="H65" s="25">
        <f t="shared" si="43"/>
        <v>714.28571428571445</v>
      </c>
    </row>
    <row r="67" spans="2:22" x14ac:dyDescent="0.25">
      <c r="B67" s="77" t="s">
        <v>2</v>
      </c>
      <c r="C67" s="77" t="s">
        <v>114</v>
      </c>
      <c r="D67" s="78" t="str">
        <f>E44</f>
        <v>1/N.cycles</v>
      </c>
    </row>
    <row r="68" spans="2:22" x14ac:dyDescent="0.25">
      <c r="B68" s="1">
        <f>B65</f>
        <v>0</v>
      </c>
      <c r="C68" s="1">
        <f>100-B68</f>
        <v>100</v>
      </c>
      <c r="D68" s="76">
        <f>E65</f>
        <v>5.7142857142857147E-4</v>
      </c>
      <c r="E68">
        <f>D68*$H$2</f>
        <v>142.85714285714286</v>
      </c>
    </row>
    <row r="69" spans="2:22" x14ac:dyDescent="0.25">
      <c r="B69" s="73">
        <f>B64</f>
        <v>5</v>
      </c>
      <c r="C69" s="1">
        <f t="shared" ref="C69:C88" si="103">100-B69</f>
        <v>95</v>
      </c>
      <c r="D69" s="74">
        <f>E64</f>
        <v>5.5555555555555556E-4</v>
      </c>
      <c r="E69">
        <f t="shared" ref="E69:E88" si="104">D69*$H$2</f>
        <v>138.88888888888889</v>
      </c>
      <c r="F69" s="73"/>
      <c r="G69" s="10"/>
      <c r="H69" s="10"/>
      <c r="I69" s="10"/>
      <c r="J69" s="10"/>
      <c r="K69" s="10"/>
      <c r="L69" s="24"/>
      <c r="M69" s="10"/>
      <c r="N69" s="47"/>
      <c r="O69" s="10"/>
      <c r="P69" s="47"/>
      <c r="Q69" s="24"/>
      <c r="R69" s="47"/>
      <c r="S69" s="10"/>
      <c r="T69" s="47"/>
      <c r="U69" s="10"/>
      <c r="V69" s="24"/>
    </row>
    <row r="70" spans="2:22" x14ac:dyDescent="0.25">
      <c r="B70" s="1">
        <f>B63</f>
        <v>10</v>
      </c>
      <c r="C70" s="1">
        <f t="shared" si="103"/>
        <v>90</v>
      </c>
      <c r="D70" s="76">
        <f>E63</f>
        <v>5.263157894736842E-4</v>
      </c>
      <c r="E70">
        <f t="shared" si="104"/>
        <v>131.57894736842104</v>
      </c>
      <c r="F70" s="1"/>
    </row>
    <row r="71" spans="2:22" x14ac:dyDescent="0.25">
      <c r="B71" s="10">
        <f>B62</f>
        <v>15</v>
      </c>
      <c r="C71" s="1">
        <f t="shared" si="103"/>
        <v>85</v>
      </c>
      <c r="D71" s="76">
        <f>E62</f>
        <v>4.7619047619047619E-4</v>
      </c>
      <c r="E71">
        <f t="shared" si="104"/>
        <v>119.04761904761905</v>
      </c>
      <c r="F71" s="1"/>
    </row>
    <row r="72" spans="2:22" x14ac:dyDescent="0.25">
      <c r="B72" s="10">
        <f>B61</f>
        <v>20</v>
      </c>
      <c r="C72" s="1">
        <f t="shared" si="103"/>
        <v>80</v>
      </c>
      <c r="D72" s="76">
        <f>E61</f>
        <v>4.1666666666666669E-4</v>
      </c>
      <c r="E72">
        <f t="shared" si="104"/>
        <v>104.16666666666667</v>
      </c>
      <c r="F72" s="1"/>
    </row>
    <row r="73" spans="2:22" x14ac:dyDescent="0.25">
      <c r="B73" s="10">
        <f>B60</f>
        <v>25</v>
      </c>
      <c r="C73" s="1">
        <f t="shared" si="103"/>
        <v>75</v>
      </c>
      <c r="D73" s="76">
        <f>E60</f>
        <v>3.7037037037037035E-4</v>
      </c>
      <c r="E73">
        <f t="shared" si="104"/>
        <v>92.592592592592581</v>
      </c>
      <c r="F73" s="1"/>
    </row>
    <row r="74" spans="2:22" x14ac:dyDescent="0.25">
      <c r="B74" s="10">
        <v>30</v>
      </c>
      <c r="C74" s="1">
        <f t="shared" si="103"/>
        <v>70</v>
      </c>
      <c r="D74" s="76">
        <f>E59</f>
        <v>3.3333333333333332E-4</v>
      </c>
      <c r="E74">
        <f t="shared" si="104"/>
        <v>83.333333333333329</v>
      </c>
      <c r="F74" s="1"/>
    </row>
    <row r="75" spans="2:22" x14ac:dyDescent="0.25">
      <c r="B75" s="10">
        <v>35</v>
      </c>
      <c r="C75" s="1">
        <f t="shared" si="103"/>
        <v>65</v>
      </c>
      <c r="D75" s="76">
        <f>E58</f>
        <v>2.941176470588235E-4</v>
      </c>
      <c r="E75">
        <f t="shared" si="104"/>
        <v>73.52941176470587</v>
      </c>
      <c r="F75" s="1"/>
    </row>
    <row r="76" spans="2:22" x14ac:dyDescent="0.25">
      <c r="B76" s="10">
        <v>40</v>
      </c>
      <c r="C76" s="1">
        <f t="shared" si="103"/>
        <v>60</v>
      </c>
      <c r="D76" s="76">
        <f>E57</f>
        <v>2.631578947368421E-4</v>
      </c>
      <c r="E76">
        <f t="shared" si="104"/>
        <v>65.78947368421052</v>
      </c>
    </row>
    <row r="77" spans="2:22" x14ac:dyDescent="0.25">
      <c r="B77" s="10">
        <v>45</v>
      </c>
      <c r="C77" s="1">
        <f t="shared" si="103"/>
        <v>55</v>
      </c>
      <c r="D77" s="76">
        <f>E56</f>
        <v>2.2727272727272727E-4</v>
      </c>
      <c r="E77">
        <f t="shared" si="104"/>
        <v>56.81818181818182</v>
      </c>
    </row>
    <row r="78" spans="2:22" x14ac:dyDescent="0.25">
      <c r="B78" s="10">
        <v>50</v>
      </c>
      <c r="C78" s="1">
        <f t="shared" si="103"/>
        <v>50</v>
      </c>
      <c r="D78" s="76">
        <f>E55</f>
        <v>2.0000000000000001E-4</v>
      </c>
      <c r="E78">
        <f t="shared" si="104"/>
        <v>50</v>
      </c>
    </row>
    <row r="79" spans="2:22" x14ac:dyDescent="0.25">
      <c r="B79" s="10">
        <v>55</v>
      </c>
      <c r="C79" s="1">
        <f t="shared" si="103"/>
        <v>45</v>
      </c>
      <c r="D79" s="76">
        <f>E54</f>
        <v>1.6129032258064516E-4</v>
      </c>
      <c r="E79">
        <f t="shared" si="104"/>
        <v>40.322580645161288</v>
      </c>
    </row>
    <row r="80" spans="2:22" x14ac:dyDescent="0.25">
      <c r="B80" s="1">
        <v>60</v>
      </c>
      <c r="C80" s="1">
        <f t="shared" si="103"/>
        <v>40</v>
      </c>
      <c r="D80" s="76">
        <f>E53</f>
        <v>1.25E-4</v>
      </c>
      <c r="E80">
        <f t="shared" si="104"/>
        <v>31.25</v>
      </c>
      <c r="F80" s="1"/>
    </row>
    <row r="81" spans="2:6" x14ac:dyDescent="0.25">
      <c r="B81" s="1">
        <v>65</v>
      </c>
      <c r="C81" s="1">
        <f t="shared" si="103"/>
        <v>35</v>
      </c>
      <c r="D81" s="76">
        <f>E52</f>
        <v>9.5238095238095241E-5</v>
      </c>
      <c r="E81">
        <f t="shared" si="104"/>
        <v>23.80952380952381</v>
      </c>
      <c r="F81" s="1"/>
    </row>
    <row r="82" spans="2:6" x14ac:dyDescent="0.25">
      <c r="B82" s="1">
        <v>70</v>
      </c>
      <c r="C82" s="1">
        <f t="shared" si="103"/>
        <v>30</v>
      </c>
      <c r="D82" s="76">
        <f>E51</f>
        <v>6.666666666666667E-5</v>
      </c>
      <c r="E82">
        <f t="shared" si="104"/>
        <v>16.666666666666668</v>
      </c>
      <c r="F82" s="1"/>
    </row>
    <row r="83" spans="2:6" x14ac:dyDescent="0.25">
      <c r="B83" s="1">
        <v>75</v>
      </c>
      <c r="C83" s="1">
        <f t="shared" si="103"/>
        <v>25</v>
      </c>
      <c r="D83" s="76">
        <f>E50</f>
        <v>4.5454545454545452E-5</v>
      </c>
      <c r="E83">
        <f t="shared" si="104"/>
        <v>11.363636363636363</v>
      </c>
    </row>
    <row r="84" spans="2:6" x14ac:dyDescent="0.25">
      <c r="B84" s="1">
        <v>80</v>
      </c>
      <c r="C84" s="1">
        <f t="shared" si="103"/>
        <v>20</v>
      </c>
      <c r="D84" s="76">
        <f>E49</f>
        <v>2.7777777777777779E-5</v>
      </c>
      <c r="E84">
        <f t="shared" si="104"/>
        <v>6.9444444444444446</v>
      </c>
    </row>
    <row r="85" spans="2:6" x14ac:dyDescent="0.25">
      <c r="B85" s="1">
        <v>85</v>
      </c>
      <c r="C85" s="1">
        <f t="shared" si="103"/>
        <v>15</v>
      </c>
      <c r="D85" s="76">
        <f>E48</f>
        <v>1.3333333333333333E-5</v>
      </c>
      <c r="E85">
        <f t="shared" si="104"/>
        <v>3.3333333333333335</v>
      </c>
      <c r="F85" s="1"/>
    </row>
    <row r="86" spans="2:6" x14ac:dyDescent="0.25">
      <c r="B86" s="1">
        <v>90</v>
      </c>
      <c r="C86" s="1">
        <f t="shared" si="103"/>
        <v>10</v>
      </c>
      <c r="D86" s="76">
        <f>E47</f>
        <v>5.5555555555555558E-6</v>
      </c>
      <c r="E86">
        <f t="shared" si="104"/>
        <v>1.3888888888888891</v>
      </c>
      <c r="F86" s="1"/>
    </row>
    <row r="87" spans="2:6" x14ac:dyDescent="0.25">
      <c r="B87" s="1">
        <v>95</v>
      </c>
      <c r="C87" s="1">
        <f t="shared" si="103"/>
        <v>5</v>
      </c>
      <c r="D87" s="76">
        <f>E46</f>
        <v>2.2222222222222221E-6</v>
      </c>
      <c r="E87">
        <f t="shared" si="104"/>
        <v>0.55555555555555547</v>
      </c>
      <c r="F87" s="1"/>
    </row>
    <row r="88" spans="2:6" x14ac:dyDescent="0.25">
      <c r="B88" s="1">
        <v>100</v>
      </c>
      <c r="C88" s="1">
        <f t="shared" si="103"/>
        <v>0</v>
      </c>
      <c r="D88" s="76">
        <f>E45</f>
        <v>6.6666666666666671E-7</v>
      </c>
      <c r="E88">
        <f t="shared" si="104"/>
        <v>0.16666666666666669</v>
      </c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</sheetData>
  <mergeCells count="11">
    <mergeCell ref="B1:E2"/>
    <mergeCell ref="B41:E42"/>
    <mergeCell ref="F4:H4"/>
    <mergeCell ref="L4:N4"/>
    <mergeCell ref="K43:AI43"/>
    <mergeCell ref="AJ43:AK43"/>
    <mergeCell ref="AN43:AO43"/>
    <mergeCell ref="AR43:AS43"/>
    <mergeCell ref="AT43:AU43"/>
    <mergeCell ref="AL43:AM43"/>
    <mergeCell ref="AP43:AQ4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04C4-ACAA-46E6-9B41-EDDCF7611FDD}">
  <dimension ref="A1:Q109"/>
  <sheetViews>
    <sheetView tabSelected="1" topLeftCell="A5" workbookViewId="0">
      <selection activeCell="D22" sqref="D22"/>
    </sheetView>
  </sheetViews>
  <sheetFormatPr defaultRowHeight="15" x14ac:dyDescent="0.25"/>
  <cols>
    <col min="3" max="5" width="17.28515625" bestFit="1" customWidth="1"/>
    <col min="6" max="6" width="17" customWidth="1"/>
    <col min="7" max="7" width="16.5703125" customWidth="1"/>
    <col min="8" max="8" width="19" customWidth="1"/>
    <col min="9" max="9" width="16.7109375" customWidth="1"/>
  </cols>
  <sheetData>
    <row r="1" spans="1:17" x14ac:dyDescent="0.25">
      <c r="B1" s="94" t="s">
        <v>121</v>
      </c>
      <c r="C1" s="94"/>
      <c r="D1" s="94"/>
      <c r="E1" s="94"/>
      <c r="N1" t="s">
        <v>115</v>
      </c>
      <c r="O1" s="75">
        <v>-8.1849999999999996E-3</v>
      </c>
    </row>
    <row r="2" spans="1:17" s="97" customFormat="1" x14ac:dyDescent="0.25">
      <c r="B2" s="96"/>
      <c r="C2" s="96" t="s">
        <v>127</v>
      </c>
      <c r="D2" s="96" t="s">
        <v>128</v>
      </c>
      <c r="E2" s="96" t="s">
        <v>129</v>
      </c>
      <c r="O2" s="98"/>
    </row>
    <row r="3" spans="1:17" ht="18" x14ac:dyDescent="0.35">
      <c r="B3" s="99" t="s">
        <v>124</v>
      </c>
      <c r="C3">
        <v>4901</v>
      </c>
      <c r="D3">
        <v>3832</v>
      </c>
      <c r="E3">
        <v>3142</v>
      </c>
      <c r="N3" t="s">
        <v>116</v>
      </c>
      <c r="O3" s="75">
        <v>1.0660000000000001</v>
      </c>
    </row>
    <row r="4" spans="1:17" ht="18" x14ac:dyDescent="0.35">
      <c r="B4" s="99" t="s">
        <v>125</v>
      </c>
      <c r="C4">
        <v>1.98</v>
      </c>
      <c r="D4">
        <v>0.68</v>
      </c>
      <c r="E4">
        <v>1.6</v>
      </c>
      <c r="O4" s="75"/>
    </row>
    <row r="5" spans="1:17" ht="18" x14ac:dyDescent="0.35">
      <c r="B5" s="99" t="s">
        <v>126</v>
      </c>
      <c r="C5">
        <v>1.6E-2</v>
      </c>
      <c r="D5">
        <v>1.64</v>
      </c>
      <c r="E5">
        <v>8.7000000000000001E-5</v>
      </c>
    </row>
    <row r="6" spans="1:17" x14ac:dyDescent="0.25">
      <c r="B6" s="99"/>
    </row>
    <row r="7" spans="1:17" x14ac:dyDescent="0.25">
      <c r="D7" s="100" t="s">
        <v>127</v>
      </c>
      <c r="E7" s="101"/>
      <c r="F7" s="100" t="s">
        <v>128</v>
      </c>
      <c r="G7" s="101"/>
      <c r="H7" s="100" t="s">
        <v>129</v>
      </c>
      <c r="I7" s="101"/>
      <c r="N7" t="s">
        <v>117</v>
      </c>
      <c r="O7" t="s">
        <v>118</v>
      </c>
      <c r="P7" t="s">
        <v>119</v>
      </c>
      <c r="Q7" t="s">
        <v>120</v>
      </c>
    </row>
    <row r="8" spans="1:17" x14ac:dyDescent="0.25">
      <c r="B8" s="3" t="s">
        <v>122</v>
      </c>
      <c r="C8" s="3" t="s">
        <v>0</v>
      </c>
      <c r="D8" s="102" t="s">
        <v>117</v>
      </c>
      <c r="E8" s="103" t="s">
        <v>123</v>
      </c>
      <c r="F8" s="104" t="s">
        <v>117</v>
      </c>
      <c r="G8" s="105" t="s">
        <v>123</v>
      </c>
      <c r="H8" s="104" t="s">
        <v>117</v>
      </c>
      <c r="I8" s="105" t="s">
        <v>123</v>
      </c>
      <c r="N8">
        <v>100</v>
      </c>
      <c r="O8">
        <f>($O$1*N8^0.5+$O$3)*10</f>
        <v>9.8414999999999999</v>
      </c>
      <c r="P8">
        <f>($O$1*N8^0.5+$O$3)*12</f>
        <v>11.809800000000001</v>
      </c>
      <c r="Q8">
        <f>($O$1*N8^0.5+$O$3)*14</f>
        <v>13.778100000000002</v>
      </c>
    </row>
    <row r="9" spans="1:17" x14ac:dyDescent="0.25">
      <c r="A9" s="95">
        <v>0</v>
      </c>
      <c r="B9">
        <v>0</v>
      </c>
      <c r="C9">
        <f>1-B9</f>
        <v>1</v>
      </c>
      <c r="D9" s="106">
        <f>$C$3*$C9^(-$C$4)*EXP($C$5*$B9)</f>
        <v>4901</v>
      </c>
      <c r="E9" s="103">
        <f>1/D9</f>
        <v>2.0403999183840033E-4</v>
      </c>
      <c r="F9" s="106">
        <f>$D$3*$C9^(-$D$4)*EXP($D$5*$B9)</f>
        <v>3832</v>
      </c>
      <c r="G9" s="54">
        <f>1/F9</f>
        <v>2.6096033402922753E-4</v>
      </c>
      <c r="H9" s="53">
        <f>$E$3*$C9^(-$E$4)*EXP($E$5*$B9)</f>
        <v>3142</v>
      </c>
      <c r="I9" s="54">
        <f>1/H9</f>
        <v>3.1826861871419476E-4</v>
      </c>
    </row>
    <row r="10" spans="1:17" x14ac:dyDescent="0.25">
      <c r="A10">
        <v>1</v>
      </c>
      <c r="B10">
        <f>A10/100</f>
        <v>0.01</v>
      </c>
      <c r="C10">
        <f t="shared" ref="C10:C73" si="0">1-B10</f>
        <v>0.99</v>
      </c>
      <c r="D10" s="106">
        <f t="shared" ref="D10:D73" si="1">$C$3*$C10^(-$C$4)*EXP($C$5*$B10)</f>
        <v>5000.3051017245425</v>
      </c>
      <c r="E10" s="103">
        <f t="shared" ref="E10:E73" si="2">1/D10</f>
        <v>1.9998779667566936E-4</v>
      </c>
      <c r="F10" s="106">
        <f t="shared" ref="F10:F73" si="3">$D$3*$C10^(-$D$4)*EXP($D$5*$B10)</f>
        <v>3922.0759334586651</v>
      </c>
      <c r="G10" s="54">
        <f t="shared" ref="G10:G73" si="4">1/F10</f>
        <v>2.5496701669367079E-4</v>
      </c>
      <c r="H10" s="53">
        <f t="shared" ref="H10:H73" si="5">$E$3*$C10^(-$E$4)*EXP($E$5*$B10)</f>
        <v>3192.9362474946333</v>
      </c>
      <c r="I10" s="54">
        <f t="shared" ref="I10:I73" si="6">1/H10</f>
        <v>3.1319134567270459E-4</v>
      </c>
      <c r="N10">
        <v>200</v>
      </c>
      <c r="O10">
        <f>($O$1*N10^0.5+$O$3)*10</f>
        <v>9.502466199197622</v>
      </c>
      <c r="P10">
        <f>($O$1*N10^0.5+$O$3)*12</f>
        <v>11.402959439037147</v>
      </c>
      <c r="Q10">
        <f>($O$1*N10^0.5+$O$3)*14</f>
        <v>13.30345267887667</v>
      </c>
    </row>
    <row r="11" spans="1:17" x14ac:dyDescent="0.25">
      <c r="A11">
        <v>2</v>
      </c>
      <c r="B11">
        <f t="shared" ref="B11:B74" si="7">A11/100</f>
        <v>0.02</v>
      </c>
      <c r="C11">
        <f t="shared" si="0"/>
        <v>0.98</v>
      </c>
      <c r="D11" s="106">
        <f t="shared" si="1"/>
        <v>5102.6531319671785</v>
      </c>
      <c r="E11" s="103">
        <f t="shared" si="2"/>
        <v>1.9597648010506239E-4</v>
      </c>
      <c r="F11" s="106">
        <f t="shared" si="3"/>
        <v>4014.5477505210933</v>
      </c>
      <c r="G11" s="54">
        <f t="shared" si="4"/>
        <v>2.4909406043811501E-4</v>
      </c>
      <c r="H11" s="53">
        <f t="shared" si="5"/>
        <v>3245.2280062055688</v>
      </c>
      <c r="I11" s="54">
        <f t="shared" si="6"/>
        <v>3.0814475842307119E-4</v>
      </c>
      <c r="N11">
        <v>300</v>
      </c>
      <c r="O11">
        <f>($O$1*N11^0.5+$O$3)*10</f>
        <v>9.2423164140048737</v>
      </c>
      <c r="P11">
        <f>($O$1*N11^0.5+$O$3)*12</f>
        <v>11.09077969680585</v>
      </c>
      <c r="Q11">
        <f>($O$1*N11^0.5+$O$3)*14</f>
        <v>12.939242979606824</v>
      </c>
    </row>
    <row r="12" spans="1:17" x14ac:dyDescent="0.25">
      <c r="A12">
        <v>3</v>
      </c>
      <c r="B12">
        <f t="shared" si="7"/>
        <v>0.03</v>
      </c>
      <c r="C12">
        <f t="shared" si="0"/>
        <v>0.97</v>
      </c>
      <c r="D12" s="106">
        <f t="shared" si="1"/>
        <v>5208.1697410732977</v>
      </c>
      <c r="E12" s="103">
        <f t="shared" si="2"/>
        <v>1.9200603085450137E-4</v>
      </c>
      <c r="F12" s="106">
        <f t="shared" si="3"/>
        <v>4109.4907725053545</v>
      </c>
      <c r="G12" s="54">
        <f t="shared" si="4"/>
        <v>2.4333915206490393E-4</v>
      </c>
      <c r="H12" s="53">
        <f t="shared" si="5"/>
        <v>3298.9257389025779</v>
      </c>
      <c r="I12" s="54">
        <f t="shared" si="6"/>
        <v>3.0312898171895814E-4</v>
      </c>
      <c r="N12">
        <v>400</v>
      </c>
      <c r="O12">
        <f>($O$1*N12^0.5+$O$3)*10</f>
        <v>9.0230000000000015</v>
      </c>
      <c r="P12">
        <f>($O$1*N12^0.5+$O$3)*12</f>
        <v>10.8276</v>
      </c>
      <c r="Q12">
        <f>($O$1*N12^0.5+$O$3)*14</f>
        <v>12.632200000000001</v>
      </c>
    </row>
    <row r="13" spans="1:17" x14ac:dyDescent="0.25">
      <c r="A13">
        <v>4</v>
      </c>
      <c r="B13">
        <f t="shared" si="7"/>
        <v>0.04</v>
      </c>
      <c r="C13">
        <f t="shared" si="0"/>
        <v>0.96</v>
      </c>
      <c r="D13" s="106">
        <f t="shared" si="1"/>
        <v>5316.987135828168</v>
      </c>
      <c r="E13" s="103">
        <f t="shared" si="2"/>
        <v>1.8807643773699693E-4</v>
      </c>
      <c r="F13" s="106">
        <f t="shared" si="3"/>
        <v>4206.983221566692</v>
      </c>
      <c r="G13" s="54">
        <f t="shared" si="4"/>
        <v>2.3770002097312794E-4</v>
      </c>
      <c r="H13" s="53">
        <f t="shared" si="5"/>
        <v>3354.0823338783557</v>
      </c>
      <c r="I13" s="54">
        <f t="shared" si="6"/>
        <v>2.981441421098602E-4</v>
      </c>
      <c r="N13">
        <v>500</v>
      </c>
      <c r="O13">
        <f>($O$1*N13^0.5+$O$3)*10</f>
        <v>8.8297783604164231</v>
      </c>
      <c r="P13">
        <f>($O$1*N13^0.5+$O$3)*12</f>
        <v>10.595734032499706</v>
      </c>
      <c r="Q13">
        <f>($O$1*N13^0.5+$O$3)*14</f>
        <v>12.361689704582991</v>
      </c>
    </row>
    <row r="14" spans="1:17" x14ac:dyDescent="0.25">
      <c r="A14">
        <v>5</v>
      </c>
      <c r="B14">
        <f t="shared" si="7"/>
        <v>0.05</v>
      </c>
      <c r="C14">
        <f t="shared" si="0"/>
        <v>0.95</v>
      </c>
      <c r="D14" s="106">
        <f t="shared" si="1"/>
        <v>5429.2444945018906</v>
      </c>
      <c r="E14" s="103">
        <f t="shared" si="2"/>
        <v>1.8418768965234187E-4</v>
      </c>
      <c r="F14" s="106">
        <f t="shared" si="3"/>
        <v>4307.1063593195186</v>
      </c>
      <c r="G14" s="54">
        <f t="shared" si="4"/>
        <v>2.321744383758358E-4</v>
      </c>
      <c r="H14" s="53">
        <f t="shared" si="5"/>
        <v>3410.7532483748255</v>
      </c>
      <c r="I14" s="54">
        <f t="shared" si="6"/>
        <v>2.9319036798586517E-4</v>
      </c>
      <c r="N14">
        <v>600</v>
      </c>
      <c r="O14">
        <f>($O$1*N14^0.5+$O$3)*10</f>
        <v>8.655092645531969</v>
      </c>
      <c r="P14">
        <f>($O$1*N14^0.5+$O$3)*12</f>
        <v>10.386111174638364</v>
      </c>
      <c r="Q14">
        <f>($O$1*N14^0.5+$O$3)*14</f>
        <v>12.117129703744759</v>
      </c>
    </row>
    <row r="15" spans="1:17" x14ac:dyDescent="0.25">
      <c r="A15">
        <v>6</v>
      </c>
      <c r="B15">
        <f t="shared" si="7"/>
        <v>0.06</v>
      </c>
      <c r="C15">
        <f t="shared" si="0"/>
        <v>0.94</v>
      </c>
      <c r="D15" s="106">
        <f t="shared" si="1"/>
        <v>5545.0884128846719</v>
      </c>
      <c r="E15" s="103">
        <f t="shared" si="2"/>
        <v>1.8033977558885826E-4</v>
      </c>
      <c r="F15" s="106">
        <f t="shared" si="3"/>
        <v>4409.9446335832399</v>
      </c>
      <c r="G15" s="54">
        <f t="shared" si="4"/>
        <v>2.2676021653076034E-4</v>
      </c>
      <c r="H15" s="53">
        <f t="shared" si="5"/>
        <v>3468.9966621116173</v>
      </c>
      <c r="I15" s="54">
        <f t="shared" si="6"/>
        <v>2.8826778962401443E-4</v>
      </c>
      <c r="N15">
        <v>700</v>
      </c>
      <c r="O15">
        <f>($O$1*N15^0.5+$O$3)*10</f>
        <v>8.4944525518936338</v>
      </c>
      <c r="P15">
        <f>($O$1*N15^0.5+$O$3)*12</f>
        <v>10.19334306227236</v>
      </c>
      <c r="Q15">
        <f>($O$1*N15^0.5+$O$3)*14</f>
        <v>11.892233572651087</v>
      </c>
    </row>
    <row r="16" spans="1:17" x14ac:dyDescent="0.25">
      <c r="A16">
        <v>7</v>
      </c>
      <c r="B16">
        <f t="shared" si="7"/>
        <v>7.0000000000000007E-2</v>
      </c>
      <c r="C16">
        <f t="shared" si="0"/>
        <v>0.92999999999999994</v>
      </c>
      <c r="D16" s="106">
        <f t="shared" si="1"/>
        <v>5664.673383986149</v>
      </c>
      <c r="E16" s="103">
        <f t="shared" si="2"/>
        <v>1.7653268462520152E-4</v>
      </c>
      <c r="F16" s="106">
        <f t="shared" si="3"/>
        <v>4515.5858338220978</v>
      </c>
      <c r="G16" s="54">
        <f t="shared" si="4"/>
        <v>2.2145520798429305E-4</v>
      </c>
      <c r="H16" s="53">
        <f t="shared" si="5"/>
        <v>3528.8736417449468</v>
      </c>
      <c r="I16" s="54">
        <f t="shared" si="6"/>
        <v>2.8337653923633349E-4</v>
      </c>
      <c r="N16">
        <v>800</v>
      </c>
      <c r="O16">
        <f>($O$1*N16^0.5+$O$3)*10</f>
        <v>8.3449323983952439</v>
      </c>
      <c r="P16">
        <f>($O$1*N16^0.5+$O$3)*12</f>
        <v>10.013918878074293</v>
      </c>
      <c r="Q16">
        <f>($O$1*N16^0.5+$O$3)*14</f>
        <v>11.682905357753341</v>
      </c>
    </row>
    <row r="17" spans="1:17" x14ac:dyDescent="0.25">
      <c r="A17">
        <v>8</v>
      </c>
      <c r="B17">
        <f t="shared" si="7"/>
        <v>0.08</v>
      </c>
      <c r="C17">
        <f t="shared" si="0"/>
        <v>0.92</v>
      </c>
      <c r="D17" s="106">
        <f t="shared" si="1"/>
        <v>5788.1623143350434</v>
      </c>
      <c r="E17" s="103">
        <f t="shared" si="2"/>
        <v>1.7276640593222241E-4</v>
      </c>
      <c r="F17" s="106">
        <f t="shared" si="3"/>
        <v>4624.1212558960633</v>
      </c>
      <c r="G17" s="54">
        <f t="shared" si="4"/>
        <v>2.1625730482844352E-4</v>
      </c>
      <c r="H17" s="53">
        <f t="shared" si="5"/>
        <v>3590.4483171627139</v>
      </c>
      <c r="I17" s="54">
        <f t="shared" si="6"/>
        <v>2.7851675101961409E-4</v>
      </c>
      <c r="N17">
        <v>900</v>
      </c>
      <c r="O17">
        <f>($O$1*N17^0.5+$O$3)*10</f>
        <v>8.2045000000000012</v>
      </c>
      <c r="P17">
        <f>($O$1*N17^0.5+$O$3)*12</f>
        <v>9.8454000000000015</v>
      </c>
      <c r="Q17">
        <f>($O$1*N17^0.5+$O$3)*14</f>
        <v>11.486300000000002</v>
      </c>
    </row>
    <row r="18" spans="1:17" x14ac:dyDescent="0.25">
      <c r="A18">
        <v>9</v>
      </c>
      <c r="B18">
        <f t="shared" si="7"/>
        <v>0.09</v>
      </c>
      <c r="C18">
        <f t="shared" si="0"/>
        <v>0.91</v>
      </c>
      <c r="D18" s="106">
        <f t="shared" si="1"/>
        <v>5915.7270801066406</v>
      </c>
      <c r="E18" s="103">
        <f t="shared" si="2"/>
        <v>1.6904092877489092E-4</v>
      </c>
      <c r="F18" s="106">
        <f t="shared" si="3"/>
        <v>4735.6458767910099</v>
      </c>
      <c r="G18" s="54">
        <f t="shared" si="4"/>
        <v>2.1116443797052339E-4</v>
      </c>
      <c r="H18" s="53">
        <f t="shared" si="5"/>
        <v>3653.788070607583</v>
      </c>
      <c r="I18" s="54">
        <f t="shared" si="6"/>
        <v>2.7368856120703013E-4</v>
      </c>
      <c r="N18">
        <v>1000</v>
      </c>
      <c r="O18">
        <f>($O$1*N18^0.5+$O$3)*10</f>
        <v>8.0716757351521817</v>
      </c>
      <c r="P18">
        <f>($O$1*N18^0.5+$O$3)*12</f>
        <v>9.6860108821826181</v>
      </c>
      <c r="Q18">
        <f>($O$1*N18^0.5+$O$3)*14</f>
        <v>11.300346029213054</v>
      </c>
    </row>
    <row r="19" spans="1:17" x14ac:dyDescent="0.25">
      <c r="A19">
        <v>10</v>
      </c>
      <c r="B19">
        <f t="shared" si="7"/>
        <v>0.1</v>
      </c>
      <c r="C19">
        <f t="shared" si="0"/>
        <v>0.9</v>
      </c>
      <c r="D19" s="106">
        <f t="shared" si="1"/>
        <v>6047.5491266295294</v>
      </c>
      <c r="E19" s="103">
        <f t="shared" si="2"/>
        <v>1.653562425142842E-4</v>
      </c>
      <c r="F19" s="106">
        <f t="shared" si="3"/>
        <v>4850.2585400525204</v>
      </c>
      <c r="G19" s="54">
        <f t="shared" si="4"/>
        <v>2.0617457641529591E-4</v>
      </c>
      <c r="H19" s="53">
        <f t="shared" si="5"/>
        <v>3718.9637397148554</v>
      </c>
      <c r="I19" s="54">
        <f t="shared" si="6"/>
        <v>2.6889210812167618E-4</v>
      </c>
      <c r="N19">
        <v>1200</v>
      </c>
      <c r="O19">
        <f>($O$1*N19^0.5+$O$3)*10</f>
        <v>7.8246328280097472</v>
      </c>
      <c r="P19">
        <f>($O$1*N19^0.5+$O$3)*12</f>
        <v>9.3895593936116981</v>
      </c>
      <c r="Q19">
        <f>($O$1*N19^0.5+$O$3)*14</f>
        <v>10.954485959213647</v>
      </c>
    </row>
    <row r="20" spans="1:17" x14ac:dyDescent="0.25">
      <c r="A20">
        <v>11</v>
      </c>
      <c r="B20">
        <f t="shared" si="7"/>
        <v>0.11</v>
      </c>
      <c r="C20">
        <f t="shared" si="0"/>
        <v>0.89</v>
      </c>
      <c r="D20" s="106">
        <f t="shared" si="1"/>
        <v>6183.8201151833528</v>
      </c>
      <c r="E20" s="103">
        <f t="shared" si="2"/>
        <v>1.6171233660964112E-4</v>
      </c>
      <c r="F20" s="106">
        <f t="shared" si="3"/>
        <v>4968.0621527091907</v>
      </c>
      <c r="G20" s="54">
        <f t="shared" si="4"/>
        <v>2.0128572655933431E-4</v>
      </c>
      <c r="H20" s="53">
        <f t="shared" si="5"/>
        <v>3786.0498356573316</v>
      </c>
      <c r="I20" s="54">
        <f t="shared" si="6"/>
        <v>2.6412753223212145E-4</v>
      </c>
      <c r="N20">
        <v>1400</v>
      </c>
      <c r="O20">
        <f>($O$1*N20^0.5+$O$3)*10</f>
        <v>7.5974534289255296</v>
      </c>
      <c r="P20">
        <f>($O$1*N20^0.5+$O$3)*12</f>
        <v>9.116944114710634</v>
      </c>
      <c r="Q20">
        <f>($O$1*N20^0.5+$O$3)*14</f>
        <v>10.63643480049574</v>
      </c>
    </row>
    <row r="21" spans="1:17" x14ac:dyDescent="0.25">
      <c r="A21">
        <v>12</v>
      </c>
      <c r="B21">
        <f t="shared" si="7"/>
        <v>0.12</v>
      </c>
      <c r="C21">
        <f t="shared" si="0"/>
        <v>0.88</v>
      </c>
      <c r="D21" s="106">
        <f t="shared" si="1"/>
        <v>6324.7426214007974</v>
      </c>
      <c r="E21" s="103">
        <f t="shared" si="2"/>
        <v>1.5810920062048645E-4</v>
      </c>
      <c r="F21" s="106">
        <f t="shared" si="3"/>
        <v>5089.1638945387576</v>
      </c>
      <c r="G21" s="54">
        <f t="shared" si="4"/>
        <v>1.9649593149733533E-4</v>
      </c>
      <c r="H21" s="53">
        <f t="shared" si="5"/>
        <v>3855.1247777062299</v>
      </c>
      <c r="I21" s="54">
        <f t="shared" si="6"/>
        <v>2.5939497621008068E-4</v>
      </c>
      <c r="N21">
        <v>1600</v>
      </c>
      <c r="O21">
        <f>($O$1*N21^0.5+$O$3)*10</f>
        <v>7.386000000000001</v>
      </c>
      <c r="P21">
        <f>($O$1*N21^0.5+$O$3)*12</f>
        <v>8.8632000000000026</v>
      </c>
      <c r="Q21">
        <f>($O$1*N21^0.5+$O$3)*14</f>
        <v>10.340400000000002</v>
      </c>
    </row>
    <row r="22" spans="1:17" x14ac:dyDescent="0.25">
      <c r="A22">
        <v>13</v>
      </c>
      <c r="B22">
        <f t="shared" si="7"/>
        <v>0.13</v>
      </c>
      <c r="C22">
        <f t="shared" si="0"/>
        <v>0.87</v>
      </c>
      <c r="D22" s="106">
        <f t="shared" si="1"/>
        <v>6470.5308900347636</v>
      </c>
      <c r="E22" s="103">
        <f t="shared" si="2"/>
        <v>1.5454682420882893E-4</v>
      </c>
      <c r="F22" s="106">
        <f t="shared" si="3"/>
        <v>5213.6754406045957</v>
      </c>
      <c r="G22" s="54">
        <f t="shared" si="4"/>
        <v>1.918032703401339E-4</v>
      </c>
      <c r="H22" s="53">
        <f t="shared" si="5"/>
        <v>3926.2711456471279</v>
      </c>
      <c r="I22" s="54">
        <f t="shared" si="6"/>
        <v>2.5469458499030384E-4</v>
      </c>
      <c r="N22">
        <v>1800</v>
      </c>
      <c r="O22">
        <f>($O$1*N22^0.5+$O$3)*10</f>
        <v>7.1873985975928658</v>
      </c>
      <c r="P22">
        <f>($O$1*N22^0.5+$O$3)*12</f>
        <v>8.6248783171114383</v>
      </c>
      <c r="Q22">
        <f>($O$1*N22^0.5+$O$3)*14</f>
        <v>10.062358036630012</v>
      </c>
    </row>
    <row r="23" spans="1:17" x14ac:dyDescent="0.25">
      <c r="A23">
        <v>14</v>
      </c>
      <c r="B23">
        <f t="shared" si="7"/>
        <v>0.14000000000000001</v>
      </c>
      <c r="C23">
        <f t="shared" si="0"/>
        <v>0.86</v>
      </c>
      <c r="D23" s="106">
        <f t="shared" si="1"/>
        <v>6621.4116513518011</v>
      </c>
      <c r="E23" s="103">
        <f t="shared" si="2"/>
        <v>1.5102519714143493E-4</v>
      </c>
      <c r="F23" s="106">
        <f t="shared" si="3"/>
        <v>5341.7131980716167</v>
      </c>
      <c r="G23" s="54">
        <f t="shared" si="4"/>
        <v>1.8720585754416854E-4</v>
      </c>
      <c r="H23" s="53">
        <f t="shared" si="5"/>
        <v>3999.5759516342073</v>
      </c>
      <c r="I23" s="54">
        <f t="shared" si="6"/>
        <v>2.5002650583280081E-4</v>
      </c>
      <c r="N23">
        <v>2000</v>
      </c>
      <c r="O23">
        <f>($O$1*N23^0.5+$O$3)*10</f>
        <v>6.9995567208328442</v>
      </c>
      <c r="P23">
        <f>($O$1*N23^0.5+$O$3)*12</f>
        <v>8.3994680649994145</v>
      </c>
      <c r="Q23">
        <f>($O$1*N23^0.5+$O$3)*14</f>
        <v>9.7993794091659829</v>
      </c>
    </row>
    <row r="24" spans="1:17" x14ac:dyDescent="0.25">
      <c r="A24">
        <v>15</v>
      </c>
      <c r="B24">
        <f t="shared" si="7"/>
        <v>0.15</v>
      </c>
      <c r="C24">
        <f t="shared" si="0"/>
        <v>0.85</v>
      </c>
      <c r="D24" s="106">
        <f t="shared" si="1"/>
        <v>6777.6250049718692</v>
      </c>
      <c r="E24" s="103">
        <f t="shared" si="2"/>
        <v>1.4754430929218257E-4</v>
      </c>
      <c r="F24" s="106">
        <f t="shared" si="3"/>
        <v>5473.3985584004522</v>
      </c>
      <c r="G24" s="54">
        <f t="shared" si="4"/>
        <v>1.8270184225214551E-4</v>
      </c>
      <c r="H24" s="53">
        <f t="shared" si="5"/>
        <v>4075.1309332269047</v>
      </c>
      <c r="I24" s="54">
        <f t="shared" si="6"/>
        <v>2.4539088838751666E-4</v>
      </c>
    </row>
    <row r="25" spans="1:17" x14ac:dyDescent="0.25">
      <c r="A25">
        <v>16</v>
      </c>
      <c r="B25">
        <f t="shared" si="7"/>
        <v>0.16</v>
      </c>
      <c r="C25">
        <f t="shared" si="0"/>
        <v>0.84</v>
      </c>
      <c r="D25" s="106">
        <f t="shared" si="1"/>
        <v>6939.4253776004616</v>
      </c>
      <c r="E25" s="103">
        <f t="shared" si="2"/>
        <v>1.4410415064449955E-4</v>
      </c>
      <c r="F25" s="106">
        <f t="shared" si="3"/>
        <v>5608.8581661176968</v>
      </c>
      <c r="G25" s="54">
        <f t="shared" si="4"/>
        <v>1.7828940764465321E-4</v>
      </c>
      <c r="H25" s="53">
        <f t="shared" si="5"/>
        <v>4153.0328695322214</v>
      </c>
      <c r="I25" s="54">
        <f t="shared" si="6"/>
        <v>2.4078788476158519E-4</v>
      </c>
    </row>
    <row r="26" spans="1:17" x14ac:dyDescent="0.25">
      <c r="A26">
        <v>17</v>
      </c>
      <c r="B26">
        <f t="shared" si="7"/>
        <v>0.17</v>
      </c>
      <c r="C26">
        <f t="shared" si="0"/>
        <v>0.83</v>
      </c>
      <c r="D26" s="106">
        <f t="shared" si="1"/>
        <v>7107.0825618007148</v>
      </c>
      <c r="E26" s="103">
        <f t="shared" si="2"/>
        <v>1.4070471129388863E-4</v>
      </c>
      <c r="F26" s="106">
        <f t="shared" si="3"/>
        <v>5748.224205469216</v>
      </c>
      <c r="G26" s="54">
        <f t="shared" si="4"/>
        <v>1.7396677030247673E-4</v>
      </c>
      <c r="H26" s="53">
        <f t="shared" si="5"/>
        <v>4233.3839225759284</v>
      </c>
      <c r="I26" s="54">
        <f t="shared" si="6"/>
        <v>2.36217649589296E-4</v>
      </c>
    </row>
    <row r="27" spans="1:17" x14ac:dyDescent="0.25">
      <c r="A27">
        <v>18</v>
      </c>
      <c r="B27">
        <f t="shared" si="7"/>
        <v>0.18</v>
      </c>
      <c r="C27">
        <f t="shared" si="0"/>
        <v>0.82000000000000006</v>
      </c>
      <c r="D27" s="106">
        <f t="shared" si="1"/>
        <v>7280.8828437406619</v>
      </c>
      <c r="E27" s="103">
        <f t="shared" si="2"/>
        <v>1.3734598145054552E-4</v>
      </c>
      <c r="F27" s="106">
        <f t="shared" si="3"/>
        <v>5891.6347063841213</v>
      </c>
      <c r="G27" s="54">
        <f t="shared" si="4"/>
        <v>1.6973217957936347E-4</v>
      </c>
      <c r="H27" s="53">
        <f t="shared" si="5"/>
        <v>4316.2920062494068</v>
      </c>
      <c r="I27" s="54">
        <f t="shared" si="6"/>
        <v>2.3168034010491768E-4</v>
      </c>
    </row>
    <row r="28" spans="1:17" x14ac:dyDescent="0.25">
      <c r="A28">
        <v>19</v>
      </c>
      <c r="B28">
        <f t="shared" si="7"/>
        <v>0.19</v>
      </c>
      <c r="C28">
        <f t="shared" si="0"/>
        <v>0.81</v>
      </c>
      <c r="D28" s="106">
        <f t="shared" si="1"/>
        <v>7461.1302287359422</v>
      </c>
      <c r="E28" s="103">
        <f t="shared" si="2"/>
        <v>1.3402795144207248E-4</v>
      </c>
      <c r="F28" s="106">
        <f t="shared" si="3"/>
        <v>6039.2338713104145</v>
      </c>
      <c r="G28" s="54">
        <f t="shared" si="4"/>
        <v>1.6558391698498942E-4</v>
      </c>
      <c r="H28" s="53">
        <f t="shared" si="5"/>
        <v>4401.871185428935</v>
      </c>
      <c r="I28" s="54">
        <f t="shared" si="6"/>
        <v>2.2717611621852951E-4</v>
      </c>
    </row>
    <row r="29" spans="1:17" x14ac:dyDescent="0.25">
      <c r="A29">
        <v>20</v>
      </c>
      <c r="B29">
        <f t="shared" si="7"/>
        <v>0.2</v>
      </c>
      <c r="C29">
        <f t="shared" si="0"/>
        <v>0.8</v>
      </c>
      <c r="D29" s="106">
        <f t="shared" si="1"/>
        <v>7648.147774404476</v>
      </c>
      <c r="E29" s="103">
        <f t="shared" si="2"/>
        <v>1.307506117162943E-4</v>
      </c>
      <c r="F29" s="106">
        <f t="shared" si="3"/>
        <v>6191.1724246309814</v>
      </c>
      <c r="G29" s="54">
        <f t="shared" si="4"/>
        <v>1.615202955778774E-4</v>
      </c>
      <c r="H29" s="53">
        <f t="shared" si="5"/>
        <v>4490.2421081443881</v>
      </c>
      <c r="I29" s="54">
        <f t="shared" si="6"/>
        <v>2.2270514059502557E-4</v>
      </c>
    </row>
    <row r="30" spans="1:17" x14ac:dyDescent="0.25">
      <c r="A30">
        <v>21</v>
      </c>
      <c r="B30">
        <f t="shared" si="7"/>
        <v>0.21</v>
      </c>
      <c r="C30">
        <f t="shared" si="0"/>
        <v>0.79</v>
      </c>
      <c r="D30" s="106">
        <f t="shared" si="1"/>
        <v>7842.2790423726019</v>
      </c>
      <c r="E30" s="103">
        <f t="shared" si="2"/>
        <v>1.2751395284417986E-4</v>
      </c>
      <c r="F30" s="106">
        <f t="shared" si="3"/>
        <v>6347.6079865324382</v>
      </c>
      <c r="G30" s="54">
        <f t="shared" si="4"/>
        <v>1.5753965936801312E-4</v>
      </c>
      <c r="H30" s="53">
        <f t="shared" si="5"/>
        <v>4581.532473988721</v>
      </c>
      <c r="I30" s="54">
        <f t="shared" si="6"/>
        <v>2.1826757873646404E-4</v>
      </c>
    </row>
    <row r="31" spans="1:17" x14ac:dyDescent="0.25">
      <c r="A31">
        <v>22</v>
      </c>
      <c r="B31">
        <f t="shared" si="7"/>
        <v>0.22</v>
      </c>
      <c r="C31">
        <f t="shared" si="0"/>
        <v>0.78</v>
      </c>
      <c r="D31" s="106">
        <f t="shared" si="1"/>
        <v>8043.8896807395986</v>
      </c>
      <c r="E31" s="103">
        <f t="shared" si="2"/>
        <v>1.2431796552287558E-4</v>
      </c>
      <c r="F31" s="106">
        <f t="shared" si="3"/>
        <v>6508.7054733810437</v>
      </c>
      <c r="G31" s="54">
        <f t="shared" si="4"/>
        <v>1.536403827289077E-4</v>
      </c>
      <c r="H31" s="53">
        <f t="shared" si="5"/>
        <v>4675.8775423127663</v>
      </c>
      <c r="I31" s="54">
        <f t="shared" si="6"/>
        <v>2.1386359906794812E-4</v>
      </c>
    </row>
    <row r="32" spans="1:17" x14ac:dyDescent="0.25">
      <c r="A32">
        <v>23</v>
      </c>
      <c r="B32">
        <f t="shared" si="7"/>
        <v>0.23</v>
      </c>
      <c r="C32">
        <f t="shared" si="0"/>
        <v>0.77</v>
      </c>
      <c r="D32" s="106">
        <f t="shared" si="1"/>
        <v>8253.3691509402652</v>
      </c>
      <c r="E32" s="103">
        <f t="shared" si="2"/>
        <v>1.2116264057885682E-4</v>
      </c>
      <c r="F32" s="106">
        <f t="shared" si="3"/>
        <v>6674.6375268619959</v>
      </c>
      <c r="G32" s="54">
        <f t="shared" si="4"/>
        <v>1.498208698188497E-4</v>
      </c>
      <c r="H32" s="53">
        <f t="shared" si="5"/>
        <v>4773.4206841473033</v>
      </c>
      <c r="I32" s="54">
        <f t="shared" si="6"/>
        <v>2.0949337302723702E-4</v>
      </c>
    </row>
    <row r="33" spans="1:9" x14ac:dyDescent="0.25">
      <c r="A33">
        <v>24</v>
      </c>
      <c r="B33">
        <f t="shared" si="7"/>
        <v>0.24</v>
      </c>
      <c r="C33">
        <f t="shared" si="0"/>
        <v>0.76</v>
      </c>
      <c r="D33" s="106">
        <f t="shared" si="1"/>
        <v>8471.1326142675716</v>
      </c>
      <c r="E33" s="103">
        <f t="shared" si="2"/>
        <v>1.1804796897120253E-4</v>
      </c>
      <c r="F33" s="106">
        <f t="shared" si="3"/>
        <v>6845.5849743633153</v>
      </c>
      <c r="G33" s="54">
        <f t="shared" si="4"/>
        <v>1.4607955401108825E-4</v>
      </c>
      <c r="H33" s="53">
        <f t="shared" si="5"/>
        <v>4874.3139822421563</v>
      </c>
      <c r="I33" s="54">
        <f t="shared" si="6"/>
        <v>2.0515707515829864E-4</v>
      </c>
    </row>
    <row r="34" spans="1:9" x14ac:dyDescent="0.25">
      <c r="A34">
        <v>25</v>
      </c>
      <c r="B34">
        <f t="shared" si="7"/>
        <v>0.25</v>
      </c>
      <c r="C34">
        <f t="shared" si="0"/>
        <v>0.75</v>
      </c>
      <c r="D34" s="106">
        <f t="shared" si="1"/>
        <v>8697.6229951567075</v>
      </c>
      <c r="E34" s="103">
        <f t="shared" si="2"/>
        <v>1.149739417949999E-4</v>
      </c>
      <c r="F34" s="106">
        <f t="shared" si="3"/>
        <v>7021.7373233361268</v>
      </c>
      <c r="G34" s="54">
        <f t="shared" si="4"/>
        <v>1.4241489733268545E-4</v>
      </c>
      <c r="H34" s="53">
        <f t="shared" si="5"/>
        <v>4978.7188841173884</v>
      </c>
      <c r="I34" s="54">
        <f t="shared" si="6"/>
        <v>2.0085488320903196E-4</v>
      </c>
    </row>
    <row r="35" spans="1:9" x14ac:dyDescent="0.25">
      <c r="A35">
        <v>26</v>
      </c>
      <c r="B35">
        <f t="shared" si="7"/>
        <v>0.26</v>
      </c>
      <c r="C35">
        <f t="shared" si="0"/>
        <v>0.74</v>
      </c>
      <c r="D35" s="106">
        <f t="shared" si="1"/>
        <v>8933.3132404210701</v>
      </c>
      <c r="E35" s="103">
        <f t="shared" si="2"/>
        <v>1.1194055028488682E-4</v>
      </c>
      <c r="F35" s="106">
        <f t="shared" si="3"/>
        <v>7203.2932926429612</v>
      </c>
      <c r="G35" s="54">
        <f t="shared" si="4"/>
        <v>1.3882538991177046E-4</v>
      </c>
      <c r="H35" s="53">
        <f t="shared" si="5"/>
        <v>5086.8069135928436</v>
      </c>
      <c r="I35" s="54">
        <f t="shared" si="6"/>
        <v>1.9658697823340295E-4</v>
      </c>
    </row>
    <row r="36" spans="1:9" x14ac:dyDescent="0.25">
      <c r="A36">
        <v>27</v>
      </c>
      <c r="B36">
        <f t="shared" si="7"/>
        <v>0.27</v>
      </c>
      <c r="C36">
        <f t="shared" si="0"/>
        <v>0.73</v>
      </c>
      <c r="D36" s="106">
        <f t="shared" si="1"/>
        <v>9178.7087960075696</v>
      </c>
      <c r="E36" s="103">
        <f t="shared" si="2"/>
        <v>1.0894778581873808E-4</v>
      </c>
      <c r="F36" s="106">
        <f t="shared" si="3"/>
        <v>7390.4613842182407</v>
      </c>
      <c r="G36" s="54">
        <f t="shared" si="4"/>
        <v>1.3530954943292482E-4</v>
      </c>
      <c r="H36" s="53">
        <f t="shared" si="5"/>
        <v>5198.7604469088392</v>
      </c>
      <c r="I36" s="54">
        <f t="shared" si="6"/>
        <v>1.9235354469825509E-4</v>
      </c>
    </row>
    <row r="37" spans="1:9" x14ac:dyDescent="0.25">
      <c r="A37">
        <v>28</v>
      </c>
      <c r="B37">
        <f t="shared" si="7"/>
        <v>0.28000000000000003</v>
      </c>
      <c r="C37">
        <f t="shared" si="0"/>
        <v>0.72</v>
      </c>
      <c r="D37" s="106">
        <f t="shared" si="1"/>
        <v>9434.3503255469132</v>
      </c>
      <c r="E37" s="103">
        <f t="shared" si="2"/>
        <v>1.0599563992150457E-4</v>
      </c>
      <c r="F37" s="106">
        <f t="shared" si="3"/>
        <v>7583.4604987152243</v>
      </c>
      <c r="G37" s="54">
        <f t="shared" si="4"/>
        <v>1.3186592060041957E-4</v>
      </c>
      <c r="H37" s="53">
        <f t="shared" si="5"/>
        <v>5314.7735602839784</v>
      </c>
      <c r="I37" s="54">
        <f t="shared" si="6"/>
        <v>1.8815477059507462E-4</v>
      </c>
    </row>
    <row r="38" spans="1:9" x14ac:dyDescent="0.25">
      <c r="A38">
        <v>29</v>
      </c>
      <c r="B38">
        <f t="shared" si="7"/>
        <v>0.28999999999999998</v>
      </c>
      <c r="C38">
        <f t="shared" si="0"/>
        <v>0.71</v>
      </c>
      <c r="D38" s="106">
        <f t="shared" si="1"/>
        <v>9700.8166980663846</v>
      </c>
      <c r="E38" s="103">
        <f t="shared" si="2"/>
        <v>1.0308410426921324E-4</v>
      </c>
      <c r="F38" s="106">
        <f t="shared" si="3"/>
        <v>7782.5205992058372</v>
      </c>
      <c r="G38" s="54">
        <f t="shared" si="4"/>
        <v>1.284930746090212E-4</v>
      </c>
      <c r="H38" s="53">
        <f t="shared" si="5"/>
        <v>5435.0529565886518</v>
      </c>
      <c r="I38" s="54">
        <f t="shared" si="6"/>
        <v>1.8399084755701384E-4</v>
      </c>
    </row>
    <row r="39" spans="1:9" x14ac:dyDescent="0.25">
      <c r="A39">
        <v>30</v>
      </c>
      <c r="B39">
        <f t="shared" si="7"/>
        <v>0.3</v>
      </c>
      <c r="C39">
        <f t="shared" si="0"/>
        <v>0.7</v>
      </c>
      <c r="D39" s="106">
        <f t="shared" si="1"/>
        <v>9978.7282757682879</v>
      </c>
      <c r="E39" s="103">
        <f t="shared" si="2"/>
        <v>1.0021317069313699E-4</v>
      </c>
      <c r="F39" s="106">
        <f t="shared" si="3"/>
        <v>7987.8834274404726</v>
      </c>
      <c r="G39" s="54">
        <f t="shared" si="4"/>
        <v>1.2518960862207103E-4</v>
      </c>
      <c r="H39" s="53">
        <f t="shared" si="5"/>
        <v>5559.8189797602372</v>
      </c>
      <c r="I39" s="54">
        <f t="shared" si="6"/>
        <v>1.7986197098149482E-4</v>
      </c>
    </row>
    <row r="40" spans="1:9" x14ac:dyDescent="0.25">
      <c r="A40">
        <v>31</v>
      </c>
      <c r="B40">
        <f t="shared" si="7"/>
        <v>0.31</v>
      </c>
      <c r="C40">
        <f t="shared" si="0"/>
        <v>0.69</v>
      </c>
      <c r="D40" s="106">
        <f t="shared" si="1"/>
        <v>10268.750536827845</v>
      </c>
      <c r="E40" s="103">
        <f t="shared" si="2"/>
        <v>9.7382831184144567E-5</v>
      </c>
      <c r="F40" s="106">
        <f t="shared" si="3"/>
        <v>8199.8032776699874</v>
      </c>
      <c r="G40" s="54">
        <f t="shared" si="4"/>
        <v>1.2195414525653775E-4</v>
      </c>
      <c r="H40" s="53">
        <f t="shared" si="5"/>
        <v>5689.3067266656353</v>
      </c>
      <c r="I40" s="54">
        <f t="shared" si="6"/>
        <v>1.7576834015874473E-4</v>
      </c>
    </row>
    <row r="41" spans="1:9" x14ac:dyDescent="0.25">
      <c r="A41">
        <v>32</v>
      </c>
      <c r="B41">
        <f t="shared" si="7"/>
        <v>0.32</v>
      </c>
      <c r="C41">
        <f t="shared" si="0"/>
        <v>0.67999999999999994</v>
      </c>
      <c r="D41" s="106">
        <f t="shared" si="1"/>
        <v>10571.598072813871</v>
      </c>
      <c r="E41" s="103">
        <f t="shared" si="2"/>
        <v>9.4593077897240491E-5</v>
      </c>
      <c r="F41" s="106">
        <f t="shared" si="3"/>
        <v>8418.5478335902681</v>
      </c>
      <c r="G41" s="54">
        <f t="shared" si="4"/>
        <v>1.1878533207472776E-4</v>
      </c>
      <c r="H41" s="53">
        <f t="shared" si="5"/>
        <v>5823.7672673496309</v>
      </c>
      <c r="I41" s="54">
        <f t="shared" si="6"/>
        <v>1.7171015840663828E-4</v>
      </c>
    </row>
    <row r="42" spans="1:9" x14ac:dyDescent="0.25">
      <c r="A42">
        <v>33</v>
      </c>
      <c r="B42">
        <f t="shared" si="7"/>
        <v>0.33</v>
      </c>
      <c r="C42">
        <f t="shared" si="0"/>
        <v>0.66999999999999993</v>
      </c>
      <c r="D42" s="106">
        <f t="shared" si="1"/>
        <v>10888.039005682618</v>
      </c>
      <c r="E42" s="103">
        <f t="shared" si="2"/>
        <v>9.1843903156306302E-5</v>
      </c>
      <c r="F42" s="106">
        <f t="shared" si="3"/>
        <v>8644.3990745990905</v>
      </c>
      <c r="G42" s="54">
        <f t="shared" si="4"/>
        <v>1.1568184108232856E-4</v>
      </c>
      <c r="H42" s="53">
        <f t="shared" si="5"/>
        <v>5963.4689860177505</v>
      </c>
      <c r="I42" s="54">
        <f t="shared" si="6"/>
        <v>1.6768763321225454E-4</v>
      </c>
    </row>
    <row r="43" spans="1:9" x14ac:dyDescent="0.25">
      <c r="A43">
        <v>34</v>
      </c>
      <c r="B43">
        <f t="shared" si="7"/>
        <v>0.34</v>
      </c>
      <c r="C43">
        <f t="shared" si="0"/>
        <v>0.65999999999999992</v>
      </c>
      <c r="D43" s="106">
        <f t="shared" si="1"/>
        <v>11218.899875456782</v>
      </c>
      <c r="E43" s="103">
        <f t="shared" si="2"/>
        <v>8.9135299459055432E-5</v>
      </c>
      <c r="F43" s="106">
        <f t="shared" si="3"/>
        <v>8877.6542582666625</v>
      </c>
      <c r="G43" s="54">
        <f t="shared" si="4"/>
        <v>1.1264236823244423E-4</v>
      </c>
      <c r="H43" s="53">
        <f t="shared" si="5"/>
        <v>6108.6990567185976</v>
      </c>
      <c r="I43" s="54">
        <f t="shared" si="6"/>
        <v>1.6370097638058613E-4</v>
      </c>
    </row>
    <row r="44" spans="1:9" x14ac:dyDescent="0.25">
      <c r="A44">
        <v>35</v>
      </c>
      <c r="B44">
        <f t="shared" si="7"/>
        <v>0.35</v>
      </c>
      <c r="C44">
        <f t="shared" si="0"/>
        <v>0.65</v>
      </c>
      <c r="D44" s="106">
        <f t="shared" si="1"/>
        <v>11565.071056816525</v>
      </c>
      <c r="E44" s="103">
        <f t="shared" si="2"/>
        <v>8.6467259482214223E-5</v>
      </c>
      <c r="F44" s="106">
        <f t="shared" si="3"/>
        <v>9118.6269867267583</v>
      </c>
      <c r="G44" s="54">
        <f t="shared" si="4"/>
        <v>1.0966563293526739E-4</v>
      </c>
      <c r="H44" s="53">
        <f t="shared" si="5"/>
        <v>6259.7650695465663</v>
      </c>
      <c r="I44" s="54">
        <f t="shared" si="6"/>
        <v>1.5975040419087744E-4</v>
      </c>
    </row>
    <row r="45" spans="1:9" x14ac:dyDescent="0.25">
      <c r="A45">
        <v>36</v>
      </c>
      <c r="B45">
        <f t="shared" si="7"/>
        <v>0.36</v>
      </c>
      <c r="C45">
        <f t="shared" si="0"/>
        <v>0.64</v>
      </c>
      <c r="D45" s="106">
        <f t="shared" si="1"/>
        <v>11927.512771062051</v>
      </c>
      <c r="E45" s="103">
        <f t="shared" si="2"/>
        <v>8.3839776086943389E-5</v>
      </c>
      <c r="F45" s="106">
        <f t="shared" si="3"/>
        <v>9367.648365609286</v>
      </c>
      <c r="G45" s="54">
        <f t="shared" si="4"/>
        <v>1.0675037757301199E-4</v>
      </c>
      <c r="H45" s="53">
        <f t="shared" si="5"/>
        <v>6416.9968253217276</v>
      </c>
      <c r="I45" s="54">
        <f t="shared" si="6"/>
        <v>1.5583613756110331E-4</v>
      </c>
    </row>
    <row r="46" spans="1:9" x14ac:dyDescent="0.25">
      <c r="A46">
        <v>37</v>
      </c>
      <c r="B46">
        <f t="shared" si="7"/>
        <v>0.37</v>
      </c>
      <c r="C46">
        <f t="shared" si="0"/>
        <v>0.63</v>
      </c>
      <c r="D46" s="106">
        <f t="shared" si="1"/>
        <v>12307.261769454326</v>
      </c>
      <c r="E46" s="103">
        <f t="shared" si="2"/>
        <v>8.1252842324514691E-5</v>
      </c>
      <c r="F46" s="106">
        <f t="shared" si="3"/>
        <v>9625.0682651736824</v>
      </c>
      <c r="G46" s="54">
        <f t="shared" si="4"/>
        <v>1.0389536701971175E-4</v>
      </c>
      <c r="H46" s="53">
        <f t="shared" si="5"/>
        <v>6580.7483191661549</v>
      </c>
      <c r="I46" s="54">
        <f t="shared" si="6"/>
        <v>1.5195840222114888E-4</v>
      </c>
    </row>
    <row r="47" spans="1:9" x14ac:dyDescent="0.25">
      <c r="A47">
        <v>38</v>
      </c>
      <c r="B47">
        <f t="shared" si="7"/>
        <v>0.38</v>
      </c>
      <c r="C47">
        <f t="shared" si="0"/>
        <v>0.62</v>
      </c>
      <c r="D47" s="106">
        <f t="shared" si="1"/>
        <v>12705.438775036389</v>
      </c>
      <c r="E47" s="103">
        <f t="shared" si="2"/>
        <v>7.8706451442259295E-5</v>
      </c>
      <c r="F47" s="106">
        <f t="shared" si="3"/>
        <v>9891.2566944852115</v>
      </c>
      <c r="G47" s="54">
        <f t="shared" si="4"/>
        <v>1.0109938816546352E-4</v>
      </c>
      <c r="H47" s="53">
        <f t="shared" si="5"/>
        <v>6751.39993624198</v>
      </c>
      <c r="I47" s="54">
        <f t="shared" si="6"/>
        <v>1.4811742889529194E-4</v>
      </c>
    </row>
    <row r="48" spans="1:9" x14ac:dyDescent="0.25">
      <c r="A48">
        <v>39</v>
      </c>
      <c r="B48">
        <f t="shared" si="7"/>
        <v>0.39</v>
      </c>
      <c r="C48">
        <f t="shared" si="0"/>
        <v>0.61</v>
      </c>
      <c r="D48" s="106">
        <f t="shared" si="1"/>
        <v>13123.256782963488</v>
      </c>
      <c r="E48" s="103">
        <f t="shared" si="2"/>
        <v>7.6200596889805007E-5</v>
      </c>
      <c r="F48" s="106">
        <f t="shared" si="3"/>
        <v>10166.605300825522</v>
      </c>
      <c r="G48" s="54">
        <f t="shared" si="4"/>
        <v>9.8361249444669661E-5</v>
      </c>
      <c r="H48" s="53">
        <f t="shared" si="5"/>
        <v>6929.3608862120864</v>
      </c>
      <c r="I48" s="54">
        <f t="shared" si="6"/>
        <v>1.4431345349464789E-4</v>
      </c>
    </row>
    <row r="49" spans="1:9" x14ac:dyDescent="0.25">
      <c r="A49">
        <v>40</v>
      </c>
      <c r="B49">
        <f t="shared" si="7"/>
        <v>0.4</v>
      </c>
      <c r="C49">
        <f t="shared" si="0"/>
        <v>0.6</v>
      </c>
      <c r="D49" s="106">
        <f t="shared" si="1"/>
        <v>13562.030334463409</v>
      </c>
      <c r="E49" s="103">
        <f t="shared" si="2"/>
        <v>7.3735272325621564E-5</v>
      </c>
      <c r="F49" s="106">
        <f t="shared" si="3"/>
        <v>10451.529008071771</v>
      </c>
      <c r="G49" s="54">
        <f t="shared" si="4"/>
        <v>9.5679780367800222E-5</v>
      </c>
      <c r="H49" s="53">
        <f t="shared" si="5"/>
        <v>7115.0719068102262</v>
      </c>
      <c r="I49" s="54">
        <f t="shared" si="6"/>
        <v>1.4054671732029089E-4</v>
      </c>
    </row>
    <row r="50" spans="1:9" x14ac:dyDescent="0.25">
      <c r="A50">
        <v>41</v>
      </c>
      <c r="B50">
        <f t="shared" si="7"/>
        <v>0.41</v>
      </c>
      <c r="C50">
        <f t="shared" si="0"/>
        <v>0.59000000000000008</v>
      </c>
      <c r="D50" s="106">
        <f t="shared" si="1"/>
        <v>14023.185897215708</v>
      </c>
      <c r="E50" s="103">
        <f t="shared" si="2"/>
        <v>7.1310471623894621E-5</v>
      </c>
      <c r="F50" s="106">
        <f t="shared" si="3"/>
        <v>10746.467809546162</v>
      </c>
      <c r="G50" s="54">
        <f t="shared" si="4"/>
        <v>9.3053831056162748E-5</v>
      </c>
      <c r="H50" s="53">
        <f t="shared" si="5"/>
        <v>7309.0082713585598</v>
      </c>
      <c r="I50" s="54">
        <f t="shared" si="6"/>
        <v>1.3681746727783157E-4</v>
      </c>
    </row>
    <row r="51" spans="1:9" x14ac:dyDescent="0.25">
      <c r="A51">
        <v>42</v>
      </c>
      <c r="B51">
        <f t="shared" si="7"/>
        <v>0.42</v>
      </c>
      <c r="C51">
        <f t="shared" si="0"/>
        <v>0.58000000000000007</v>
      </c>
      <c r="D51" s="106">
        <f t="shared" si="1"/>
        <v>14508.273505671432</v>
      </c>
      <c r="E51" s="103">
        <f t="shared" si="2"/>
        <v>6.8926188881750108E-5</v>
      </c>
      <c r="F51" s="106">
        <f t="shared" si="3"/>
        <v>11051.888732867774</v>
      </c>
      <c r="G51" s="54">
        <f t="shared" si="4"/>
        <v>9.0482271779125781E-5</v>
      </c>
      <c r="H51" s="53">
        <f t="shared" si="5"/>
        <v>7511.6831402625157</v>
      </c>
      <c r="I51" s="54">
        <f t="shared" si="6"/>
        <v>1.3312595610430025E-4</v>
      </c>
    </row>
    <row r="52" spans="1:9" x14ac:dyDescent="0.25">
      <c r="A52">
        <v>43</v>
      </c>
      <c r="B52">
        <f t="shared" si="7"/>
        <v>0.43</v>
      </c>
      <c r="C52">
        <f t="shared" si="0"/>
        <v>0.57000000000000006</v>
      </c>
      <c r="D52" s="106">
        <f t="shared" si="1"/>
        <v>15018.979839228514</v>
      </c>
      <c r="E52" s="103">
        <f t="shared" si="2"/>
        <v>6.658241842685418E-5</v>
      </c>
      <c r="F52" s="106">
        <f t="shared" si="3"/>
        <v>11368.287996674662</v>
      </c>
      <c r="G52" s="54">
        <f t="shared" si="4"/>
        <v>8.7963992493197746E-5</v>
      </c>
      <c r="H52" s="53">
        <f t="shared" si="5"/>
        <v>7723.6513025834292</v>
      </c>
      <c r="I52" s="54">
        <f t="shared" si="6"/>
        <v>1.2947244260826704E-4</v>
      </c>
    </row>
    <row r="53" spans="1:9" x14ac:dyDescent="0.25">
      <c r="A53">
        <v>44</v>
      </c>
      <c r="B53">
        <f t="shared" si="7"/>
        <v>0.44</v>
      </c>
      <c r="C53">
        <f t="shared" si="0"/>
        <v>0.56000000000000005</v>
      </c>
      <c r="D53" s="106">
        <f t="shared" si="1"/>
        <v>15557.142944957241</v>
      </c>
      <c r="E53" s="103">
        <f t="shared" si="2"/>
        <v>6.4279154825413773E-5</v>
      </c>
      <c r="F53" s="106">
        <f t="shared" si="3"/>
        <v>11696.193381779523</v>
      </c>
      <c r="G53" s="54">
        <f t="shared" si="4"/>
        <v>8.5497902382309485E-5</v>
      </c>
      <c r="H53" s="53">
        <f t="shared" si="5"/>
        <v>7945.5133609064633</v>
      </c>
      <c r="I53" s="54">
        <f t="shared" si="6"/>
        <v>1.2585719192421258E-4</v>
      </c>
    </row>
    <row r="54" spans="1:9" x14ac:dyDescent="0.25">
      <c r="A54">
        <v>45</v>
      </c>
      <c r="B54">
        <f t="shared" si="7"/>
        <v>0.45</v>
      </c>
      <c r="C54">
        <f t="shared" si="0"/>
        <v>0.55000000000000004</v>
      </c>
      <c r="D54" s="106">
        <f t="shared" si="1"/>
        <v>16124.768845616793</v>
      </c>
      <c r="E54" s="103">
        <f t="shared" si="2"/>
        <v>6.2016392890607591E-5</v>
      </c>
      <c r="F54" s="106">
        <f t="shared" si="3"/>
        <v>12036.166842438783</v>
      </c>
      <c r="G54" s="54">
        <f t="shared" si="4"/>
        <v>8.3082929398590723E-5</v>
      </c>
      <c r="H54" s="53">
        <f t="shared" si="5"/>
        <v>8177.9204210867565</v>
      </c>
      <c r="I54" s="54">
        <f t="shared" si="6"/>
        <v>1.2228047578226629E-4</v>
      </c>
    </row>
    <row r="55" spans="1:9" x14ac:dyDescent="0.25">
      <c r="A55">
        <v>46</v>
      </c>
      <c r="B55">
        <f t="shared" si="7"/>
        <v>0.46</v>
      </c>
      <c r="C55">
        <f t="shared" si="0"/>
        <v>0.54</v>
      </c>
      <c r="D55" s="106">
        <f t="shared" si="1"/>
        <v>16724.050314100063</v>
      </c>
      <c r="E55" s="103">
        <f t="shared" si="2"/>
        <v>5.9794127691477885E-5</v>
      </c>
      <c r="F55" s="106">
        <f t="shared" si="3"/>
        <v>12388.807387028462</v>
      </c>
      <c r="G55" s="54">
        <f t="shared" si="4"/>
        <v>8.0718019802861481E-5</v>
      </c>
      <c r="H55" s="53">
        <f t="shared" si="5"/>
        <v>8421.5793583178493</v>
      </c>
      <c r="I55" s="54">
        <f t="shared" si="6"/>
        <v>1.1874257279453375E-4</v>
      </c>
    </row>
    <row r="56" spans="1:9" x14ac:dyDescent="0.25">
      <c r="A56">
        <v>47</v>
      </c>
      <c r="B56">
        <f t="shared" si="7"/>
        <v>0.47</v>
      </c>
      <c r="C56">
        <f t="shared" si="0"/>
        <v>0.53</v>
      </c>
      <c r="D56" s="106">
        <f t="shared" si="1"/>
        <v>17357.388143515833</v>
      </c>
      <c r="E56" s="103">
        <f t="shared" si="2"/>
        <v>5.7612354562317498E-5</v>
      </c>
      <c r="F56" s="106">
        <f t="shared" si="3"/>
        <v>12754.754261620148</v>
      </c>
      <c r="G56" s="54">
        <f t="shared" si="4"/>
        <v>7.8402137703982466E-5</v>
      </c>
      <c r="H56" s="53">
        <f t="shared" si="5"/>
        <v>8677.2587426233058</v>
      </c>
      <c r="I56" s="54">
        <f t="shared" si="6"/>
        <v>1.1524376875935825E-4</v>
      </c>
    </row>
    <row r="57" spans="1:9" x14ac:dyDescent="0.25">
      <c r="A57">
        <v>48</v>
      </c>
      <c r="B57">
        <f t="shared" si="7"/>
        <v>0.48</v>
      </c>
      <c r="C57">
        <f t="shared" si="0"/>
        <v>0.52</v>
      </c>
      <c r="D57" s="106">
        <f t="shared" si="1"/>
        <v>18027.415299501426</v>
      </c>
      <c r="E57" s="103">
        <f t="shared" si="2"/>
        <v>5.5471069112589666E-5</v>
      </c>
      <c r="F57" s="106">
        <f t="shared" si="3"/>
        <v>13134.690474845407</v>
      </c>
      <c r="G57" s="54">
        <f t="shared" si="4"/>
        <v>7.6134264596118683E-5</v>
      </c>
      <c r="H57" s="53">
        <f t="shared" si="5"/>
        <v>8945.7955206934876</v>
      </c>
      <c r="I57" s="54">
        <f t="shared" si="6"/>
        <v>1.1178435698499835E-4</v>
      </c>
    </row>
    <row r="58" spans="1:9" x14ac:dyDescent="0.25">
      <c r="A58">
        <v>49</v>
      </c>
      <c r="B58">
        <f t="shared" si="7"/>
        <v>0.49</v>
      </c>
      <c r="C58">
        <f t="shared" si="0"/>
        <v>0.51</v>
      </c>
      <c r="D58" s="106">
        <f t="shared" si="1"/>
        <v>18737.024410079051</v>
      </c>
      <c r="E58" s="103">
        <f t="shared" si="2"/>
        <v>5.3370267237421027E-5</v>
      </c>
      <c r="F58" s="106">
        <f t="shared" si="3"/>
        <v>13529.346708158117</v>
      </c>
      <c r="G58" s="54">
        <f t="shared" si="4"/>
        <v>7.3913398892867896E-5</v>
      </c>
      <c r="H58" s="53">
        <f t="shared" si="5"/>
        <v>9228.1025674271496</v>
      </c>
      <c r="I58" s="54">
        <f t="shared" si="6"/>
        <v>1.0836463863435428E-4</v>
      </c>
    </row>
    <row r="59" spans="1:9" x14ac:dyDescent="0.25">
      <c r="A59">
        <v>50</v>
      </c>
      <c r="B59">
        <f t="shared" si="7"/>
        <v>0.5</v>
      </c>
      <c r="C59">
        <f t="shared" si="0"/>
        <v>0.5</v>
      </c>
      <c r="D59" s="106">
        <f t="shared" si="1"/>
        <v>19489.399130937636</v>
      </c>
      <c r="E59" s="103">
        <f t="shared" si="2"/>
        <v>5.1309945128713159E-5</v>
      </c>
      <c r="F59" s="106">
        <f t="shared" si="3"/>
        <v>13939.50566230983</v>
      </c>
      <c r="G59" s="54">
        <f t="shared" si="4"/>
        <v>7.1738555457087576E-5</v>
      </c>
      <c r="H59" s="53">
        <f t="shared" si="5"/>
        <v>9525.1772401494109</v>
      </c>
      <c r="I59" s="54">
        <f t="shared" si="6"/>
        <v>1.0498492309255068E-4</v>
      </c>
    </row>
    <row r="60" spans="1:9" x14ac:dyDescent="0.25">
      <c r="A60">
        <v>51</v>
      </c>
      <c r="B60">
        <f t="shared" si="7"/>
        <v>0.51</v>
      </c>
      <c r="C60">
        <f t="shared" si="0"/>
        <v>0.49</v>
      </c>
      <c r="D60" s="106">
        <f t="shared" si="1"/>
        <v>20288.050023574127</v>
      </c>
      <c r="E60" s="103">
        <f t="shared" si="2"/>
        <v>4.9290099286921557E-5</v>
      </c>
      <c r="F60" s="106">
        <f t="shared" si="3"/>
        <v>14366.00689873702</v>
      </c>
      <c r="G60" s="54">
        <f t="shared" si="4"/>
        <v>6.9608765125117304E-5</v>
      </c>
      <c r="H60" s="53">
        <f t="shared" si="5"/>
        <v>9838.1110919550738</v>
      </c>
      <c r="I60" s="54">
        <f t="shared" si="6"/>
        <v>1.0164552835937488E-4</v>
      </c>
    </row>
    <row r="61" spans="1:9" x14ac:dyDescent="0.25">
      <c r="A61">
        <v>52</v>
      </c>
      <c r="B61">
        <f t="shared" si="7"/>
        <v>0.52</v>
      </c>
      <c r="C61">
        <f t="shared" si="0"/>
        <v>0.48</v>
      </c>
      <c r="D61" s="106">
        <f t="shared" si="1"/>
        <v>21136.855704186037</v>
      </c>
      <c r="E61" s="103">
        <f t="shared" si="2"/>
        <v>4.7310726533557003E-5</v>
      </c>
      <c r="F61" s="106">
        <f t="shared" si="3"/>
        <v>14809.752243856168</v>
      </c>
      <c r="G61" s="54">
        <f t="shared" si="4"/>
        <v>6.7523074223935819E-5</v>
      </c>
      <c r="H61" s="53">
        <f t="shared" si="5"/>
        <v>10168.10092882742</v>
      </c>
      <c r="I61" s="54">
        <f t="shared" si="6"/>
        <v>9.8346781468790893E-5</v>
      </c>
    </row>
    <row r="62" spans="1:9" x14ac:dyDescent="0.25">
      <c r="A62">
        <v>53</v>
      </c>
      <c r="B62">
        <f t="shared" si="7"/>
        <v>0.53</v>
      </c>
      <c r="C62">
        <f t="shared" si="0"/>
        <v>0.47</v>
      </c>
      <c r="D62" s="106">
        <f t="shared" si="1"/>
        <v>22040.110167506304</v>
      </c>
      <c r="E62" s="103">
        <f t="shared" si="2"/>
        <v>4.5371824024468726E-5</v>
      </c>
      <c r="F62" s="106">
        <f t="shared" si="3"/>
        <v>15271.71183526258</v>
      </c>
      <c r="G62" s="54">
        <f t="shared" si="4"/>
        <v>6.5480544079609142E-5</v>
      </c>
      <c r="H62" s="53">
        <f t="shared" si="5"/>
        <v>10516.461429179943</v>
      </c>
      <c r="I62" s="54">
        <f t="shared" si="6"/>
        <v>9.5089018937996378E-5</v>
      </c>
    </row>
    <row r="63" spans="1:9" x14ac:dyDescent="0.25">
      <c r="A63">
        <v>54</v>
      </c>
      <c r="B63">
        <f t="shared" si="7"/>
        <v>0.54</v>
      </c>
      <c r="C63">
        <f t="shared" si="0"/>
        <v>0.45999999999999996</v>
      </c>
      <c r="D63" s="106">
        <f t="shared" si="1"/>
        <v>23002.577368142778</v>
      </c>
      <c r="E63" s="103">
        <f t="shared" si="2"/>
        <v>4.3473389263976191E-5</v>
      </c>
      <c r="F63" s="106">
        <f t="shared" si="3"/>
        <v>15752.930901887048</v>
      </c>
      <c r="G63" s="54">
        <f t="shared" si="4"/>
        <v>6.3480250515173E-5</v>
      </c>
      <c r="H63" s="53">
        <f t="shared" si="5"/>
        <v>10884.639585605724</v>
      </c>
      <c r="I63" s="54">
        <f t="shared" si="6"/>
        <v>9.1872587248772048E-5</v>
      </c>
    </row>
    <row r="64" spans="1:9" x14ac:dyDescent="0.25">
      <c r="A64">
        <v>55</v>
      </c>
      <c r="B64">
        <f t="shared" si="7"/>
        <v>0.55000000000000004</v>
      </c>
      <c r="C64">
        <f t="shared" si="0"/>
        <v>0.44999999999999996</v>
      </c>
      <c r="D64" s="106">
        <f t="shared" si="1"/>
        <v>24029.554360338283</v>
      </c>
      <c r="E64" s="103">
        <f t="shared" si="2"/>
        <v>4.1615420119922785E-5</v>
      </c>
      <c r="F64" s="106">
        <f t="shared" si="3"/>
        <v>16254.53738572048</v>
      </c>
      <c r="G64" s="54">
        <f t="shared" si="4"/>
        <v>6.1521283335845315E-5</v>
      </c>
      <c r="H64" s="53">
        <f t="shared" si="5"/>
        <v>11274.231278589081</v>
      </c>
      <c r="I64" s="54">
        <f t="shared" si="6"/>
        <v>8.86978433641948E-5</v>
      </c>
    </row>
    <row r="65" spans="1:9" x14ac:dyDescent="0.25">
      <c r="A65">
        <v>56</v>
      </c>
      <c r="B65">
        <f t="shared" si="7"/>
        <v>0.56000000000000005</v>
      </c>
      <c r="C65">
        <f t="shared" si="0"/>
        <v>0.43999999999999995</v>
      </c>
      <c r="D65" s="106">
        <f t="shared" si="1"/>
        <v>25126.944565488233</v>
      </c>
      <c r="E65" s="103">
        <f t="shared" si="2"/>
        <v>3.9797914839733297E-5</v>
      </c>
      <c r="F65" s="106">
        <f t="shared" si="3"/>
        <v>16777.750531316175</v>
      </c>
      <c r="G65" s="54">
        <f t="shared" si="4"/>
        <v>5.9602745799174326E-5</v>
      </c>
      <c r="H65" s="53">
        <f t="shared" si="5"/>
        <v>11687.0003528789</v>
      </c>
      <c r="I65" s="54">
        <f t="shared" si="6"/>
        <v>8.5565155284150093E-5</v>
      </c>
    </row>
    <row r="66" spans="1:9" x14ac:dyDescent="0.25">
      <c r="A66">
        <v>57</v>
      </c>
      <c r="B66">
        <f t="shared" si="7"/>
        <v>0.56999999999999995</v>
      </c>
      <c r="C66">
        <f t="shared" si="0"/>
        <v>0.43000000000000005</v>
      </c>
      <c r="D66" s="106">
        <f t="shared" si="1"/>
        <v>26301.3430681686</v>
      </c>
      <c r="E66" s="103">
        <f t="shared" si="2"/>
        <v>3.8020872067565918E-5</v>
      </c>
      <c r="F66" s="106">
        <f t="shared" si="3"/>
        <v>17323.890591602521</v>
      </c>
      <c r="G66" s="54">
        <f t="shared" si="4"/>
        <v>5.7723754067387954E-5</v>
      </c>
      <c r="H66" s="53">
        <f t="shared" si="5"/>
        <v>12124.900641865785</v>
      </c>
      <c r="I66" s="54">
        <f t="shared" si="6"/>
        <v>8.2474902643500726E-5</v>
      </c>
    </row>
    <row r="67" spans="1:9" x14ac:dyDescent="0.25">
      <c r="A67">
        <v>58</v>
      </c>
      <c r="B67">
        <f t="shared" si="7"/>
        <v>0.57999999999999996</v>
      </c>
      <c r="C67">
        <f t="shared" si="0"/>
        <v>0.42000000000000004</v>
      </c>
      <c r="D67" s="106">
        <f t="shared" si="1"/>
        <v>27560.136252492903</v>
      </c>
      <c r="E67" s="103">
        <f t="shared" si="2"/>
        <v>3.6284290862660258E-5</v>
      </c>
      <c r="F67" s="106">
        <f t="shared" si="3"/>
        <v>17894.389825437374</v>
      </c>
      <c r="G67" s="54">
        <f t="shared" si="4"/>
        <v>5.5883436638810232E-5</v>
      </c>
      <c r="H67" s="53">
        <f t="shared" si="5"/>
        <v>12590.101477127515</v>
      </c>
      <c r="I67" s="54">
        <f t="shared" si="6"/>
        <v>7.9427477357247979E-5</v>
      </c>
    </row>
    <row r="68" spans="1:9" x14ac:dyDescent="0.25">
      <c r="A68">
        <v>59</v>
      </c>
      <c r="B68">
        <f t="shared" si="7"/>
        <v>0.59</v>
      </c>
      <c r="C68">
        <f t="shared" si="0"/>
        <v>0.41000000000000003</v>
      </c>
      <c r="D68" s="106">
        <f t="shared" si="1"/>
        <v>28911.618602912265</v>
      </c>
      <c r="E68" s="103">
        <f t="shared" si="2"/>
        <v>3.4588170718994959E-5</v>
      </c>
      <c r="F68" s="106">
        <f t="shared" si="3"/>
        <v>18490.804994881946</v>
      </c>
      <c r="G68" s="54">
        <f t="shared" si="4"/>
        <v>5.4080933754738594E-5</v>
      </c>
      <c r="H68" s="53">
        <f t="shared" si="5"/>
        <v>13085.017333781299</v>
      </c>
      <c r="I68" s="54">
        <f t="shared" si="6"/>
        <v>7.6423284317577643E-5</v>
      </c>
    </row>
    <row r="69" spans="1:9" x14ac:dyDescent="0.25">
      <c r="A69">
        <v>60</v>
      </c>
      <c r="B69">
        <f t="shared" si="7"/>
        <v>0.6</v>
      </c>
      <c r="C69">
        <f t="shared" si="0"/>
        <v>0.4</v>
      </c>
      <c r="D69" s="106">
        <f t="shared" si="1"/>
        <v>30365.13013521619</v>
      </c>
      <c r="E69" s="103">
        <f t="shared" si="2"/>
        <v>3.2932511586381855E-5</v>
      </c>
      <c r="F69" s="106">
        <f t="shared" si="3"/>
        <v>19114.831609723296</v>
      </c>
      <c r="G69" s="54">
        <f t="shared" si="4"/>
        <v>5.2315396777616489E-5</v>
      </c>
      <c r="H69" s="53">
        <f t="shared" si="5"/>
        <v>13612.342403187229</v>
      </c>
      <c r="I69" s="54">
        <f t="shared" si="6"/>
        <v>7.3462742148321024E-5</v>
      </c>
    </row>
    <row r="70" spans="1:9" x14ac:dyDescent="0.25">
      <c r="A70">
        <v>61</v>
      </c>
      <c r="B70">
        <f t="shared" si="7"/>
        <v>0.61</v>
      </c>
      <c r="C70">
        <f t="shared" si="0"/>
        <v>0.39</v>
      </c>
      <c r="D70" s="106">
        <f t="shared" si="1"/>
        <v>31931.21873134387</v>
      </c>
      <c r="E70" s="103">
        <f t="shared" si="2"/>
        <v>3.1317313893139764E-5</v>
      </c>
      <c r="F70" s="106">
        <f t="shared" si="3"/>
        <v>19768.32021505641</v>
      </c>
      <c r="G70" s="54">
        <f t="shared" si="4"/>
        <v>5.0585987535671169E-5</v>
      </c>
      <c r="H70" s="53">
        <f t="shared" si="5"/>
        <v>14175.091060395041</v>
      </c>
      <c r="I70" s="54">
        <f t="shared" si="6"/>
        <v>7.0546284023104635E-5</v>
      </c>
    </row>
    <row r="71" spans="1:9" x14ac:dyDescent="0.25">
      <c r="A71">
        <v>62</v>
      </c>
      <c r="B71">
        <f t="shared" si="7"/>
        <v>0.62</v>
      </c>
      <c r="C71">
        <f t="shared" si="0"/>
        <v>0.38</v>
      </c>
      <c r="D71" s="106">
        <f t="shared" si="1"/>
        <v>33621.832674303907</v>
      </c>
      <c r="E71" s="103">
        <f t="shared" si="2"/>
        <v>2.9742578570509276E-5</v>
      </c>
      <c r="F71" s="106">
        <f t="shared" si="3"/>
        <v>20453.295076957082</v>
      </c>
      <c r="G71" s="54">
        <f t="shared" si="4"/>
        <v>4.8891877628393065E-5</v>
      </c>
      <c r="H71" s="53">
        <f t="shared" si="5"/>
        <v>14776.645414337736</v>
      </c>
      <c r="I71" s="54">
        <f t="shared" si="6"/>
        <v>6.7674358554324038E-5</v>
      </c>
    </row>
    <row r="72" spans="1:9" x14ac:dyDescent="0.25">
      <c r="A72">
        <v>63</v>
      </c>
      <c r="B72">
        <f t="shared" si="7"/>
        <v>0.63</v>
      </c>
      <c r="C72">
        <f t="shared" si="0"/>
        <v>0.37</v>
      </c>
      <c r="D72" s="106">
        <f t="shared" si="1"/>
        <v>35450.549981597367</v>
      </c>
      <c r="E72" s="103">
        <f t="shared" si="2"/>
        <v>2.8208307078990513E-5</v>
      </c>
      <c r="F72" s="106">
        <f t="shared" si="3"/>
        <v>21171.975694276414</v>
      </c>
      <c r="G72" s="54">
        <f t="shared" si="4"/>
        <v>4.723224768628172E-5</v>
      </c>
      <c r="H72" s="53">
        <f t="shared" si="5"/>
        <v>15420.811407074385</v>
      </c>
      <c r="I72" s="54">
        <f t="shared" si="6"/>
        <v>6.484743076108461E-5</v>
      </c>
    </row>
    <row r="73" spans="1:9" x14ac:dyDescent="0.25">
      <c r="A73">
        <v>64</v>
      </c>
      <c r="B73">
        <f t="shared" si="7"/>
        <v>0.64</v>
      </c>
      <c r="C73">
        <f t="shared" si="0"/>
        <v>0.36</v>
      </c>
      <c r="D73" s="106">
        <f t="shared" si="1"/>
        <v>37432.852803386719</v>
      </c>
      <c r="E73" s="103">
        <f t="shared" si="2"/>
        <v>2.6714501436810757E-5</v>
      </c>
      <c r="F73" s="106">
        <f t="shared" si="3"/>
        <v>21926.801655043753</v>
      </c>
      <c r="G73" s="54">
        <f t="shared" si="4"/>
        <v>4.5606286577138495E-5</v>
      </c>
      <c r="H73" s="53">
        <f t="shared" si="5"/>
        <v>16111.885281492438</v>
      </c>
      <c r="I73" s="54">
        <f t="shared" si="6"/>
        <v>6.2065983125431632E-5</v>
      </c>
    </row>
    <row r="74" spans="1:9" x14ac:dyDescent="0.25">
      <c r="A74">
        <v>65</v>
      </c>
      <c r="B74">
        <f t="shared" si="7"/>
        <v>0.65</v>
      </c>
      <c r="C74">
        <f t="shared" ref="C74:C109" si="8">1-B74</f>
        <v>0.35</v>
      </c>
      <c r="D74" s="106">
        <f t="shared" ref="D74:D109" si="9">$C$3*$C74^(-$C$4)*EXP($C$5*$B74)</f>
        <v>39586.457301548326</v>
      </c>
      <c r="E74" s="103">
        <f t="shared" ref="E74:E109" si="10">1/D74</f>
        <v>2.5261164250757229E-5</v>
      </c>
      <c r="F74" s="106">
        <f t="shared" ref="F74:F109" si="11">$D$3*$C74^(-$D$4)*EXP($D$5*$B74)</f>
        <v>22720.461468669862</v>
      </c>
      <c r="G74" s="54">
        <f t="shared" ref="G74:G109" si="12">1/F74</f>
        <v>4.4013190549801964E-5</v>
      </c>
      <c r="H74" s="53">
        <f t="shared" ref="H74:H109" si="13">$E$3*$C74^(-$E$4)*EXP($E$5*$B74)</f>
        <v>16854.732687639607</v>
      </c>
      <c r="I74" s="54">
        <f t="shared" ref="I74:I109" si="14">1/H74</f>
        <v>5.9330516747580845E-5</v>
      </c>
    </row>
    <row r="75" spans="1:9" x14ac:dyDescent="0.25">
      <c r="A75">
        <v>66</v>
      </c>
      <c r="B75">
        <f t="shared" ref="B75:B109" si="15">A75/100</f>
        <v>0.66</v>
      </c>
      <c r="C75">
        <f t="shared" si="8"/>
        <v>0.33999999999999997</v>
      </c>
      <c r="D75" s="106">
        <f t="shared" si="9"/>
        <v>41931.712215528758</v>
      </c>
      <c r="E75" s="103">
        <f t="shared" si="10"/>
        <v>2.3848298749643367E-5</v>
      </c>
      <c r="F75" s="106">
        <f t="shared" si="11"/>
        <v>23555.926146383546</v>
      </c>
      <c r="G75" s="54">
        <f t="shared" si="12"/>
        <v>4.2452162304538651E-5</v>
      </c>
      <c r="H75" s="53">
        <f t="shared" si="13"/>
        <v>17654.883276969249</v>
      </c>
      <c r="I75" s="54">
        <f t="shared" si="14"/>
        <v>5.6641552612499992E-5</v>
      </c>
    </row>
    <row r="76" spans="1:9" x14ac:dyDescent="0.25">
      <c r="A76">
        <v>67</v>
      </c>
      <c r="B76">
        <f t="shared" si="15"/>
        <v>0.67</v>
      </c>
      <c r="C76">
        <f t="shared" si="8"/>
        <v>0.32999999999999996</v>
      </c>
      <c r="D76" s="106">
        <f t="shared" si="9"/>
        <v>44492.082966552975</v>
      </c>
      <c r="E76" s="103">
        <f t="shared" si="10"/>
        <v>2.2475908820716536E-5</v>
      </c>
      <c r="F76" s="106">
        <f t="shared" si="11"/>
        <v>24436.488480419448</v>
      </c>
      <c r="G76" s="54">
        <f t="shared" si="12"/>
        <v>4.0922409977247076E-5</v>
      </c>
      <c r="H76" s="53">
        <f t="shared" si="13"/>
        <v>18518.644382837821</v>
      </c>
      <c r="I76" s="54">
        <f t="shared" si="14"/>
        <v>5.399963298213941E-5</v>
      </c>
    </row>
    <row r="77" spans="1:9" x14ac:dyDescent="0.25">
      <c r="A77">
        <v>68</v>
      </c>
      <c r="B77">
        <f t="shared" si="15"/>
        <v>0.68</v>
      </c>
      <c r="C77">
        <f t="shared" si="8"/>
        <v>0.31999999999999995</v>
      </c>
      <c r="D77" s="106">
        <f t="shared" si="9"/>
        <v>47294.742951202476</v>
      </c>
      <c r="E77" s="103">
        <f t="shared" si="10"/>
        <v>2.1143999049361042E-5</v>
      </c>
      <c r="F77" s="106">
        <f t="shared" si="11"/>
        <v>25365.809198463732</v>
      </c>
      <c r="G77" s="54">
        <f t="shared" si="12"/>
        <v>3.942314602210934E-5</v>
      </c>
      <c r="H77" s="53">
        <f t="shared" si="13"/>
        <v>19453.238361386837</v>
      </c>
      <c r="I77" s="54">
        <f t="shared" si="14"/>
        <v>5.1405322929930375E-5</v>
      </c>
    </row>
    <row r="78" spans="1:9" x14ac:dyDescent="0.25">
      <c r="A78">
        <v>69</v>
      </c>
      <c r="B78">
        <f t="shared" si="15"/>
        <v>0.69</v>
      </c>
      <c r="C78">
        <f t="shared" si="8"/>
        <v>0.31000000000000005</v>
      </c>
      <c r="D78" s="106">
        <f t="shared" si="9"/>
        <v>50371.30004359271</v>
      </c>
      <c r="E78" s="103">
        <f t="shared" si="10"/>
        <v>1.9852574762505086E-5</v>
      </c>
      <c r="F78" s="106">
        <f t="shared" si="11"/>
        <v>26347.971458601634</v>
      </c>
      <c r="G78" s="54">
        <f t="shared" si="12"/>
        <v>3.7953585974207403E-5</v>
      </c>
      <c r="H78" s="53">
        <f t="shared" si="13"/>
        <v>20466.969447720854</v>
      </c>
      <c r="I78" s="54">
        <f t="shared" si="14"/>
        <v>4.8859212036951434E-5</v>
      </c>
    </row>
    <row r="79" spans="1:9" x14ac:dyDescent="0.25">
      <c r="A79">
        <v>70</v>
      </c>
      <c r="B79">
        <f t="shared" si="15"/>
        <v>0.7</v>
      </c>
      <c r="C79">
        <f t="shared" si="8"/>
        <v>0.30000000000000004</v>
      </c>
      <c r="D79" s="106">
        <f t="shared" si="9"/>
        <v>53758.694845501414</v>
      </c>
      <c r="E79" s="103">
        <f t="shared" si="10"/>
        <v>1.8601642076206043E-5</v>
      </c>
      <c r="F79" s="106">
        <f t="shared" si="11"/>
        <v>27387.54552158666</v>
      </c>
      <c r="G79" s="54">
        <f t="shared" si="12"/>
        <v>3.6512947069747724E-5</v>
      </c>
      <c r="H79" s="53">
        <f t="shared" si="13"/>
        <v>21569.427676845749</v>
      </c>
      <c r="I79" s="54">
        <f t="shared" si="14"/>
        <v>4.6361916272515447E-5</v>
      </c>
    </row>
    <row r="80" spans="1:9" x14ac:dyDescent="0.25">
      <c r="A80">
        <v>71</v>
      </c>
      <c r="B80">
        <f t="shared" si="15"/>
        <v>0.71</v>
      </c>
      <c r="C80">
        <f t="shared" si="8"/>
        <v>0.29000000000000004</v>
      </c>
      <c r="D80" s="106">
        <f t="shared" si="9"/>
        <v>57500.318723803539</v>
      </c>
      <c r="E80" s="103">
        <f t="shared" si="10"/>
        <v>1.7391207947966169E-5</v>
      </c>
      <c r="F80" s="106">
        <f t="shared" si="11"/>
        <v>28489.665919099032</v>
      </c>
      <c r="G80" s="54">
        <f t="shared" si="12"/>
        <v>3.5100446696695569E-5</v>
      </c>
      <c r="H80" s="53">
        <f t="shared" si="13"/>
        <v>22771.739679889972</v>
      </c>
      <c r="I80" s="54">
        <f t="shared" si="14"/>
        <v>4.3914080085989801E-5</v>
      </c>
    </row>
    <row r="81" spans="1:9" x14ac:dyDescent="0.25">
      <c r="A81">
        <v>72</v>
      </c>
      <c r="B81">
        <f t="shared" si="15"/>
        <v>0.72</v>
      </c>
      <c r="C81">
        <f t="shared" si="8"/>
        <v>0.28000000000000003</v>
      </c>
      <c r="D81" s="106">
        <f t="shared" si="9"/>
        <v>61647.415342580287</v>
      </c>
      <c r="E81" s="103">
        <f t="shared" si="10"/>
        <v>1.6221280234425227E-5</v>
      </c>
      <c r="F81" s="106">
        <f t="shared" si="11"/>
        <v>29660.124066603687</v>
      </c>
      <c r="G81" s="54">
        <f t="shared" si="12"/>
        <v>3.3715300642520466E-5</v>
      </c>
      <c r="H81" s="53">
        <f t="shared" si="13"/>
        <v>24086.879210342206</v>
      </c>
      <c r="I81" s="54">
        <f t="shared" si="14"/>
        <v>4.1516378741610868E-5</v>
      </c>
    </row>
    <row r="82" spans="1:9" x14ac:dyDescent="0.25">
      <c r="A82">
        <v>73</v>
      </c>
      <c r="B82">
        <f t="shared" si="15"/>
        <v>0.73</v>
      </c>
      <c r="C82">
        <f t="shared" si="8"/>
        <v>0.27</v>
      </c>
      <c r="D82" s="106">
        <f t="shared" si="9"/>
        <v>66260.850957697985</v>
      </c>
      <c r="E82" s="103">
        <f t="shared" si="10"/>
        <v>1.5091867755191016E-5</v>
      </c>
      <c r="F82" s="106">
        <f t="shared" si="11"/>
        <v>30905.480100119777</v>
      </c>
      <c r="G82" s="54">
        <f t="shared" si="12"/>
        <v>3.2356721098020556E-5</v>
      </c>
      <c r="H82" s="53">
        <f t="shared" si="13"/>
        <v>25530.054393103008</v>
      </c>
      <c r="I82" s="54">
        <f t="shared" si="14"/>
        <v>3.9169520934125071E-5</v>
      </c>
    </row>
    <row r="83" spans="1:9" x14ac:dyDescent="0.25">
      <c r="A83">
        <v>74</v>
      </c>
      <c r="B83">
        <f t="shared" si="15"/>
        <v>0.74</v>
      </c>
      <c r="C83">
        <f t="shared" si="8"/>
        <v>0.26</v>
      </c>
      <c r="D83" s="106">
        <f t="shared" si="9"/>
        <v>71413.368727685709</v>
      </c>
      <c r="E83" s="103">
        <f t="shared" si="10"/>
        <v>1.4002980363707692E-5</v>
      </c>
      <c r="F83" s="106">
        <f t="shared" si="11"/>
        <v>32233.198821811402</v>
      </c>
      <c r="G83" s="54">
        <f t="shared" si="12"/>
        <v>3.1023914366306233E-5</v>
      </c>
      <c r="H83" s="53">
        <f t="shared" si="13"/>
        <v>27119.194371898044</v>
      </c>
      <c r="I83" s="54">
        <f t="shared" si="14"/>
        <v>3.6874251730583806E-5</v>
      </c>
    </row>
    <row r="84" spans="1:9" x14ac:dyDescent="0.25">
      <c r="A84">
        <v>75</v>
      </c>
      <c r="B84">
        <f t="shared" si="15"/>
        <v>0.75</v>
      </c>
      <c r="C84">
        <f t="shared" si="8"/>
        <v>0.25</v>
      </c>
      <c r="D84" s="106">
        <f t="shared" si="9"/>
        <v>77192.484476012614</v>
      </c>
      <c r="E84" s="103">
        <f t="shared" si="10"/>
        <v>1.2954629026233087E-5</v>
      </c>
      <c r="F84" s="106">
        <f t="shared" si="11"/>
        <v>33651.816125354228</v>
      </c>
      <c r="G84" s="54">
        <f t="shared" si="12"/>
        <v>2.9716078213281685E-5</v>
      </c>
      <c r="H84" s="53">
        <f t="shared" si="13"/>
        <v>28875.565920413348</v>
      </c>
      <c r="I84" s="54">
        <f t="shared" si="14"/>
        <v>3.4631355892944009E-5</v>
      </c>
    </row>
    <row r="85" spans="1:9" x14ac:dyDescent="0.25">
      <c r="A85">
        <v>76</v>
      </c>
      <c r="B85">
        <f t="shared" si="15"/>
        <v>0.76</v>
      </c>
      <c r="C85">
        <f t="shared" si="8"/>
        <v>0.24</v>
      </c>
      <c r="D85" s="106">
        <f t="shared" si="9"/>
        <v>83704.241404036176</v>
      </c>
      <c r="E85" s="103">
        <f t="shared" si="10"/>
        <v>1.1946825910207467E-5</v>
      </c>
      <c r="F85" s="106">
        <f t="shared" si="11"/>
        <v>35171.144290673546</v>
      </c>
      <c r="G85" s="54">
        <f t="shared" si="12"/>
        <v>2.8432398779392955E-5</v>
      </c>
      <c r="H85" s="53">
        <f t="shared" si="13"/>
        <v>30824.561665675239</v>
      </c>
      <c r="I85" s="54">
        <f t="shared" si="14"/>
        <v>3.2441661647813547E-5</v>
      </c>
    </row>
    <row r="86" spans="1:9" x14ac:dyDescent="0.25">
      <c r="A86">
        <v>77</v>
      </c>
      <c r="B86">
        <f t="shared" si="15"/>
        <v>0.77</v>
      </c>
      <c r="C86">
        <f t="shared" si="8"/>
        <v>0.22999999999999998</v>
      </c>
      <c r="D86" s="106">
        <f t="shared" si="9"/>
        <v>91078.127910696392</v>
      </c>
      <c r="E86" s="103">
        <f t="shared" si="10"/>
        <v>1.0979584483560273E-5</v>
      </c>
      <c r="F86" s="106">
        <f t="shared" si="11"/>
        <v>36802.527311096193</v>
      </c>
      <c r="G86" s="54">
        <f t="shared" si="12"/>
        <v>2.7172046950658568E-5</v>
      </c>
      <c r="H86" s="53">
        <f t="shared" si="13"/>
        <v>32996.717338502982</v>
      </c>
      <c r="I86" s="54">
        <f t="shared" si="14"/>
        <v>3.0306044984454466E-5</v>
      </c>
    </row>
    <row r="87" spans="1:9" x14ac:dyDescent="0.25">
      <c r="A87">
        <v>78</v>
      </c>
      <c r="B87">
        <f t="shared" si="15"/>
        <v>0.78</v>
      </c>
      <c r="C87">
        <f t="shared" si="8"/>
        <v>0.21999999999999997</v>
      </c>
      <c r="D87" s="106">
        <f t="shared" si="9"/>
        <v>99473.589476521651</v>
      </c>
      <c r="E87" s="103">
        <f t="shared" si="10"/>
        <v>1.0052919626832467E-5</v>
      </c>
      <c r="F87" s="106">
        <f t="shared" si="11"/>
        <v>38559.161273383957</v>
      </c>
      <c r="G87" s="54">
        <f t="shared" si="12"/>
        <v>2.5934174058144389E-5</v>
      </c>
      <c r="H87" s="53">
        <f t="shared" si="13"/>
        <v>35429.0382006445</v>
      </c>
      <c r="I87" s="54">
        <f t="shared" si="14"/>
        <v>2.8225434580998834E-5</v>
      </c>
    </row>
    <row r="88" spans="1:9" x14ac:dyDescent="0.25">
      <c r="A88">
        <v>79</v>
      </c>
      <c r="B88">
        <f t="shared" si="15"/>
        <v>0.79</v>
      </c>
      <c r="C88">
        <f t="shared" si="8"/>
        <v>0.20999999999999996</v>
      </c>
      <c r="D88" s="106">
        <f t="shared" si="9"/>
        <v>109088.7539682405</v>
      </c>
      <c r="E88" s="103">
        <f t="shared" si="10"/>
        <v>9.166847760412907E-6</v>
      </c>
      <c r="F88" s="106">
        <f t="shared" si="11"/>
        <v>40456.500247637916</v>
      </c>
      <c r="G88" s="54">
        <f t="shared" si="12"/>
        <v>2.4717906736344199E-5</v>
      </c>
      <c r="H88" s="53">
        <f t="shared" si="13"/>
        <v>38166.748065975735</v>
      </c>
      <c r="I88" s="54">
        <f t="shared" si="14"/>
        <v>2.6200817483097637E-5</v>
      </c>
    </row>
    <row r="89" spans="1:9" x14ac:dyDescent="0.25">
      <c r="A89">
        <v>80</v>
      </c>
      <c r="B89">
        <f t="shared" si="15"/>
        <v>0.8</v>
      </c>
      <c r="C89">
        <f t="shared" si="8"/>
        <v>0.19999999999999996</v>
      </c>
      <c r="D89" s="106">
        <f t="shared" si="9"/>
        <v>120172.27431372386</v>
      </c>
      <c r="E89" s="103">
        <f t="shared" si="10"/>
        <v>8.3213869897259519E-6</v>
      </c>
      <c r="F89" s="106">
        <f t="shared" si="11"/>
        <v>42512.775916819039</v>
      </c>
      <c r="G89" s="54">
        <f t="shared" si="12"/>
        <v>2.3522340718390418E-5</v>
      </c>
      <c r="H89" s="53">
        <f t="shared" si="13"/>
        <v>41265.623794652987</v>
      </c>
      <c r="I89" s="54">
        <f t="shared" si="14"/>
        <v>2.4233245690801251E-5</v>
      </c>
    </row>
    <row r="90" spans="1:9" x14ac:dyDescent="0.25">
      <c r="A90">
        <v>81</v>
      </c>
      <c r="B90">
        <f t="shared" si="15"/>
        <v>0.81</v>
      </c>
      <c r="C90">
        <f t="shared" si="8"/>
        <v>0.18999999999999995</v>
      </c>
      <c r="D90" s="106">
        <f t="shared" si="9"/>
        <v>133039.63022243368</v>
      </c>
      <c r="E90" s="103">
        <f t="shared" si="10"/>
        <v>7.5165572719051045E-6</v>
      </c>
      <c r="F90" s="106">
        <f t="shared" si="11"/>
        <v>44749.670463397997</v>
      </c>
      <c r="G90" s="54">
        <f t="shared" si="12"/>
        <v>2.2346533273757353E-5</v>
      </c>
      <c r="H90" s="53">
        <f t="shared" si="13"/>
        <v>44795.152961681793</v>
      </c>
      <c r="I90" s="54">
        <f t="shared" si="14"/>
        <v>2.2323843851039188E-5</v>
      </c>
    </row>
    <row r="91" spans="1:9" x14ac:dyDescent="0.25">
      <c r="A91">
        <v>82</v>
      </c>
      <c r="B91">
        <f t="shared" si="15"/>
        <v>0.82</v>
      </c>
      <c r="C91">
        <f t="shared" si="8"/>
        <v>0.18000000000000005</v>
      </c>
      <c r="D91" s="106">
        <f t="shared" si="9"/>
        <v>148095.91727630291</v>
      </c>
      <c r="E91" s="103">
        <f t="shared" si="10"/>
        <v>6.7523806084019026E-6</v>
      </c>
      <c r="F91" s="106">
        <f t="shared" si="11"/>
        <v>47193.198904881159</v>
      </c>
      <c r="G91" s="54">
        <f t="shared" si="12"/>
        <v>2.1189493893294246E-5</v>
      </c>
      <c r="H91" s="53">
        <f t="shared" si="13"/>
        <v>48842.867751066246</v>
      </c>
      <c r="I91" s="54">
        <f t="shared" si="14"/>
        <v>2.0473818308470839E-5</v>
      </c>
    </row>
    <row r="92" spans="1:9" x14ac:dyDescent="0.25">
      <c r="A92">
        <v>83</v>
      </c>
      <c r="B92">
        <f t="shared" si="15"/>
        <v>0.83</v>
      </c>
      <c r="C92">
        <f t="shared" si="8"/>
        <v>0.17000000000000004</v>
      </c>
      <c r="D92" s="106">
        <f t="shared" si="9"/>
        <v>165868.25239203384</v>
      </c>
      <c r="E92" s="103">
        <f t="shared" si="10"/>
        <v>6.028881269192338E-6</v>
      </c>
      <c r="F92" s="106">
        <f t="shared" si="11"/>
        <v>49874.882166075746</v>
      </c>
      <c r="G92" s="54">
        <f t="shared" si="12"/>
        <v>2.0050172683519383E-5</v>
      </c>
      <c r="H92" s="53">
        <f t="shared" si="13"/>
        <v>53520.389686129194</v>
      </c>
      <c r="I92" s="54">
        <f t="shared" si="14"/>
        <v>1.8684467842340256E-5</v>
      </c>
    </row>
    <row r="93" spans="1:9" x14ac:dyDescent="0.25">
      <c r="A93">
        <v>84</v>
      </c>
      <c r="B93">
        <f t="shared" si="15"/>
        <v>0.84</v>
      </c>
      <c r="C93">
        <f t="shared" si="8"/>
        <v>0.16000000000000003</v>
      </c>
      <c r="D93" s="106">
        <f t="shared" si="9"/>
        <v>187052.73157748076</v>
      </c>
      <c r="E93" s="103">
        <f t="shared" si="10"/>
        <v>5.3460860558766082E-6</v>
      </c>
      <c r="F93" s="106">
        <f t="shared" si="11"/>
        <v>52833.330734368705</v>
      </c>
      <c r="G93" s="54">
        <f t="shared" si="12"/>
        <v>1.8927445726027041E-5</v>
      </c>
      <c r="H93" s="53">
        <f t="shared" si="13"/>
        <v>58972.012197955642</v>
      </c>
      <c r="I93" s="54">
        <f t="shared" si="14"/>
        <v>1.6957196519651172E-5</v>
      </c>
    </row>
    <row r="94" spans="1:9" x14ac:dyDescent="0.25">
      <c r="A94">
        <v>85</v>
      </c>
      <c r="B94">
        <f t="shared" si="15"/>
        <v>0.85</v>
      </c>
      <c r="C94">
        <f t="shared" si="8"/>
        <v>0.15000000000000002</v>
      </c>
      <c r="D94" s="106">
        <f t="shared" si="9"/>
        <v>212583.92168990916</v>
      </c>
      <c r="E94" s="103">
        <f t="shared" si="10"/>
        <v>4.7040246132004042E-6</v>
      </c>
      <c r="F94" s="106">
        <f t="shared" si="11"/>
        <v>56116.419355003236</v>
      </c>
      <c r="G94" s="54">
        <f t="shared" si="12"/>
        <v>1.7820096354933271E-5</v>
      </c>
      <c r="H94" s="53">
        <f t="shared" si="13"/>
        <v>65387.131016377949</v>
      </c>
      <c r="I94" s="54">
        <f t="shared" si="14"/>
        <v>1.5293529238184856E-5</v>
      </c>
    </row>
    <row r="95" spans="1:9" x14ac:dyDescent="0.25">
      <c r="A95">
        <v>86</v>
      </c>
      <c r="B95">
        <f t="shared" si="15"/>
        <v>0.86</v>
      </c>
      <c r="C95">
        <f t="shared" si="8"/>
        <v>0.14000000000000001</v>
      </c>
      <c r="D95" s="106">
        <f t="shared" si="9"/>
        <v>243740.15554279476</v>
      </c>
      <c r="E95" s="103">
        <f t="shared" si="10"/>
        <v>4.1027298016326435E-6</v>
      </c>
      <c r="F95" s="106">
        <f t="shared" si="11"/>
        <v>59784.33095402929</v>
      </c>
      <c r="G95" s="54">
        <f t="shared" si="12"/>
        <v>1.672679085041434E-5</v>
      </c>
      <c r="H95" s="53">
        <f t="shared" si="13"/>
        <v>73018.653071079345</v>
      </c>
      <c r="I95" s="54">
        <f t="shared" si="14"/>
        <v>1.3695130736341563E-5</v>
      </c>
    </row>
    <row r="96" spans="1:9" x14ac:dyDescent="0.25">
      <c r="A96">
        <v>87</v>
      </c>
      <c r="B96">
        <f t="shared" si="15"/>
        <v>0.87</v>
      </c>
      <c r="C96">
        <f t="shared" si="8"/>
        <v>0.13</v>
      </c>
      <c r="D96" s="106">
        <f t="shared" si="9"/>
        <v>282307.38821247726</v>
      </c>
      <c r="E96" s="103">
        <f t="shared" si="10"/>
        <v>3.5422381480407978E-6</v>
      </c>
      <c r="F96" s="106">
        <f t="shared" si="11"/>
        <v>63913.910123469919</v>
      </c>
      <c r="G96" s="54">
        <f t="shared" si="12"/>
        <v>1.5646046346846624E-5</v>
      </c>
      <c r="H96" s="53">
        <f t="shared" si="13"/>
        <v>82210.954160436362</v>
      </c>
      <c r="I96" s="54">
        <f t="shared" si="14"/>
        <v>1.216382914189853E-5</v>
      </c>
    </row>
    <row r="97" spans="1:9" x14ac:dyDescent="0.25">
      <c r="A97">
        <v>88</v>
      </c>
      <c r="B97">
        <f t="shared" si="15"/>
        <v>0.88</v>
      </c>
      <c r="C97">
        <f t="shared" si="8"/>
        <v>0.12</v>
      </c>
      <c r="D97" s="106">
        <f t="shared" si="9"/>
        <v>330842.0488256411</v>
      </c>
      <c r="E97" s="103">
        <f t="shared" si="10"/>
        <v>3.0225903978941185E-6</v>
      </c>
      <c r="F97" s="106">
        <f t="shared" si="11"/>
        <v>68605.044342961555</v>
      </c>
      <c r="G97" s="54">
        <f t="shared" si="12"/>
        <v>1.4576187648840047E-5</v>
      </c>
      <c r="H97" s="53">
        <f t="shared" si="13"/>
        <v>93443.573089981277</v>
      </c>
      <c r="I97" s="54">
        <f t="shared" si="14"/>
        <v>1.0701645569963943E-5</v>
      </c>
    </row>
    <row r="98" spans="1:9" x14ac:dyDescent="0.25">
      <c r="A98">
        <v>89</v>
      </c>
      <c r="B98">
        <f t="shared" si="15"/>
        <v>0.89</v>
      </c>
      <c r="C98">
        <f t="shared" si="8"/>
        <v>0.10999999999999999</v>
      </c>
      <c r="D98" s="106">
        <f t="shared" si="9"/>
        <v>393107.68974616408</v>
      </c>
      <c r="E98" s="103">
        <f t="shared" si="10"/>
        <v>2.5438322019233865E-6</v>
      </c>
      <c r="F98" s="106">
        <f t="shared" si="11"/>
        <v>73990.285020399766</v>
      </c>
      <c r="G98" s="54">
        <f t="shared" si="12"/>
        <v>1.3515287847915322E-5</v>
      </c>
      <c r="H98" s="53">
        <f t="shared" si="13"/>
        <v>107401.78810268722</v>
      </c>
      <c r="I98" s="54">
        <f t="shared" si="14"/>
        <v>9.3108319485695756E-6</v>
      </c>
    </row>
    <row r="99" spans="1:9" x14ac:dyDescent="0.25">
      <c r="A99">
        <v>90</v>
      </c>
      <c r="B99">
        <f t="shared" si="15"/>
        <v>0.9</v>
      </c>
      <c r="C99">
        <f t="shared" si="8"/>
        <v>9.9999999999999978E-2</v>
      </c>
      <c r="D99" s="106">
        <f t="shared" si="9"/>
        <v>474830.42963465396</v>
      </c>
      <c r="E99" s="103">
        <f t="shared" si="10"/>
        <v>2.1060149846955347E-6</v>
      </c>
      <c r="F99" s="106">
        <f t="shared" si="11"/>
        <v>80249.836397255596</v>
      </c>
      <c r="G99" s="54">
        <f t="shared" si="12"/>
        <v>1.2461084593989257E-5</v>
      </c>
      <c r="H99" s="53">
        <f t="shared" si="13"/>
        <v>125095.06754823591</v>
      </c>
      <c r="I99" s="54">
        <f t="shared" si="14"/>
        <v>7.9939203007696999E-6</v>
      </c>
    </row>
    <row r="100" spans="1:9" x14ac:dyDescent="0.25">
      <c r="A100">
        <v>91</v>
      </c>
      <c r="B100">
        <f t="shared" si="15"/>
        <v>0.91</v>
      </c>
      <c r="C100">
        <f t="shared" si="8"/>
        <v>8.9999999999999969E-2</v>
      </c>
      <c r="D100" s="106">
        <f t="shared" si="9"/>
        <v>585070.04263116489</v>
      </c>
      <c r="E100" s="103">
        <f t="shared" si="10"/>
        <v>1.7091970655390604E-6</v>
      </c>
      <c r="F100" s="106">
        <f t="shared" si="11"/>
        <v>87635.824865405462</v>
      </c>
      <c r="G100" s="54">
        <f t="shared" si="12"/>
        <v>1.141085853343469E-5</v>
      </c>
      <c r="H100" s="53">
        <f t="shared" si="13"/>
        <v>148065.04695711416</v>
      </c>
      <c r="I100" s="54">
        <f t="shared" si="14"/>
        <v>6.7537884230681528E-6</v>
      </c>
    </row>
    <row r="101" spans="1:9" x14ac:dyDescent="0.25">
      <c r="A101">
        <v>92</v>
      </c>
      <c r="B101">
        <f t="shared" si="15"/>
        <v>0.92</v>
      </c>
      <c r="C101">
        <f t="shared" si="8"/>
        <v>7.999999999999996E-2</v>
      </c>
      <c r="D101" s="106">
        <f t="shared" si="9"/>
        <v>738855.21504935529</v>
      </c>
      <c r="E101" s="103">
        <f t="shared" si="10"/>
        <v>1.3534451400376194E-6</v>
      </c>
      <c r="F101" s="106">
        <f t="shared" si="11"/>
        <v>96513.446271414345</v>
      </c>
      <c r="G101" s="54">
        <f t="shared" si="12"/>
        <v>1.0361250568006949E-5</v>
      </c>
      <c r="H101" s="53">
        <f t="shared" si="13"/>
        <v>178770.95593931284</v>
      </c>
      <c r="I101" s="54">
        <f t="shared" si="14"/>
        <v>5.5937498054184415E-6</v>
      </c>
    </row>
    <row r="102" spans="1:9" x14ac:dyDescent="0.25">
      <c r="A102">
        <v>93</v>
      </c>
      <c r="B102">
        <f t="shared" si="15"/>
        <v>0.93</v>
      </c>
      <c r="C102">
        <f t="shared" si="8"/>
        <v>6.9999999999999951E-2</v>
      </c>
      <c r="D102" s="106">
        <f t="shared" si="9"/>
        <v>962615.57709760813</v>
      </c>
      <c r="E102" s="103">
        <f t="shared" si="10"/>
        <v>1.0388362953933388E-6</v>
      </c>
      <c r="F102" s="106">
        <f t="shared" si="11"/>
        <v>107434.74985865147</v>
      </c>
      <c r="G102" s="54">
        <f t="shared" si="12"/>
        <v>9.3079753181877246E-6</v>
      </c>
      <c r="H102" s="53">
        <f t="shared" si="13"/>
        <v>221352.51228091595</v>
      </c>
      <c r="I102" s="54">
        <f t="shared" si="14"/>
        <v>4.5176808236579281E-6</v>
      </c>
    </row>
    <row r="103" spans="1:9" x14ac:dyDescent="0.25">
      <c r="A103">
        <v>94</v>
      </c>
      <c r="B103">
        <f t="shared" si="15"/>
        <v>0.94</v>
      </c>
      <c r="C103">
        <f t="shared" si="8"/>
        <v>6.0000000000000053E-2</v>
      </c>
      <c r="D103" s="106">
        <f t="shared" si="9"/>
        <v>1306402.5389334192</v>
      </c>
      <c r="E103" s="103">
        <f t="shared" si="10"/>
        <v>7.6546085161195864E-7</v>
      </c>
      <c r="F103" s="106">
        <f t="shared" si="11"/>
        <v>121280.51248323056</v>
      </c>
      <c r="G103" s="54">
        <f t="shared" si="12"/>
        <v>8.2453477440431318E-6</v>
      </c>
      <c r="H103" s="53">
        <f t="shared" si="13"/>
        <v>283269.42219534412</v>
      </c>
      <c r="I103" s="54">
        <f t="shared" si="14"/>
        <v>3.5302080692295642E-6</v>
      </c>
    </row>
    <row r="104" spans="1:9" x14ac:dyDescent="0.25">
      <c r="A104">
        <v>95</v>
      </c>
      <c r="B104">
        <f t="shared" si="15"/>
        <v>0.95</v>
      </c>
      <c r="C104">
        <f t="shared" si="8"/>
        <v>5.0000000000000044E-2</v>
      </c>
      <c r="D104" s="106">
        <f t="shared" si="9"/>
        <v>1874672.3333087487</v>
      </c>
      <c r="E104" s="103">
        <f t="shared" si="10"/>
        <v>5.3342655259387419E-7</v>
      </c>
      <c r="F104" s="106">
        <f t="shared" si="11"/>
        <v>139558.63089614615</v>
      </c>
      <c r="G104" s="54">
        <f t="shared" si="12"/>
        <v>7.165447192901737E-6</v>
      </c>
      <c r="H104" s="53">
        <f t="shared" si="13"/>
        <v>379218.98214218044</v>
      </c>
      <c r="I104" s="54">
        <f t="shared" si="14"/>
        <v>2.6369987977687003E-6</v>
      </c>
    </row>
    <row r="105" spans="1:9" x14ac:dyDescent="0.25">
      <c r="A105">
        <v>96</v>
      </c>
      <c r="B105">
        <f t="shared" si="15"/>
        <v>0.96</v>
      </c>
      <c r="C105">
        <f t="shared" si="8"/>
        <v>4.0000000000000036E-2</v>
      </c>
      <c r="D105" s="106">
        <f t="shared" si="9"/>
        <v>2916598.7338662427</v>
      </c>
      <c r="E105" s="103">
        <f t="shared" si="10"/>
        <v>3.4286512861315011E-7</v>
      </c>
      <c r="F105" s="106">
        <f t="shared" si="11"/>
        <v>165111.73408930551</v>
      </c>
      <c r="G105" s="54">
        <f t="shared" si="12"/>
        <v>6.0565047391430146E-6</v>
      </c>
      <c r="H105" s="53">
        <f t="shared" si="13"/>
        <v>541934.08498356666</v>
      </c>
      <c r="I105" s="54">
        <f t="shared" si="14"/>
        <v>1.8452428583271775E-6</v>
      </c>
    </row>
    <row r="106" spans="1:9" x14ac:dyDescent="0.25">
      <c r="A106">
        <v>97</v>
      </c>
      <c r="B106">
        <f t="shared" si="15"/>
        <v>0.97</v>
      </c>
      <c r="C106">
        <f t="shared" si="8"/>
        <v>3.0000000000000027E-2</v>
      </c>
      <c r="D106" s="106">
        <f t="shared" si="9"/>
        <v>5156141.9907802287</v>
      </c>
      <c r="E106" s="103">
        <f t="shared" si="10"/>
        <v>1.9394345652003267E-7</v>
      </c>
      <c r="F106" s="106">
        <f t="shared" si="11"/>
        <v>204107.38048544916</v>
      </c>
      <c r="G106" s="54">
        <f t="shared" si="12"/>
        <v>4.8993818725300338E-6</v>
      </c>
      <c r="H106" s="53">
        <f t="shared" si="13"/>
        <v>858714.55325668189</v>
      </c>
      <c r="I106" s="54">
        <f t="shared" si="14"/>
        <v>1.1645313290749434E-6</v>
      </c>
    </row>
    <row r="107" spans="1:9" x14ac:dyDescent="0.25">
      <c r="A107">
        <v>98</v>
      </c>
      <c r="B107">
        <f t="shared" si="15"/>
        <v>0.98</v>
      </c>
      <c r="C107">
        <f t="shared" si="8"/>
        <v>2.0000000000000018E-2</v>
      </c>
      <c r="D107" s="106">
        <f t="shared" si="9"/>
        <v>11509462.667723287</v>
      </c>
      <c r="E107" s="103">
        <f t="shared" si="10"/>
        <v>8.6885029203349621E-8</v>
      </c>
      <c r="F107" s="106">
        <f t="shared" si="11"/>
        <v>273352.59094897693</v>
      </c>
      <c r="G107" s="54">
        <f t="shared" si="12"/>
        <v>3.6582788424590299E-6</v>
      </c>
      <c r="H107" s="53">
        <f t="shared" si="13"/>
        <v>1642839.7996712562</v>
      </c>
      <c r="I107" s="54">
        <f t="shared" si="14"/>
        <v>6.087020780724371E-7</v>
      </c>
    </row>
    <row r="108" spans="1:9" x14ac:dyDescent="0.25">
      <c r="A108">
        <v>99</v>
      </c>
      <c r="B108">
        <f t="shared" si="15"/>
        <v>0.99</v>
      </c>
      <c r="C108">
        <f t="shared" si="8"/>
        <v>1.0000000000000009E-2</v>
      </c>
      <c r="D108" s="106">
        <f t="shared" si="9"/>
        <v>45411299.202855244</v>
      </c>
      <c r="E108" s="103">
        <f t="shared" si="10"/>
        <v>2.202095111908018E-8</v>
      </c>
      <c r="F108" s="106">
        <f t="shared" si="11"/>
        <v>445190.63628662005</v>
      </c>
      <c r="G108" s="54">
        <f t="shared" si="12"/>
        <v>2.2462287354943059E-6</v>
      </c>
      <c r="H108" s="53">
        <f t="shared" si="13"/>
        <v>4980163.3337089159</v>
      </c>
      <c r="I108" s="54">
        <f t="shared" si="14"/>
        <v>2.007966271369783E-7</v>
      </c>
    </row>
    <row r="109" spans="1:9" x14ac:dyDescent="0.25">
      <c r="A109">
        <v>100</v>
      </c>
      <c r="B109">
        <f t="shared" si="15"/>
        <v>1</v>
      </c>
      <c r="C109">
        <f t="shared" si="8"/>
        <v>0</v>
      </c>
      <c r="D109" s="106" t="e">
        <f t="shared" si="9"/>
        <v>#DIV/0!</v>
      </c>
      <c r="E109" s="103" t="e">
        <f t="shared" si="10"/>
        <v>#DIV/0!</v>
      </c>
      <c r="F109" s="106" t="e">
        <f t="shared" si="11"/>
        <v>#DIV/0!</v>
      </c>
      <c r="G109" s="54" t="e">
        <f t="shared" si="12"/>
        <v>#DIV/0!</v>
      </c>
      <c r="H109" s="53" t="e">
        <f t="shared" si="13"/>
        <v>#DIV/0!</v>
      </c>
      <c r="I109" s="54" t="e">
        <f t="shared" si="14"/>
        <v>#DIV/0!</v>
      </c>
    </row>
  </sheetData>
  <mergeCells count="4">
    <mergeCell ref="B1:E1"/>
    <mergeCell ref="D7:E7"/>
    <mergeCell ref="F7:G7"/>
    <mergeCell ref="H7:I7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FA80-C554-4664-B423-9C97179F9B3F}">
  <dimension ref="B1:I24"/>
  <sheetViews>
    <sheetView topLeftCell="C1" zoomScale="85" zoomScaleNormal="85" workbookViewId="0">
      <selection activeCell="G28" sqref="G26:H28"/>
    </sheetView>
  </sheetViews>
  <sheetFormatPr defaultRowHeight="15" x14ac:dyDescent="0.25"/>
  <cols>
    <col min="5" max="5" width="10.140625" bestFit="1" customWidth="1"/>
    <col min="7" max="7" width="12" bestFit="1" customWidth="1"/>
  </cols>
  <sheetData>
    <row r="1" spans="2:9" x14ac:dyDescent="0.25">
      <c r="B1" s="84" t="s">
        <v>65</v>
      </c>
      <c r="C1" s="84"/>
      <c r="D1" s="84"/>
      <c r="E1" s="84"/>
      <c r="F1" s="84"/>
    </row>
    <row r="3" spans="2:9" x14ac:dyDescent="0.25">
      <c r="B3" s="10" t="s">
        <v>7</v>
      </c>
      <c r="C3" s="10" t="s">
        <v>69</v>
      </c>
      <c r="D3" s="10" t="s">
        <v>66</v>
      </c>
      <c r="E3" s="10" t="s">
        <v>67</v>
      </c>
      <c r="F3" s="10" t="s">
        <v>68</v>
      </c>
    </row>
    <row r="4" spans="2:9" x14ac:dyDescent="0.25">
      <c r="B4" s="10">
        <v>100</v>
      </c>
      <c r="C4" s="10">
        <f>100-B4</f>
        <v>0</v>
      </c>
      <c r="D4" s="6" t="e" cm="1">
        <f t="array" ref="D4">12.85*e^(-(9.738*C4))+3210*e^(-(1.4299*C4))</f>
        <v>#NAME?</v>
      </c>
    </row>
    <row r="5" spans="2:9" x14ac:dyDescent="0.25">
      <c r="B5" s="10">
        <v>95</v>
      </c>
      <c r="C5" s="10">
        <f t="shared" ref="C5:C24" si="0">100-B5</f>
        <v>5</v>
      </c>
      <c r="D5" s="6">
        <f>12850*EXP(-9.738*C5)+3210*EXP(-1.4299*C5)</f>
        <v>2.5206737228378033</v>
      </c>
    </row>
    <row r="6" spans="2:9" x14ac:dyDescent="0.25">
      <c r="B6" s="10">
        <v>90</v>
      </c>
      <c r="C6" s="10">
        <f t="shared" si="0"/>
        <v>10</v>
      </c>
      <c r="D6" s="6">
        <f>12850*EXP(-9.738*C6)+3210*EXP(-1.4299*C6)</f>
        <v>1.9793757062320843E-3</v>
      </c>
      <c r="G6">
        <f>12850*EXP(-9.738*C6)+3210*EXP(-1.4299*C6)</f>
        <v>1.9793757062320843E-3</v>
      </c>
    </row>
    <row r="7" spans="2:9" x14ac:dyDescent="0.25">
      <c r="B7" s="10">
        <v>85</v>
      </c>
      <c r="C7" s="10">
        <f t="shared" si="0"/>
        <v>15</v>
      </c>
      <c r="D7" s="6">
        <f t="shared" ref="D7:D24" si="1">12850*EXP(-9.738*C7)+3210*EXP(-1.4299*C7)</f>
        <v>1.5543178599136241E-6</v>
      </c>
    </row>
    <row r="8" spans="2:9" x14ac:dyDescent="0.25">
      <c r="B8" s="10">
        <v>80</v>
      </c>
      <c r="C8" s="10">
        <f t="shared" si="0"/>
        <v>20</v>
      </c>
      <c r="D8" s="6">
        <f t="shared" si="1"/>
        <v>1.2205383758323245E-9</v>
      </c>
      <c r="E8">
        <v>4250</v>
      </c>
      <c r="H8">
        <v>20</v>
      </c>
      <c r="I8">
        <v>4250</v>
      </c>
    </row>
    <row r="9" spans="2:9" x14ac:dyDescent="0.25">
      <c r="B9" s="10">
        <v>75</v>
      </c>
      <c r="C9" s="10">
        <f t="shared" si="0"/>
        <v>25</v>
      </c>
      <c r="D9" s="6">
        <f t="shared" si="1"/>
        <v>9.5843582918244865E-13</v>
      </c>
      <c r="H9">
        <v>30</v>
      </c>
      <c r="I9">
        <v>2750</v>
      </c>
    </row>
    <row r="10" spans="2:9" x14ac:dyDescent="0.25">
      <c r="B10" s="10">
        <v>70</v>
      </c>
      <c r="C10" s="10">
        <f t="shared" si="0"/>
        <v>30</v>
      </c>
      <c r="D10" s="6">
        <f t="shared" si="1"/>
        <v>7.5261807154095581E-16</v>
      </c>
      <c r="E10">
        <v>2750</v>
      </c>
      <c r="H10">
        <v>40</v>
      </c>
      <c r="I10">
        <v>2125</v>
      </c>
    </row>
    <row r="11" spans="2:9" x14ac:dyDescent="0.25">
      <c r="B11" s="10">
        <v>65</v>
      </c>
      <c r="C11" s="10">
        <f t="shared" si="0"/>
        <v>35</v>
      </c>
      <c r="D11" s="6">
        <f t="shared" si="1"/>
        <v>5.9099831659381796E-19</v>
      </c>
      <c r="H11">
        <v>60</v>
      </c>
      <c r="I11">
        <v>1375</v>
      </c>
    </row>
    <row r="12" spans="2:9" x14ac:dyDescent="0.25">
      <c r="B12" s="10">
        <v>60</v>
      </c>
      <c r="C12" s="10">
        <f t="shared" si="0"/>
        <v>40</v>
      </c>
      <c r="D12" s="6">
        <f t="shared" si="1"/>
        <v>4.6408533547645126E-22</v>
      </c>
      <c r="E12">
        <v>2125</v>
      </c>
      <c r="H12">
        <v>80</v>
      </c>
      <c r="I12">
        <v>1000</v>
      </c>
    </row>
    <row r="13" spans="2:9" x14ac:dyDescent="0.25">
      <c r="B13" s="10">
        <v>55</v>
      </c>
      <c r="C13" s="10">
        <f t="shared" si="0"/>
        <v>45</v>
      </c>
      <c r="D13" s="6">
        <f t="shared" si="1"/>
        <v>3.6442607797191686E-25</v>
      </c>
      <c r="H13">
        <v>100</v>
      </c>
      <c r="I13">
        <v>800</v>
      </c>
    </row>
    <row r="14" spans="2:9" x14ac:dyDescent="0.25">
      <c r="B14" s="10">
        <v>50</v>
      </c>
      <c r="C14" s="10">
        <f t="shared" si="0"/>
        <v>50</v>
      </c>
      <c r="D14" s="6">
        <f t="shared" si="1"/>
        <v>2.8616798712169711E-28</v>
      </c>
    </row>
    <row r="15" spans="2:9" x14ac:dyDescent="0.25">
      <c r="B15" s="10">
        <v>45</v>
      </c>
      <c r="C15" s="10">
        <f t="shared" si="0"/>
        <v>55</v>
      </c>
      <c r="D15" s="6">
        <f t="shared" si="1"/>
        <v>2.2471530388007991E-31</v>
      </c>
    </row>
    <row r="16" spans="2:9" x14ac:dyDescent="0.25">
      <c r="B16" s="10">
        <v>40</v>
      </c>
      <c r="C16" s="10">
        <f t="shared" si="0"/>
        <v>60</v>
      </c>
      <c r="D16" s="6">
        <f t="shared" si="1"/>
        <v>1.7645917807165956E-34</v>
      </c>
      <c r="E16">
        <v>1375</v>
      </c>
    </row>
    <row r="17" spans="2:5" x14ac:dyDescent="0.25">
      <c r="B17" s="10">
        <v>35</v>
      </c>
      <c r="C17" s="10">
        <f t="shared" si="0"/>
        <v>65</v>
      </c>
      <c r="D17" s="6">
        <f t="shared" si="1"/>
        <v>1.3856573623638236E-37</v>
      </c>
    </row>
    <row r="18" spans="2:5" x14ac:dyDescent="0.25">
      <c r="B18" s="10">
        <v>30</v>
      </c>
      <c r="C18" s="10">
        <f t="shared" si="0"/>
        <v>70</v>
      </c>
      <c r="D18" s="6">
        <f t="shared" si="1"/>
        <v>1.0880966050365318E-40</v>
      </c>
    </row>
    <row r="19" spans="2:5" x14ac:dyDescent="0.25">
      <c r="B19" s="10">
        <v>25</v>
      </c>
      <c r="C19" s="10">
        <f t="shared" si="0"/>
        <v>75</v>
      </c>
      <c r="D19" s="6">
        <f t="shared" si="1"/>
        <v>8.5443505302947022E-44</v>
      </c>
    </row>
    <row r="20" spans="2:5" x14ac:dyDescent="0.25">
      <c r="B20" s="10">
        <v>20</v>
      </c>
      <c r="C20" s="10">
        <f t="shared" si="0"/>
        <v>80</v>
      </c>
      <c r="D20" s="6">
        <f t="shared" si="1"/>
        <v>6.70950774468194E-47</v>
      </c>
      <c r="E20">
        <v>1000</v>
      </c>
    </row>
    <row r="21" spans="2:5" x14ac:dyDescent="0.25">
      <c r="B21" s="10">
        <v>15</v>
      </c>
      <c r="C21" s="10">
        <f t="shared" si="0"/>
        <v>85</v>
      </c>
      <c r="D21" s="6">
        <f t="shared" si="1"/>
        <v>5.2686853162605727E-50</v>
      </c>
    </row>
    <row r="22" spans="2:5" x14ac:dyDescent="0.25">
      <c r="B22" s="10">
        <v>10</v>
      </c>
      <c r="C22" s="10">
        <f t="shared" si="0"/>
        <v>90</v>
      </c>
      <c r="D22" s="6">
        <f t="shared" si="1"/>
        <v>4.137269978379863E-53</v>
      </c>
    </row>
    <row r="23" spans="2:5" x14ac:dyDescent="0.25">
      <c r="B23" s="10">
        <v>5</v>
      </c>
      <c r="C23" s="10">
        <f t="shared" si="0"/>
        <v>95</v>
      </c>
      <c r="D23" s="6">
        <f t="shared" si="1"/>
        <v>3.2488186039837871E-56</v>
      </c>
    </row>
    <row r="24" spans="2:5" x14ac:dyDescent="0.25">
      <c r="B24" s="10">
        <v>0</v>
      </c>
      <c r="C24" s="10">
        <f t="shared" si="0"/>
        <v>100</v>
      </c>
      <c r="D24" s="6">
        <f t="shared" si="1"/>
        <v>2.5511562882642933E-59</v>
      </c>
      <c r="E24">
        <v>800</v>
      </c>
    </row>
  </sheetData>
  <mergeCells count="1">
    <mergeCell ref="B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87DC-1C1C-4EDD-813A-BB458517AB4F}">
  <dimension ref="A1:S47"/>
  <sheetViews>
    <sheetView topLeftCell="J1" zoomScale="85" zoomScaleNormal="85" workbookViewId="0">
      <selection activeCell="O12" sqref="O12:O15"/>
    </sheetView>
  </sheetViews>
  <sheetFormatPr defaultRowHeight="15" x14ac:dyDescent="0.25"/>
  <cols>
    <col min="1" max="1" width="15.28515625" bestFit="1" customWidth="1"/>
    <col min="3" max="3" width="8" customWidth="1"/>
    <col min="4" max="4" width="8" bestFit="1" customWidth="1"/>
    <col min="6" max="6" width="11.28515625" bestFit="1" customWidth="1"/>
    <col min="7" max="7" width="14.85546875" bestFit="1" customWidth="1"/>
    <col min="8" max="8" width="11.28515625" customWidth="1"/>
    <col min="9" max="9" width="7.85546875" customWidth="1"/>
    <col min="12" max="12" width="11.28515625" bestFit="1" customWidth="1"/>
    <col min="13" max="13" width="14.85546875" bestFit="1" customWidth="1"/>
    <col min="15" max="15" width="8" customWidth="1"/>
    <col min="18" max="18" width="11.28515625" bestFit="1" customWidth="1"/>
    <col min="19" max="19" width="14.85546875" bestFit="1" customWidth="1"/>
  </cols>
  <sheetData>
    <row r="1" spans="1:19" x14ac:dyDescent="0.25">
      <c r="A1" t="s">
        <v>108</v>
      </c>
      <c r="B1" t="s">
        <v>110</v>
      </c>
    </row>
    <row r="2" spans="1:19" x14ac:dyDescent="0.25">
      <c r="A2" t="s">
        <v>109</v>
      </c>
      <c r="B2" t="s">
        <v>111</v>
      </c>
      <c r="D2" s="87" t="s">
        <v>93</v>
      </c>
      <c r="E2" s="87"/>
      <c r="F2" s="87"/>
      <c r="G2" s="87"/>
      <c r="H2" s="48"/>
      <c r="J2" s="87" t="s">
        <v>94</v>
      </c>
      <c r="K2" s="87"/>
      <c r="L2" s="87"/>
      <c r="M2" s="87"/>
      <c r="P2" s="87" t="s">
        <v>102</v>
      </c>
      <c r="Q2" s="87"/>
      <c r="R2" s="87"/>
      <c r="S2" s="87"/>
    </row>
    <row r="3" spans="1:19" x14ac:dyDescent="0.25">
      <c r="A3" s="86" t="s">
        <v>103</v>
      </c>
      <c r="D3" s="49" t="s">
        <v>95</v>
      </c>
      <c r="E3" s="3" t="s">
        <v>101</v>
      </c>
      <c r="F3" s="49" t="s">
        <v>106</v>
      </c>
      <c r="G3" s="49" t="s">
        <v>107</v>
      </c>
      <c r="H3" s="49"/>
      <c r="J3" s="3" t="s">
        <v>95</v>
      </c>
      <c r="K3" s="3" t="s">
        <v>101</v>
      </c>
      <c r="L3" s="3" t="s">
        <v>106</v>
      </c>
      <c r="M3" s="3" t="s">
        <v>107</v>
      </c>
      <c r="P3" s="3" t="s">
        <v>95</v>
      </c>
      <c r="Q3" s="3" t="s">
        <v>101</v>
      </c>
      <c r="R3" s="3" t="s">
        <v>106</v>
      </c>
      <c r="S3" s="3" t="s">
        <v>107</v>
      </c>
    </row>
    <row r="4" spans="1:19" x14ac:dyDescent="0.25">
      <c r="A4" s="86"/>
      <c r="C4" s="81" t="s">
        <v>98</v>
      </c>
      <c r="D4" s="50">
        <v>1344</v>
      </c>
      <c r="E4" s="51"/>
      <c r="F4" s="51"/>
      <c r="G4" s="52"/>
      <c r="I4" s="81" t="s">
        <v>98</v>
      </c>
      <c r="J4" s="50">
        <v>1344</v>
      </c>
      <c r="K4" s="51"/>
      <c r="L4" s="51"/>
      <c r="M4" s="52"/>
      <c r="O4" s="81" t="s">
        <v>98</v>
      </c>
      <c r="P4" s="50">
        <v>1344</v>
      </c>
      <c r="Q4" s="62">
        <v>2.31</v>
      </c>
      <c r="R4" s="62">
        <v>10.25</v>
      </c>
      <c r="S4" s="63">
        <v>7.58</v>
      </c>
    </row>
    <row r="5" spans="1:19" x14ac:dyDescent="0.25">
      <c r="A5" s="86"/>
      <c r="C5" s="81"/>
      <c r="D5" s="53">
        <v>2688</v>
      </c>
      <c r="G5" s="54"/>
      <c r="I5" s="81"/>
      <c r="J5" s="53">
        <v>2688</v>
      </c>
      <c r="M5" s="54"/>
      <c r="O5" s="81"/>
      <c r="P5" s="53">
        <v>2688</v>
      </c>
      <c r="Q5" s="6">
        <v>4.68</v>
      </c>
      <c r="R5" s="6">
        <v>21.81</v>
      </c>
      <c r="S5" s="59">
        <v>23.97</v>
      </c>
    </row>
    <row r="6" spans="1:19" x14ac:dyDescent="0.25">
      <c r="A6" s="86"/>
      <c r="C6" s="81"/>
      <c r="D6" s="53"/>
      <c r="G6" s="54"/>
      <c r="I6" s="81"/>
      <c r="J6" s="53"/>
      <c r="M6" s="54"/>
      <c r="O6" s="81"/>
      <c r="P6" s="53">
        <v>4032</v>
      </c>
      <c r="Q6" s="6">
        <v>7.03</v>
      </c>
      <c r="R6" s="6">
        <v>38.549999999999997</v>
      </c>
      <c r="S6" s="59">
        <v>45.94</v>
      </c>
    </row>
    <row r="7" spans="1:19" x14ac:dyDescent="0.25">
      <c r="A7" s="86"/>
      <c r="C7" s="81"/>
      <c r="D7" s="55">
        <v>4032</v>
      </c>
      <c r="E7" s="56"/>
      <c r="F7" s="56"/>
      <c r="G7" s="57"/>
      <c r="I7" s="81"/>
      <c r="J7" s="55">
        <v>4032</v>
      </c>
      <c r="K7" s="56"/>
      <c r="L7" s="56"/>
      <c r="M7" s="57"/>
      <c r="O7" s="81"/>
      <c r="P7" s="55">
        <v>8760</v>
      </c>
      <c r="Q7" s="60">
        <v>19.100000000000001</v>
      </c>
      <c r="R7" s="60">
        <v>71.19</v>
      </c>
      <c r="S7" s="61">
        <v>86.5</v>
      </c>
    </row>
    <row r="8" spans="1:19" x14ac:dyDescent="0.25">
      <c r="A8" s="86"/>
      <c r="C8" s="81" t="s">
        <v>100</v>
      </c>
      <c r="D8" s="50">
        <v>1344</v>
      </c>
      <c r="E8" s="51"/>
      <c r="F8" s="51"/>
      <c r="G8" s="52"/>
      <c r="I8" s="81" t="s">
        <v>100</v>
      </c>
      <c r="J8" s="50">
        <v>1344</v>
      </c>
      <c r="K8" s="51"/>
      <c r="L8" s="51"/>
      <c r="M8" s="52"/>
      <c r="O8" s="81" t="s">
        <v>100</v>
      </c>
      <c r="P8" s="50">
        <v>1344</v>
      </c>
      <c r="Q8" s="62">
        <v>3.94</v>
      </c>
      <c r="R8" s="62">
        <v>23.42</v>
      </c>
      <c r="S8" s="63">
        <v>17.690000000000001</v>
      </c>
    </row>
    <row r="9" spans="1:19" x14ac:dyDescent="0.25">
      <c r="A9" s="86"/>
      <c r="C9" s="81"/>
      <c r="D9" s="53">
        <v>2688</v>
      </c>
      <c r="G9" s="54"/>
      <c r="I9" s="81"/>
      <c r="J9" s="53">
        <v>2688</v>
      </c>
      <c r="M9" s="54"/>
      <c r="O9" s="81"/>
      <c r="P9" s="53">
        <v>2688</v>
      </c>
      <c r="Q9" s="6">
        <v>5.55</v>
      </c>
      <c r="R9" s="6">
        <v>52.97</v>
      </c>
      <c r="S9" s="59">
        <v>42.915999999999997</v>
      </c>
    </row>
    <row r="10" spans="1:19" x14ac:dyDescent="0.25">
      <c r="A10" s="86"/>
      <c r="C10" s="81"/>
      <c r="D10" s="53"/>
      <c r="G10" s="54"/>
      <c r="I10" s="81"/>
      <c r="J10" s="53">
        <v>4032</v>
      </c>
      <c r="M10" s="54"/>
      <c r="O10" s="81"/>
      <c r="P10" s="53">
        <v>4032</v>
      </c>
      <c r="Q10" s="6">
        <v>8.56</v>
      </c>
      <c r="R10" s="6">
        <v>66.55</v>
      </c>
      <c r="S10" s="59">
        <v>57.22</v>
      </c>
    </row>
    <row r="11" spans="1:19" x14ac:dyDescent="0.25">
      <c r="A11" s="86"/>
      <c r="C11" s="81"/>
      <c r="D11" s="55">
        <v>4032</v>
      </c>
      <c r="E11" s="56"/>
      <c r="F11" s="56"/>
      <c r="G11" s="57"/>
      <c r="I11" s="81"/>
      <c r="J11" s="55">
        <v>8760</v>
      </c>
      <c r="K11" s="56"/>
      <c r="L11" s="56"/>
      <c r="M11" s="57"/>
      <c r="O11" s="81"/>
      <c r="P11" s="53">
        <v>8760</v>
      </c>
      <c r="Q11" s="6">
        <v>18.399999999999999</v>
      </c>
      <c r="R11" s="6">
        <v>130.29</v>
      </c>
      <c r="S11" s="59">
        <v>116.61</v>
      </c>
    </row>
    <row r="12" spans="1:19" ht="15" customHeight="1" x14ac:dyDescent="0.25">
      <c r="A12" s="86"/>
      <c r="C12" s="85" t="s">
        <v>99</v>
      </c>
      <c r="D12" s="50">
        <v>1344</v>
      </c>
      <c r="E12" s="51"/>
      <c r="F12" s="51"/>
      <c r="G12" s="52"/>
      <c r="I12" s="85" t="s">
        <v>99</v>
      </c>
      <c r="J12" s="50">
        <v>1344</v>
      </c>
      <c r="K12" s="51"/>
      <c r="L12" s="51"/>
      <c r="M12" s="52"/>
      <c r="O12" s="85" t="s">
        <v>99</v>
      </c>
      <c r="P12" s="50">
        <v>1344</v>
      </c>
      <c r="Q12" s="62">
        <v>2.59</v>
      </c>
      <c r="R12" s="62">
        <v>367.07</v>
      </c>
      <c r="S12" s="63">
        <v>150.03899999999999</v>
      </c>
    </row>
    <row r="13" spans="1:19" x14ac:dyDescent="0.25">
      <c r="A13" s="86"/>
      <c r="C13" s="85"/>
      <c r="D13" s="53">
        <v>2688</v>
      </c>
      <c r="G13" s="54"/>
      <c r="I13" s="85"/>
      <c r="J13" s="53">
        <v>2688</v>
      </c>
      <c r="M13" s="54"/>
      <c r="O13" s="85"/>
      <c r="P13" s="53">
        <v>2688</v>
      </c>
      <c r="Q13" s="6">
        <v>4.82</v>
      </c>
      <c r="R13" s="6">
        <v>194.6</v>
      </c>
      <c r="S13" s="59">
        <v>127.08329999999999</v>
      </c>
    </row>
    <row r="14" spans="1:19" x14ac:dyDescent="0.25">
      <c r="A14" s="86"/>
      <c r="C14" s="85"/>
      <c r="D14" s="53">
        <v>4032</v>
      </c>
      <c r="G14" s="54"/>
      <c r="I14" s="85"/>
      <c r="J14" s="53">
        <v>4032</v>
      </c>
      <c r="M14" s="54"/>
      <c r="O14" s="85"/>
      <c r="P14" s="53">
        <v>4032</v>
      </c>
      <c r="Q14" s="6">
        <v>7.88</v>
      </c>
      <c r="R14" s="6">
        <v>712.86</v>
      </c>
      <c r="S14" s="59">
        <v>218.56</v>
      </c>
    </row>
    <row r="15" spans="1:19" x14ac:dyDescent="0.25">
      <c r="A15" s="58"/>
      <c r="C15" s="85"/>
      <c r="D15" s="55">
        <v>4033</v>
      </c>
      <c r="E15" s="56"/>
      <c r="F15" s="56"/>
      <c r="G15" s="57"/>
      <c r="I15" s="85"/>
      <c r="J15" s="55">
        <v>8760</v>
      </c>
      <c r="K15" s="56"/>
      <c r="L15" s="56"/>
      <c r="M15" s="57"/>
      <c r="O15" s="85"/>
      <c r="P15" s="55">
        <v>8760</v>
      </c>
      <c r="Q15" s="60">
        <v>10.5</v>
      </c>
      <c r="R15" s="60">
        <v>1511.89</v>
      </c>
      <c r="S15" s="61">
        <v>1172.0229999999999</v>
      </c>
    </row>
    <row r="17" spans="1:19" x14ac:dyDescent="0.25">
      <c r="D17" s="87" t="s">
        <v>93</v>
      </c>
      <c r="E17" s="87"/>
      <c r="F17" s="87"/>
      <c r="G17" s="87"/>
      <c r="H17" s="48"/>
      <c r="J17" s="87" t="s">
        <v>94</v>
      </c>
      <c r="K17" s="87"/>
      <c r="L17" s="87"/>
      <c r="M17" s="87"/>
      <c r="P17" s="87" t="s">
        <v>102</v>
      </c>
      <c r="Q17" s="87"/>
      <c r="R17" s="87"/>
      <c r="S17" s="87"/>
    </row>
    <row r="18" spans="1:19" x14ac:dyDescent="0.25">
      <c r="A18" s="86" t="s">
        <v>104</v>
      </c>
      <c r="D18" s="49" t="s">
        <v>95</v>
      </c>
      <c r="E18" s="3" t="s">
        <v>101</v>
      </c>
      <c r="F18" s="49" t="s">
        <v>106</v>
      </c>
      <c r="G18" s="49" t="s">
        <v>107</v>
      </c>
      <c r="H18" s="49"/>
      <c r="J18" s="3" t="s">
        <v>95</v>
      </c>
      <c r="K18" s="3" t="s">
        <v>101</v>
      </c>
      <c r="L18" s="3" t="s">
        <v>106</v>
      </c>
      <c r="M18" s="3" t="s">
        <v>107</v>
      </c>
      <c r="P18" s="3" t="s">
        <v>95</v>
      </c>
      <c r="Q18" s="3" t="s">
        <v>101</v>
      </c>
      <c r="R18" s="3" t="s">
        <v>106</v>
      </c>
      <c r="S18" s="3" t="s">
        <v>107</v>
      </c>
    </row>
    <row r="19" spans="1:19" x14ac:dyDescent="0.25">
      <c r="A19" s="86"/>
      <c r="C19" s="81" t="s">
        <v>98</v>
      </c>
      <c r="D19" s="50">
        <v>1344</v>
      </c>
      <c r="E19" s="51"/>
      <c r="F19" s="51"/>
      <c r="G19" s="52"/>
      <c r="I19" s="81" t="s">
        <v>98</v>
      </c>
      <c r="J19" s="50">
        <v>1344</v>
      </c>
      <c r="K19" s="51"/>
      <c r="L19" s="51"/>
      <c r="M19" s="52"/>
      <c r="O19" s="81" t="s">
        <v>98</v>
      </c>
      <c r="P19" s="50">
        <v>1344</v>
      </c>
      <c r="Q19" s="51">
        <v>2.52</v>
      </c>
      <c r="R19" s="51">
        <v>271.76</v>
      </c>
      <c r="S19" s="52">
        <v>133.44</v>
      </c>
    </row>
    <row r="20" spans="1:19" x14ac:dyDescent="0.25">
      <c r="A20" s="86"/>
      <c r="C20" s="81"/>
      <c r="D20" s="53">
        <v>2688</v>
      </c>
      <c r="G20" s="54"/>
      <c r="I20" s="81"/>
      <c r="J20" s="53">
        <v>2688</v>
      </c>
      <c r="M20" s="54"/>
      <c r="O20" s="81"/>
      <c r="P20" s="53">
        <v>2688</v>
      </c>
      <c r="Q20" s="6">
        <v>5.71</v>
      </c>
      <c r="R20" s="6">
        <v>573.32000000000005</v>
      </c>
      <c r="S20" s="59">
        <v>319</v>
      </c>
    </row>
    <row r="21" spans="1:19" x14ac:dyDescent="0.25">
      <c r="A21" s="86"/>
      <c r="C21" s="81"/>
      <c r="D21" s="53"/>
      <c r="G21" s="54"/>
      <c r="I21" s="81"/>
      <c r="J21" s="53">
        <v>4032</v>
      </c>
      <c r="M21" s="54"/>
      <c r="O21" s="81"/>
      <c r="P21" s="53">
        <v>4032</v>
      </c>
      <c r="Q21" s="6">
        <v>8.0299999999999994</v>
      </c>
      <c r="R21" s="6">
        <v>874.62</v>
      </c>
      <c r="S21" s="59">
        <v>530.66</v>
      </c>
    </row>
    <row r="22" spans="1:19" x14ac:dyDescent="0.25">
      <c r="A22" s="86"/>
      <c r="C22" s="81"/>
      <c r="D22" s="55">
        <v>4032</v>
      </c>
      <c r="E22" s="56"/>
      <c r="F22" s="56"/>
      <c r="G22" s="57"/>
      <c r="I22" s="81"/>
      <c r="J22" s="55">
        <v>8760</v>
      </c>
      <c r="K22" s="56"/>
      <c r="L22" s="56"/>
      <c r="M22" s="57"/>
      <c r="O22" s="81"/>
      <c r="P22" s="55">
        <v>8760</v>
      </c>
      <c r="Q22" s="60">
        <v>19.7</v>
      </c>
      <c r="R22" s="60">
        <v>1717.3</v>
      </c>
      <c r="S22" s="61">
        <v>1333.99</v>
      </c>
    </row>
    <row r="23" spans="1:19" x14ac:dyDescent="0.25">
      <c r="A23" s="86"/>
      <c r="C23" s="81" t="s">
        <v>100</v>
      </c>
      <c r="D23" s="50">
        <v>1344</v>
      </c>
      <c r="E23" s="51"/>
      <c r="F23" s="51"/>
      <c r="G23" s="52"/>
      <c r="I23" s="81" t="s">
        <v>100</v>
      </c>
      <c r="J23" s="50">
        <v>1344</v>
      </c>
      <c r="K23" s="51"/>
      <c r="L23" s="51"/>
      <c r="M23" s="52"/>
      <c r="O23" s="81" t="s">
        <v>100</v>
      </c>
      <c r="P23" s="50">
        <v>1344</v>
      </c>
      <c r="Q23" s="62">
        <v>2.83</v>
      </c>
      <c r="R23" s="62">
        <v>458.1</v>
      </c>
      <c r="S23" s="63">
        <v>174.88</v>
      </c>
    </row>
    <row r="24" spans="1:19" x14ac:dyDescent="0.25">
      <c r="A24" s="86"/>
      <c r="C24" s="81"/>
      <c r="D24" s="53">
        <v>2688</v>
      </c>
      <c r="G24" s="54"/>
      <c r="I24" s="81"/>
      <c r="J24" s="53">
        <v>2688</v>
      </c>
      <c r="M24" s="54"/>
      <c r="O24" s="81"/>
      <c r="P24" s="53">
        <v>2688</v>
      </c>
      <c r="Q24" s="6">
        <v>5.8040000000000003</v>
      </c>
      <c r="R24" s="6">
        <v>1072.3499999999999</v>
      </c>
      <c r="S24" s="59">
        <v>493.13</v>
      </c>
    </row>
    <row r="25" spans="1:19" x14ac:dyDescent="0.25">
      <c r="A25" s="86"/>
      <c r="C25" s="81"/>
      <c r="D25" s="53">
        <v>4032</v>
      </c>
      <c r="G25" s="54"/>
      <c r="I25" s="81"/>
      <c r="J25" s="53">
        <v>4032</v>
      </c>
      <c r="M25" s="54"/>
      <c r="O25" s="81"/>
      <c r="P25" s="53">
        <v>4032</v>
      </c>
      <c r="Q25" s="6">
        <v>15</v>
      </c>
      <c r="R25" s="6">
        <v>1818.79</v>
      </c>
      <c r="S25" s="59">
        <v>919.5</v>
      </c>
    </row>
    <row r="26" spans="1:19" x14ac:dyDescent="0.25">
      <c r="A26" s="86"/>
      <c r="C26" s="81"/>
      <c r="D26" s="55">
        <v>8760</v>
      </c>
      <c r="E26" s="56"/>
      <c r="F26" s="56"/>
      <c r="G26" s="57"/>
      <c r="I26" s="81"/>
      <c r="J26" s="55">
        <v>8760</v>
      </c>
      <c r="K26" s="56"/>
      <c r="L26" s="56"/>
      <c r="M26" s="57"/>
      <c r="O26" s="81"/>
      <c r="P26" s="55">
        <v>8760</v>
      </c>
      <c r="Q26" s="60">
        <v>27.9</v>
      </c>
      <c r="R26" s="60">
        <v>6980.18</v>
      </c>
      <c r="S26" s="61">
        <v>3224.03</v>
      </c>
    </row>
    <row r="27" spans="1:19" ht="15" customHeight="1" x14ac:dyDescent="0.25">
      <c r="A27" s="86"/>
      <c r="C27" s="81" t="s">
        <v>99</v>
      </c>
      <c r="D27" s="50">
        <v>1344</v>
      </c>
      <c r="E27" s="51"/>
      <c r="F27" s="51"/>
      <c r="G27" s="52"/>
      <c r="I27" s="81" t="s">
        <v>99</v>
      </c>
      <c r="J27" s="50">
        <v>1344</v>
      </c>
      <c r="K27" s="51"/>
      <c r="L27" s="51"/>
      <c r="M27" s="52"/>
      <c r="O27" s="85" t="s">
        <v>99</v>
      </c>
      <c r="P27" s="50">
        <v>1344</v>
      </c>
      <c r="Q27" s="51">
        <v>3.81</v>
      </c>
      <c r="R27" s="62">
        <v>2482.31</v>
      </c>
      <c r="S27" s="63">
        <v>791.39</v>
      </c>
    </row>
    <row r="28" spans="1:19" x14ac:dyDescent="0.25">
      <c r="A28" s="86"/>
      <c r="C28" s="81"/>
      <c r="D28" s="53">
        <v>2688</v>
      </c>
      <c r="G28" s="54"/>
      <c r="I28" s="81"/>
      <c r="J28" s="53">
        <v>2688</v>
      </c>
      <c r="M28" s="54"/>
      <c r="O28" s="85"/>
      <c r="P28" s="53">
        <v>2688</v>
      </c>
      <c r="Q28">
        <v>4.88</v>
      </c>
      <c r="R28" s="6">
        <v>5732.1</v>
      </c>
      <c r="S28" s="59">
        <v>2086.2280000000001</v>
      </c>
    </row>
    <row r="29" spans="1:19" x14ac:dyDescent="0.25">
      <c r="A29" s="86"/>
      <c r="C29" s="81"/>
      <c r="D29" s="55">
        <v>4032</v>
      </c>
      <c r="E29" s="56"/>
      <c r="F29" s="56"/>
      <c r="G29" s="57"/>
      <c r="I29" s="81"/>
      <c r="J29" s="55">
        <v>4032</v>
      </c>
      <c r="K29" s="56"/>
      <c r="L29" s="56"/>
      <c r="M29" s="57"/>
      <c r="O29" s="85"/>
      <c r="P29" s="53">
        <v>4032</v>
      </c>
      <c r="Q29">
        <v>10.8</v>
      </c>
      <c r="R29" s="6">
        <v>14149.29</v>
      </c>
      <c r="S29" s="59">
        <v>5928.4</v>
      </c>
    </row>
    <row r="30" spans="1:19" x14ac:dyDescent="0.25">
      <c r="D30" s="53">
        <v>8760</v>
      </c>
      <c r="J30" s="53">
        <v>8760</v>
      </c>
      <c r="O30" s="85"/>
      <c r="P30" s="55">
        <v>8760</v>
      </c>
      <c r="Q30" s="56">
        <v>13.3</v>
      </c>
      <c r="R30" s="60">
        <v>42870.118000000002</v>
      </c>
      <c r="S30" s="61">
        <v>18319.45</v>
      </c>
    </row>
    <row r="33" spans="2:19" x14ac:dyDescent="0.25">
      <c r="B33" s="82" t="s">
        <v>105</v>
      </c>
      <c r="C33" s="82"/>
      <c r="D33" s="82"/>
      <c r="E33" s="82"/>
    </row>
    <row r="35" spans="2:19" x14ac:dyDescent="0.25">
      <c r="D35" s="87" t="s">
        <v>93</v>
      </c>
      <c r="E35" s="87"/>
      <c r="F35" s="87"/>
      <c r="G35" s="87"/>
      <c r="H35" s="48"/>
      <c r="J35" s="87" t="s">
        <v>94</v>
      </c>
      <c r="K35" s="87"/>
      <c r="L35" s="87"/>
      <c r="M35" s="87"/>
      <c r="P35" s="87" t="s">
        <v>102</v>
      </c>
      <c r="Q35" s="87"/>
      <c r="R35" s="87"/>
      <c r="S35" s="87"/>
    </row>
    <row r="36" spans="2:19" x14ac:dyDescent="0.25">
      <c r="D36" s="49" t="s">
        <v>95</v>
      </c>
      <c r="E36" s="49" t="s">
        <v>96</v>
      </c>
      <c r="F36" s="49" t="s">
        <v>97</v>
      </c>
      <c r="G36" s="49" t="s">
        <v>25</v>
      </c>
      <c r="H36" s="49"/>
      <c r="J36" s="3" t="s">
        <v>95</v>
      </c>
      <c r="K36" s="3" t="s">
        <v>101</v>
      </c>
      <c r="L36" s="3" t="s">
        <v>97</v>
      </c>
      <c r="M36" s="3" t="s">
        <v>25</v>
      </c>
      <c r="P36" s="3" t="s">
        <v>95</v>
      </c>
      <c r="Q36" s="3" t="s">
        <v>101</v>
      </c>
      <c r="R36" s="3" t="s">
        <v>97</v>
      </c>
      <c r="S36" s="3" t="s">
        <v>25</v>
      </c>
    </row>
    <row r="37" spans="2:19" ht="15" customHeight="1" x14ac:dyDescent="0.25">
      <c r="C37" s="81" t="s">
        <v>98</v>
      </c>
      <c r="D37" s="50">
        <v>1344</v>
      </c>
      <c r="E37" s="51"/>
      <c r="F37" s="51"/>
      <c r="G37" s="52"/>
      <c r="I37" s="81" t="s">
        <v>98</v>
      </c>
      <c r="J37" s="50">
        <v>1344</v>
      </c>
      <c r="K37" s="51">
        <v>3.53</v>
      </c>
      <c r="L37" s="51">
        <v>186.17</v>
      </c>
      <c r="M37" s="52">
        <v>213</v>
      </c>
      <c r="O37" s="81" t="s">
        <v>98</v>
      </c>
      <c r="P37" s="50">
        <v>1344</v>
      </c>
      <c r="Q37" s="51"/>
      <c r="R37" s="51"/>
      <c r="S37" s="52"/>
    </row>
    <row r="38" spans="2:19" x14ac:dyDescent="0.25">
      <c r="C38" s="81"/>
      <c r="D38" s="53">
        <v>2688</v>
      </c>
      <c r="G38" s="54"/>
      <c r="I38" s="81"/>
      <c r="J38" s="53">
        <v>2688</v>
      </c>
      <c r="K38">
        <v>6.61</v>
      </c>
      <c r="L38">
        <v>541.49</v>
      </c>
      <c r="M38" s="54">
        <v>666.11</v>
      </c>
      <c r="O38" s="81"/>
      <c r="P38" s="53">
        <v>2688</v>
      </c>
      <c r="S38" s="54"/>
    </row>
    <row r="39" spans="2:19" x14ac:dyDescent="0.25">
      <c r="C39" s="81"/>
      <c r="D39" s="55">
        <v>4032</v>
      </c>
      <c r="E39" s="56"/>
      <c r="F39" s="56"/>
      <c r="G39" s="57"/>
      <c r="I39" s="81"/>
      <c r="J39" s="55">
        <v>4032</v>
      </c>
      <c r="K39" s="56">
        <v>6.79</v>
      </c>
      <c r="L39" s="56">
        <v>675.6</v>
      </c>
      <c r="M39" s="57">
        <v>824.99</v>
      </c>
      <c r="O39" s="81"/>
      <c r="P39" s="55">
        <v>4032</v>
      </c>
      <c r="Q39" s="56"/>
      <c r="R39" s="56"/>
      <c r="S39" s="57"/>
    </row>
    <row r="40" spans="2:19" ht="15" customHeight="1" x14ac:dyDescent="0.25">
      <c r="C40" s="81" t="s">
        <v>100</v>
      </c>
      <c r="D40" s="50">
        <v>1344</v>
      </c>
      <c r="E40" s="51"/>
      <c r="F40" s="51"/>
      <c r="G40" s="52"/>
      <c r="I40" s="81" t="s">
        <v>100</v>
      </c>
      <c r="J40" s="50">
        <v>1344</v>
      </c>
      <c r="K40" s="51">
        <v>3.84</v>
      </c>
      <c r="L40" s="51">
        <v>480.36</v>
      </c>
      <c r="M40" s="52">
        <v>459.45</v>
      </c>
      <c r="O40" s="81" t="s">
        <v>100</v>
      </c>
      <c r="P40" s="50">
        <v>1344</v>
      </c>
      <c r="Q40" s="51"/>
      <c r="R40" s="51"/>
      <c r="S40" s="52"/>
    </row>
    <row r="41" spans="2:19" x14ac:dyDescent="0.25">
      <c r="C41" s="81"/>
      <c r="D41" s="53">
        <v>2688</v>
      </c>
      <c r="G41" s="54"/>
      <c r="I41" s="81"/>
      <c r="J41" s="53">
        <v>2688</v>
      </c>
      <c r="K41">
        <v>11.6</v>
      </c>
      <c r="L41">
        <v>928.84</v>
      </c>
      <c r="M41" s="54">
        <v>811.66</v>
      </c>
      <c r="O41" s="81"/>
      <c r="P41" s="53">
        <v>2688</v>
      </c>
      <c r="S41" s="54"/>
    </row>
    <row r="42" spans="2:19" x14ac:dyDescent="0.25">
      <c r="C42" s="81"/>
      <c r="D42" s="55">
        <v>4032</v>
      </c>
      <c r="E42" s="56"/>
      <c r="F42" s="56"/>
      <c r="G42" s="57"/>
      <c r="I42" s="81"/>
      <c r="J42" s="55">
        <v>4032</v>
      </c>
      <c r="K42" s="56">
        <v>7.48</v>
      </c>
      <c r="L42" s="56">
        <v>1280.52</v>
      </c>
      <c r="M42" s="57">
        <v>1102.77</v>
      </c>
      <c r="O42" s="81"/>
      <c r="P42" s="55">
        <v>4032</v>
      </c>
      <c r="Q42" s="56"/>
      <c r="R42" s="56"/>
      <c r="S42" s="57"/>
    </row>
    <row r="43" spans="2:19" ht="15" customHeight="1" x14ac:dyDescent="0.25">
      <c r="C43" s="81" t="s">
        <v>99</v>
      </c>
      <c r="D43" s="50">
        <v>1344</v>
      </c>
      <c r="E43" s="51">
        <v>3.92</v>
      </c>
      <c r="F43" s="51">
        <v>1171.32</v>
      </c>
      <c r="G43" s="52">
        <v>1841.96</v>
      </c>
      <c r="I43" s="81" t="s">
        <v>99</v>
      </c>
      <c r="J43" s="50">
        <v>1344</v>
      </c>
      <c r="K43" s="51">
        <v>3.07</v>
      </c>
      <c r="L43" s="51">
        <v>1875.51</v>
      </c>
      <c r="M43" s="52">
        <v>1329.72</v>
      </c>
      <c r="O43" s="81" t="s">
        <v>99</v>
      </c>
      <c r="P43" s="50">
        <v>1344</v>
      </c>
      <c r="Q43" s="51"/>
      <c r="R43" s="51"/>
      <c r="S43" s="52"/>
    </row>
    <row r="44" spans="2:19" x14ac:dyDescent="0.25">
      <c r="C44" s="81"/>
      <c r="D44" s="53">
        <v>2688</v>
      </c>
      <c r="E44">
        <v>5.04</v>
      </c>
      <c r="F44">
        <v>9326.11</v>
      </c>
      <c r="G44" s="54">
        <v>7718.76</v>
      </c>
      <c r="I44" s="81"/>
      <c r="J44" s="53">
        <v>2688</v>
      </c>
      <c r="K44">
        <v>7.59</v>
      </c>
      <c r="L44">
        <v>9935.2800000000007</v>
      </c>
      <c r="M44" s="54">
        <v>7324.25</v>
      </c>
      <c r="O44" s="81"/>
      <c r="P44" s="53">
        <v>2688</v>
      </c>
      <c r="S44" s="54"/>
    </row>
    <row r="45" spans="2:19" x14ac:dyDescent="0.25">
      <c r="C45" s="81"/>
      <c r="D45" s="55">
        <v>4032</v>
      </c>
      <c r="E45" s="56">
        <v>4.22</v>
      </c>
      <c r="F45" s="56">
        <v>12009.36</v>
      </c>
      <c r="G45" s="57">
        <v>11749.47</v>
      </c>
      <c r="I45" s="81"/>
      <c r="J45" s="55">
        <v>4032</v>
      </c>
      <c r="K45" s="56">
        <v>6.89</v>
      </c>
      <c r="L45" s="56">
        <v>12886.94</v>
      </c>
      <c r="M45" s="57">
        <v>11108.73</v>
      </c>
      <c r="O45" s="81"/>
      <c r="P45" s="55">
        <v>4032</v>
      </c>
      <c r="Q45" s="56">
        <v>17.5</v>
      </c>
      <c r="R45" s="56"/>
      <c r="S45" s="57"/>
    </row>
    <row r="47" spans="2:19" x14ac:dyDescent="0.25">
      <c r="K47">
        <f>L39*4</f>
        <v>2702.4</v>
      </c>
      <c r="L47">
        <f>M39*4</f>
        <v>3299.96</v>
      </c>
    </row>
  </sheetData>
  <mergeCells count="39">
    <mergeCell ref="C37:C39"/>
    <mergeCell ref="C43:C45"/>
    <mergeCell ref="C40:C42"/>
    <mergeCell ref="I37:I39"/>
    <mergeCell ref="I40:I42"/>
    <mergeCell ref="I43:I45"/>
    <mergeCell ref="P35:S35"/>
    <mergeCell ref="O37:O39"/>
    <mergeCell ref="O40:O42"/>
    <mergeCell ref="O43:O45"/>
    <mergeCell ref="D35:G35"/>
    <mergeCell ref="J35:M35"/>
    <mergeCell ref="D2:G2"/>
    <mergeCell ref="J2:M2"/>
    <mergeCell ref="P2:S2"/>
    <mergeCell ref="C4:C7"/>
    <mergeCell ref="I4:I7"/>
    <mergeCell ref="O4:O7"/>
    <mergeCell ref="A3:A14"/>
    <mergeCell ref="D17:G17"/>
    <mergeCell ref="J17:M17"/>
    <mergeCell ref="P17:S17"/>
    <mergeCell ref="A18:A29"/>
    <mergeCell ref="C19:C22"/>
    <mergeCell ref="I19:I22"/>
    <mergeCell ref="O19:O22"/>
    <mergeCell ref="C23:C26"/>
    <mergeCell ref="I23:I26"/>
    <mergeCell ref="O23:O26"/>
    <mergeCell ref="C27:C29"/>
    <mergeCell ref="I27:I29"/>
    <mergeCell ref="C8:C11"/>
    <mergeCell ref="I8:I11"/>
    <mergeCell ref="O8:O11"/>
    <mergeCell ref="O27:O30"/>
    <mergeCell ref="B33:E33"/>
    <mergeCell ref="C12:C15"/>
    <mergeCell ref="I12:I15"/>
    <mergeCell ref="O12:O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8DD8-354D-42DB-90E2-95601B09E8FC}">
  <dimension ref="A1:Z64"/>
  <sheetViews>
    <sheetView topLeftCell="H2" zoomScale="55" zoomScaleNormal="55" workbookViewId="0">
      <selection activeCell="X40" sqref="X40"/>
    </sheetView>
  </sheetViews>
  <sheetFormatPr defaultRowHeight="15" x14ac:dyDescent="0.25"/>
  <cols>
    <col min="1" max="1" width="14.7109375" bestFit="1" customWidth="1"/>
    <col min="3" max="3" width="12.85546875" bestFit="1" customWidth="1"/>
    <col min="4" max="4" width="13.5703125" bestFit="1" customWidth="1"/>
    <col min="5" max="5" width="10.140625" bestFit="1" customWidth="1"/>
    <col min="8" max="8" width="12.85546875" bestFit="1" customWidth="1"/>
    <col min="9" max="9" width="13.5703125" bestFit="1" customWidth="1"/>
    <col min="10" max="10" width="10.28515625" bestFit="1" customWidth="1"/>
    <col min="13" max="13" width="12.85546875" bestFit="1" customWidth="1"/>
    <col min="14" max="14" width="14.85546875" bestFit="1" customWidth="1"/>
    <col min="18" max="18" width="12.85546875" bestFit="1" customWidth="1"/>
    <col min="19" max="19" width="14.85546875" bestFit="1" customWidth="1"/>
    <col min="23" max="23" width="12.85546875" bestFit="1" customWidth="1"/>
    <col min="24" max="24" width="11.85546875" bestFit="1" customWidth="1"/>
  </cols>
  <sheetData>
    <row r="1" spans="1:26" x14ac:dyDescent="0.25">
      <c r="A1" t="s">
        <v>8</v>
      </c>
      <c r="B1">
        <v>0.85</v>
      </c>
    </row>
    <row r="2" spans="1:26" ht="15.75" thickBot="1" x14ac:dyDescent="0.3">
      <c r="A2" t="s">
        <v>9</v>
      </c>
      <c r="B2">
        <v>0.85</v>
      </c>
    </row>
    <row r="3" spans="1:26" ht="18" x14ac:dyDescent="0.25">
      <c r="A3" t="s">
        <v>10</v>
      </c>
      <c r="B3">
        <v>0.5</v>
      </c>
      <c r="D3" s="11"/>
      <c r="E3" s="12" t="s">
        <v>16</v>
      </c>
      <c r="F3" s="12" t="s">
        <v>17</v>
      </c>
      <c r="G3" s="12" t="s">
        <v>18</v>
      </c>
      <c r="H3" s="12" t="s">
        <v>19</v>
      </c>
      <c r="I3" s="13" t="s">
        <v>20</v>
      </c>
      <c r="J3" s="8" t="s">
        <v>46</v>
      </c>
      <c r="P3" t="s">
        <v>112</v>
      </c>
      <c r="Q3">
        <v>218.33</v>
      </c>
    </row>
    <row r="4" spans="1:26" ht="18" x14ac:dyDescent="0.35">
      <c r="A4" t="s">
        <v>25</v>
      </c>
      <c r="B4">
        <v>250000</v>
      </c>
      <c r="C4" t="s">
        <v>27</v>
      </c>
      <c r="D4" s="14" t="s">
        <v>11</v>
      </c>
      <c r="E4" s="10">
        <f>$M$4+$D$15*$B$3*(D13-D12)-D19*$B$4*$B$5</f>
        <v>218.33</v>
      </c>
      <c r="F4" s="10">
        <f>$M$5+$D$15*$B$3*(I13-I12)-I19*$B$4*$B$5</f>
        <v>203.39337500000002</v>
      </c>
      <c r="G4" s="10">
        <f>$M$6+$D$15*$B$3*(N13-N12)-N19*$B$4*$B$5</f>
        <v>174.73524999999998</v>
      </c>
      <c r="H4" s="10">
        <f>$M$7+$D$15*$B$3*(S13-S12)-S19*$B$4*$B$5</f>
        <v>144.11262500000001</v>
      </c>
      <c r="I4" s="15">
        <f>$M$8+$D$15*$B$3*(X13-X12)-X19*$B$4*$B$5</f>
        <v>109.6485</v>
      </c>
      <c r="J4" s="66">
        <f t="shared" ref="J4:J8" si="0">MAX(E4:I4)</f>
        <v>218.33</v>
      </c>
      <c r="L4" t="s">
        <v>11</v>
      </c>
      <c r="M4">
        <v>218.33</v>
      </c>
      <c r="P4">
        <v>1</v>
      </c>
      <c r="Q4">
        <f>P4*$Q$3</f>
        <v>218.33</v>
      </c>
    </row>
    <row r="5" spans="1:26" ht="18" x14ac:dyDescent="0.35">
      <c r="A5" t="s">
        <v>52</v>
      </c>
      <c r="B5">
        <v>1</v>
      </c>
      <c r="C5" t="s">
        <v>40</v>
      </c>
      <c r="D5" s="14" t="s">
        <v>12</v>
      </c>
      <c r="E5" s="10">
        <f>$M$4+$D$15*$B$3*(D24-D23)-D30*$B$4*$B$5</f>
        <v>150.13696000000002</v>
      </c>
      <c r="F5" s="10">
        <f>$M$5+$D$15*$B$3*(I24-I23)-I30*$B$4*$B$5</f>
        <v>163.7475</v>
      </c>
      <c r="G5" s="10">
        <f>$M$6+$D$15*$B$3*(N24-N23)-N30*$B$4*$B$5</f>
        <v>135.09020000000001</v>
      </c>
      <c r="H5" s="10">
        <f>$M$7+$D$15*$B$3*(S24-S23)-S30*$B$4*$B$5</f>
        <v>104.46925000000002</v>
      </c>
      <c r="I5" s="15">
        <f>$M$8+$D$15*$B$3*(X24-X23)-X30*$B$4*$B$5</f>
        <v>70.005124999999992</v>
      </c>
      <c r="J5" s="66">
        <f t="shared" si="0"/>
        <v>163.7475</v>
      </c>
      <c r="L5" t="s">
        <v>12</v>
      </c>
      <c r="M5">
        <v>163.7475</v>
      </c>
      <c r="P5">
        <v>0.75</v>
      </c>
      <c r="Q5">
        <f t="shared" ref="Q5:Q7" si="1">P5*$Q$3</f>
        <v>163.7475</v>
      </c>
    </row>
    <row r="6" spans="1:26" ht="18" x14ac:dyDescent="0.35">
      <c r="D6" s="14" t="s">
        <v>13</v>
      </c>
      <c r="E6" s="10">
        <f>$M$4+$D$15*$B$3*(D35-D34)-D41*$B$4*$B$5</f>
        <v>68.179838000000032</v>
      </c>
      <c r="F6" s="10">
        <f>$M$5+$D$15*$B$3*(I35-I34)-I41*$B$4*$B$5</f>
        <v>81.808943075000016</v>
      </c>
      <c r="G6" s="10">
        <f>$M$6+$D$15*$B$3*(N35-N34)-N41*$B$4*$B$5</f>
        <v>109.16500000000001</v>
      </c>
      <c r="H6" s="10">
        <f>$M$7+$D$15*$B$3*(S35-S34)-S41*$B$4*$B$5</f>
        <v>78.529624999999996</v>
      </c>
      <c r="I6" s="15">
        <f>$M$8+$D$15*$B$3*(X35-X34)-X41*$B$4*$B$5</f>
        <v>44.059249999999999</v>
      </c>
      <c r="J6" s="66">
        <f t="shared" si="0"/>
        <v>109.16500000000001</v>
      </c>
      <c r="L6" t="s">
        <v>13</v>
      </c>
      <c r="M6">
        <v>109.16500000000001</v>
      </c>
      <c r="P6">
        <v>0.5</v>
      </c>
      <c r="Q6">
        <f t="shared" si="1"/>
        <v>109.16500000000001</v>
      </c>
    </row>
    <row r="7" spans="1:26" ht="18" x14ac:dyDescent="0.35">
      <c r="D7" s="14" t="s">
        <v>14</v>
      </c>
      <c r="E7" s="10">
        <f>$M$4+$D$15*$B$3*(D46-D45)-D52*$B$4*$B$5</f>
        <v>-15.743638499999967</v>
      </c>
      <c r="F7" s="10">
        <f>$M$5+$D$15*$B$3*(I46-I45)-I52*$B$4*$B$5</f>
        <v>-2.098661999999976</v>
      </c>
      <c r="G7" s="10">
        <f>$M$6+$D$15*$B$3*(N46-N45)-N52*$B$4*$B$5</f>
        <v>25.24819307500001</v>
      </c>
      <c r="H7" s="10">
        <f>$M$7+$D$15*$B$3*(S46-S45)-S52*$B$4*$B$5</f>
        <v>54.582500000000003</v>
      </c>
      <c r="I7" s="15">
        <f>$M$8+$D$15*$B$3*(X46-X45)-X52*$B$4*$B$5</f>
        <v>20.111125000000001</v>
      </c>
      <c r="J7" s="66">
        <f t="shared" si="0"/>
        <v>54.582500000000003</v>
      </c>
      <c r="L7" t="s">
        <v>14</v>
      </c>
      <c r="M7">
        <v>54.582500000000003</v>
      </c>
      <c r="P7">
        <v>0.25</v>
      </c>
      <c r="Q7">
        <f t="shared" si="1"/>
        <v>54.582500000000003</v>
      </c>
    </row>
    <row r="8" spans="1:26" ht="18.75" thickBot="1" x14ac:dyDescent="0.4">
      <c r="D8" s="16" t="s">
        <v>15</v>
      </c>
      <c r="E8" s="17">
        <f>$M$4+$D$15*$B$3*(D57-D56)-D63*$B$4*$B$5</f>
        <v>-103.47722769999997</v>
      </c>
      <c r="F8" s="17">
        <f>$M$5+$D$15*$B$3*(I57-I56)-I63*$B$4*$B$5</f>
        <v>-89.860388499999985</v>
      </c>
      <c r="G8" s="17">
        <f>$M$6+$D$15*$B$3*(N57-N56)-N63*$B$4*$B$5</f>
        <v>-62.501113849999982</v>
      </c>
      <c r="H8" s="17">
        <f>$M$7+$D$15*$B$3*(S57-S56)-S63*$B$4*$B$5</f>
        <v>-33.170306924999991</v>
      </c>
      <c r="I8" s="18">
        <f>$M$8+$D$15*$B$3*(X57-X56)-X63*$B$4*$B$5</f>
        <v>0</v>
      </c>
      <c r="J8" s="66">
        <f t="shared" si="0"/>
        <v>0</v>
      </c>
      <c r="L8" t="s">
        <v>15</v>
      </c>
      <c r="M8">
        <v>0</v>
      </c>
      <c r="P8">
        <v>0</v>
      </c>
      <c r="Q8">
        <f>P8*$Q$3</f>
        <v>0</v>
      </c>
    </row>
    <row r="11" spans="1:26" ht="18" x14ac:dyDescent="0.35">
      <c r="C11" s="89" t="s">
        <v>28</v>
      </c>
      <c r="D11" s="89"/>
      <c r="E11" s="89"/>
      <c r="F11" s="89"/>
      <c r="H11" s="89" t="s">
        <v>29</v>
      </c>
      <c r="I11" s="89"/>
      <c r="J11" s="89"/>
      <c r="K11" s="89"/>
      <c r="M11" s="89" t="s">
        <v>30</v>
      </c>
      <c r="N11" s="89"/>
      <c r="O11" s="89"/>
      <c r="P11" s="89"/>
      <c r="R11" s="89" t="s">
        <v>31</v>
      </c>
      <c r="S11" s="89"/>
      <c r="T11" s="89"/>
      <c r="U11" s="89"/>
      <c r="W11" s="89" t="s">
        <v>32</v>
      </c>
      <c r="X11" s="89"/>
      <c r="Y11" s="89"/>
      <c r="Z11" s="89"/>
    </row>
    <row r="12" spans="1:26" x14ac:dyDescent="0.25">
      <c r="C12" t="s">
        <v>21</v>
      </c>
      <c r="D12">
        <v>0</v>
      </c>
      <c r="E12" t="s">
        <v>26</v>
      </c>
      <c r="H12" t="s">
        <v>21</v>
      </c>
      <c r="I12">
        <v>0</v>
      </c>
      <c r="J12" t="s">
        <v>26</v>
      </c>
      <c r="M12" t="s">
        <v>21</v>
      </c>
      <c r="N12">
        <v>0</v>
      </c>
      <c r="O12" t="s">
        <v>26</v>
      </c>
      <c r="R12" t="s">
        <v>21</v>
      </c>
      <c r="S12">
        <v>0</v>
      </c>
      <c r="T12" t="s">
        <v>26</v>
      </c>
      <c r="W12" t="s">
        <v>21</v>
      </c>
      <c r="X12">
        <v>0</v>
      </c>
      <c r="Y12" t="s">
        <v>26</v>
      </c>
    </row>
    <row r="13" spans="1:26" x14ac:dyDescent="0.25">
      <c r="C13" t="s">
        <v>22</v>
      </c>
      <c r="D13">
        <v>0</v>
      </c>
      <c r="E13" t="s">
        <v>26</v>
      </c>
      <c r="H13" t="s">
        <v>22</v>
      </c>
      <c r="I13">
        <v>0.42499999999999999</v>
      </c>
      <c r="J13" t="s">
        <v>26</v>
      </c>
      <c r="M13" t="s">
        <v>22</v>
      </c>
      <c r="N13">
        <v>0.85</v>
      </c>
      <c r="O13" t="s">
        <v>26</v>
      </c>
      <c r="R13" t="s">
        <v>22</v>
      </c>
      <c r="S13">
        <v>1.2749999999999999</v>
      </c>
      <c r="T13" t="s">
        <v>26</v>
      </c>
      <c r="W13" t="s">
        <v>22</v>
      </c>
      <c r="X13">
        <v>1.7</v>
      </c>
      <c r="Y13" t="s">
        <v>26</v>
      </c>
    </row>
    <row r="14" spans="1:26" x14ac:dyDescent="0.25">
      <c r="C14" t="s">
        <v>47</v>
      </c>
      <c r="D14">
        <f>D13-D12</f>
        <v>0</v>
      </c>
      <c r="H14" t="s">
        <v>47</v>
      </c>
      <c r="I14">
        <f>I13-I12</f>
        <v>0.42499999999999999</v>
      </c>
      <c r="M14" t="s">
        <v>47</v>
      </c>
      <c r="N14">
        <f>N13-N12</f>
        <v>0.85</v>
      </c>
      <c r="R14" t="s">
        <v>47</v>
      </c>
      <c r="S14">
        <f>S13-S12</f>
        <v>1.2749999999999999</v>
      </c>
      <c r="W14" t="s">
        <v>47</v>
      </c>
      <c r="X14">
        <f>X13-X12</f>
        <v>1.7</v>
      </c>
    </row>
    <row r="15" spans="1:26" x14ac:dyDescent="0.25">
      <c r="C15" t="s">
        <v>23</v>
      </c>
      <c r="D15">
        <v>212.91</v>
      </c>
      <c r="E15" t="s">
        <v>27</v>
      </c>
      <c r="H15" t="s">
        <v>23</v>
      </c>
      <c r="I15">
        <f>D15</f>
        <v>212.91</v>
      </c>
      <c r="J15" t="s">
        <v>27</v>
      </c>
      <c r="M15" t="s">
        <v>23</v>
      </c>
      <c r="N15">
        <f>D15</f>
        <v>212.91</v>
      </c>
      <c r="O15" t="s">
        <v>27</v>
      </c>
      <c r="R15" t="s">
        <v>23</v>
      </c>
      <c r="S15">
        <f>D15</f>
        <v>212.91</v>
      </c>
      <c r="T15" t="s">
        <v>27</v>
      </c>
      <c r="W15" t="s">
        <v>23</v>
      </c>
      <c r="X15">
        <f>$D$15</f>
        <v>212.91</v>
      </c>
      <c r="Y15" t="s">
        <v>27</v>
      </c>
    </row>
    <row r="16" spans="1:26" s="8" customFormat="1" x14ac:dyDescent="0.25">
      <c r="C16" s="8" t="s">
        <v>59</v>
      </c>
      <c r="D16" s="8">
        <f>D15*D14*$B$3</f>
        <v>0</v>
      </c>
      <c r="H16" s="8" t="s">
        <v>59</v>
      </c>
      <c r="I16" s="8">
        <f>I15*I14*$B$3</f>
        <v>45.243375</v>
      </c>
      <c r="M16" s="8" t="s">
        <v>59</v>
      </c>
      <c r="N16" s="8">
        <f>N15*N14*$B$3</f>
        <v>90.486750000000001</v>
      </c>
      <c r="R16" s="8" t="s">
        <v>59</v>
      </c>
      <c r="S16" s="21">
        <f>S15*S14*$B$3</f>
        <v>135.73012499999999</v>
      </c>
      <c r="W16" s="8" t="s">
        <v>59</v>
      </c>
      <c r="X16" s="21">
        <f>X15*X14*$B$3</f>
        <v>180.9735</v>
      </c>
    </row>
    <row r="17" spans="3:26" x14ac:dyDescent="0.25">
      <c r="C17" t="s">
        <v>38</v>
      </c>
      <c r="D17">
        <v>1</v>
      </c>
      <c r="E17" t="s">
        <v>40</v>
      </c>
      <c r="H17" t="s">
        <v>38</v>
      </c>
      <c r="I17">
        <f>$D$17</f>
        <v>1</v>
      </c>
      <c r="M17" t="s">
        <v>38</v>
      </c>
      <c r="N17">
        <f>$D$17</f>
        <v>1</v>
      </c>
      <c r="R17" t="s">
        <v>38</v>
      </c>
      <c r="S17">
        <f>$D$17</f>
        <v>1</v>
      </c>
      <c r="W17" t="s">
        <v>38</v>
      </c>
      <c r="X17">
        <f>$D$17</f>
        <v>1</v>
      </c>
    </row>
    <row r="18" spans="3:26" x14ac:dyDescent="0.25">
      <c r="C18" t="s">
        <v>39</v>
      </c>
      <c r="D18">
        <f>D17+(D12*$B$1-D13/$B$2)*$B$3</f>
        <v>1</v>
      </c>
      <c r="E18" t="s">
        <v>40</v>
      </c>
      <c r="H18" t="s">
        <v>39</v>
      </c>
      <c r="I18">
        <f>I17+(I12*$B$1-I13/$B$2)*$B$3</f>
        <v>0.75</v>
      </c>
      <c r="M18" t="s">
        <v>39</v>
      </c>
      <c r="N18">
        <f>N17+(N12*$B$1-N13/$B$2)*$B$3</f>
        <v>0.5</v>
      </c>
      <c r="R18" t="s">
        <v>39</v>
      </c>
      <c r="S18">
        <f>S17+(S12*$B$1-S13/$B$2)*$B$3</f>
        <v>0.25</v>
      </c>
      <c r="W18" t="s">
        <v>39</v>
      </c>
      <c r="X18">
        <f>X17+(X12*$B$1-X13/$B$2)*$B$3</f>
        <v>0</v>
      </c>
    </row>
    <row r="19" spans="3:26" x14ac:dyDescent="0.25">
      <c r="C19" t="s">
        <v>24</v>
      </c>
      <c r="D19">
        <v>0</v>
      </c>
      <c r="H19" t="s">
        <v>24</v>
      </c>
      <c r="I19">
        <v>2.2390000000000001E-5</v>
      </c>
      <c r="M19" t="s">
        <v>24</v>
      </c>
      <c r="N19">
        <v>9.9666000000000004E-5</v>
      </c>
      <c r="R19" t="s">
        <v>24</v>
      </c>
      <c r="S19">
        <v>1.8479999999999999E-4</v>
      </c>
      <c r="W19" t="s">
        <v>24</v>
      </c>
      <c r="X19">
        <v>2.853E-4</v>
      </c>
    </row>
    <row r="20" spans="3:26" s="8" customFormat="1" x14ac:dyDescent="0.25">
      <c r="C20" s="8" t="s">
        <v>41</v>
      </c>
      <c r="D20" s="8">
        <f>$B$4*$B$5*D19/1000000</f>
        <v>0</v>
      </c>
      <c r="H20" s="8" t="s">
        <v>41</v>
      </c>
      <c r="I20" s="8">
        <f>$B$4*$B$5*I19</f>
        <v>5.5975000000000001</v>
      </c>
      <c r="J20" s="21"/>
      <c r="M20" s="8" t="s">
        <v>41</v>
      </c>
      <c r="N20" s="8">
        <f>$B$4*$B$5*N19</f>
        <v>24.916500000000003</v>
      </c>
      <c r="R20" s="8" t="s">
        <v>41</v>
      </c>
      <c r="S20" s="8">
        <f>$B$4*$B$5*S19</f>
        <v>46.199999999999996</v>
      </c>
      <c r="W20" s="8" t="s">
        <v>41</v>
      </c>
      <c r="X20" s="8">
        <f>$B$4*$B$5*X19</f>
        <v>71.325000000000003</v>
      </c>
    </row>
    <row r="22" spans="3:26" ht="18" x14ac:dyDescent="0.35">
      <c r="C22" s="88" t="s">
        <v>33</v>
      </c>
      <c r="D22" s="88"/>
      <c r="E22" s="88"/>
      <c r="F22" s="88"/>
      <c r="H22" s="88" t="s">
        <v>34</v>
      </c>
      <c r="I22" s="88"/>
      <c r="J22" s="88"/>
      <c r="K22" s="88"/>
      <c r="M22" s="88" t="s">
        <v>35</v>
      </c>
      <c r="N22" s="88"/>
      <c r="O22" s="88"/>
      <c r="P22" s="88"/>
      <c r="R22" s="88" t="s">
        <v>36</v>
      </c>
      <c r="S22" s="88"/>
      <c r="T22" s="88"/>
      <c r="U22" s="88"/>
      <c r="W22" s="88" t="s">
        <v>37</v>
      </c>
      <c r="X22" s="88"/>
      <c r="Y22" s="88"/>
      <c r="Z22" s="88"/>
    </row>
    <row r="23" spans="3:26" x14ac:dyDescent="0.25">
      <c r="C23" t="s">
        <v>21</v>
      </c>
      <c r="D23">
        <v>0.58799999999999997</v>
      </c>
      <c r="E23" t="s">
        <v>26</v>
      </c>
      <c r="H23" t="s">
        <v>21</v>
      </c>
      <c r="I23">
        <v>0</v>
      </c>
      <c r="J23" t="s">
        <v>26</v>
      </c>
      <c r="M23" t="s">
        <v>21</v>
      </c>
      <c r="N23">
        <v>0</v>
      </c>
      <c r="O23" t="s">
        <v>26</v>
      </c>
      <c r="R23" t="s">
        <v>21</v>
      </c>
      <c r="S23">
        <v>0</v>
      </c>
      <c r="T23" t="s">
        <v>26</v>
      </c>
      <c r="W23" t="s">
        <v>21</v>
      </c>
      <c r="X23">
        <v>0</v>
      </c>
      <c r="Y23" t="s">
        <v>26</v>
      </c>
    </row>
    <row r="24" spans="3:26" x14ac:dyDescent="0.25">
      <c r="C24" t="s">
        <v>22</v>
      </c>
      <c r="D24">
        <v>0</v>
      </c>
      <c r="E24" t="s">
        <v>26</v>
      </c>
      <c r="H24" t="s">
        <v>22</v>
      </c>
      <c r="I24">
        <v>0</v>
      </c>
      <c r="J24" t="s">
        <v>26</v>
      </c>
      <c r="M24" t="s">
        <v>22</v>
      </c>
      <c r="N24">
        <v>0.42499999999999999</v>
      </c>
      <c r="O24" t="s">
        <v>26</v>
      </c>
      <c r="R24" t="s">
        <v>22</v>
      </c>
      <c r="S24">
        <v>0.85</v>
      </c>
      <c r="T24" t="s">
        <v>26</v>
      </c>
      <c r="W24" t="s">
        <v>22</v>
      </c>
      <c r="X24">
        <v>1.2749999999999999</v>
      </c>
      <c r="Y24" t="s">
        <v>26</v>
      </c>
    </row>
    <row r="25" spans="3:26" x14ac:dyDescent="0.25">
      <c r="C25" t="s">
        <v>47</v>
      </c>
      <c r="D25">
        <f>D24-D23</f>
        <v>-0.58799999999999997</v>
      </c>
      <c r="H25" t="s">
        <v>47</v>
      </c>
      <c r="I25">
        <f>I24-I23</f>
        <v>0</v>
      </c>
      <c r="M25" t="s">
        <v>47</v>
      </c>
      <c r="N25">
        <f>N24-N23</f>
        <v>0.42499999999999999</v>
      </c>
      <c r="R25" t="s">
        <v>47</v>
      </c>
      <c r="S25">
        <f>S24-S23</f>
        <v>0.85</v>
      </c>
      <c r="W25" t="s">
        <v>47</v>
      </c>
      <c r="X25">
        <f>X24-X23</f>
        <v>1.2749999999999999</v>
      </c>
    </row>
    <row r="26" spans="3:26" x14ac:dyDescent="0.25">
      <c r="C26" t="s">
        <v>23</v>
      </c>
      <c r="D26">
        <f>$D$15</f>
        <v>212.91</v>
      </c>
      <c r="E26" t="s">
        <v>27</v>
      </c>
      <c r="H26" t="s">
        <v>23</v>
      </c>
      <c r="I26">
        <f>$D$15</f>
        <v>212.91</v>
      </c>
      <c r="J26" t="s">
        <v>27</v>
      </c>
      <c r="M26" t="s">
        <v>23</v>
      </c>
      <c r="N26">
        <f>$D$15</f>
        <v>212.91</v>
      </c>
      <c r="O26" t="s">
        <v>27</v>
      </c>
      <c r="R26" t="s">
        <v>23</v>
      </c>
      <c r="S26">
        <f>$D$15</f>
        <v>212.91</v>
      </c>
      <c r="T26" t="s">
        <v>27</v>
      </c>
      <c r="W26" t="s">
        <v>23</v>
      </c>
      <c r="X26">
        <f>$D$15</f>
        <v>212.91</v>
      </c>
      <c r="Y26" t="s">
        <v>27</v>
      </c>
    </row>
    <row r="27" spans="3:26" s="8" customFormat="1" x14ac:dyDescent="0.25">
      <c r="C27" s="8" t="s">
        <v>59</v>
      </c>
      <c r="D27" s="8">
        <f>D26*D25*$B$3</f>
        <v>-62.595539999999993</v>
      </c>
      <c r="H27" s="8" t="s">
        <v>59</v>
      </c>
      <c r="I27" s="8">
        <f>I26*I25*$B$3</f>
        <v>0</v>
      </c>
      <c r="M27" s="8" t="s">
        <v>59</v>
      </c>
      <c r="N27" s="8">
        <f>N26*N25*$B$3</f>
        <v>45.243375</v>
      </c>
      <c r="R27" s="8" t="s">
        <v>59</v>
      </c>
      <c r="S27" s="8">
        <f>S26*S25*$B$3</f>
        <v>90.486750000000001</v>
      </c>
      <c r="W27" s="8" t="s">
        <v>59</v>
      </c>
      <c r="X27" s="8">
        <f>X26*X25*$B$3</f>
        <v>135.73012499999999</v>
      </c>
    </row>
    <row r="28" spans="3:26" x14ac:dyDescent="0.25">
      <c r="C28" t="s">
        <v>38</v>
      </c>
      <c r="D28">
        <v>0.75</v>
      </c>
      <c r="E28" t="s">
        <v>40</v>
      </c>
      <c r="H28" t="s">
        <v>38</v>
      </c>
      <c r="I28">
        <f>$D$28</f>
        <v>0.75</v>
      </c>
      <c r="J28" t="s">
        <v>40</v>
      </c>
      <c r="M28" t="s">
        <v>38</v>
      </c>
      <c r="N28">
        <f>$D$28</f>
        <v>0.75</v>
      </c>
      <c r="O28" t="s">
        <v>40</v>
      </c>
      <c r="R28" t="s">
        <v>38</v>
      </c>
      <c r="S28">
        <f>$D$28</f>
        <v>0.75</v>
      </c>
      <c r="T28" t="s">
        <v>40</v>
      </c>
      <c r="W28" t="s">
        <v>38</v>
      </c>
      <c r="X28">
        <f>$D$28</f>
        <v>0.75</v>
      </c>
      <c r="Y28" t="s">
        <v>40</v>
      </c>
    </row>
    <row r="29" spans="3:26" x14ac:dyDescent="0.25">
      <c r="C29" t="s">
        <v>39</v>
      </c>
      <c r="D29" s="7">
        <f>D28+(D23*$B$1-D24/$B$2)*$B$3</f>
        <v>0.99990000000000001</v>
      </c>
      <c r="E29" t="s">
        <v>40</v>
      </c>
      <c r="H29" t="s">
        <v>39</v>
      </c>
      <c r="I29">
        <f>I28+(I23*$B$1-I24/$B$2)*$B$3</f>
        <v>0.75</v>
      </c>
      <c r="J29" t="s">
        <v>40</v>
      </c>
      <c r="M29" t="s">
        <v>39</v>
      </c>
      <c r="N29">
        <f>N28+(N23*$B$1-N24/$B$2)*$B$3</f>
        <v>0.5</v>
      </c>
      <c r="O29" t="s">
        <v>40</v>
      </c>
      <c r="R29" t="s">
        <v>39</v>
      </c>
      <c r="S29">
        <f>S28+(S23*$B$1-S24/$B$2)*$B$3</f>
        <v>0.25</v>
      </c>
      <c r="T29" t="s">
        <v>40</v>
      </c>
      <c r="W29" t="s">
        <v>39</v>
      </c>
      <c r="X29">
        <f>X28+(X23*$B$1-X24/$B$2)*$B$3</f>
        <v>0</v>
      </c>
      <c r="Y29" t="s">
        <v>40</v>
      </c>
    </row>
    <row r="30" spans="3:26" x14ac:dyDescent="0.25">
      <c r="C30" t="s">
        <v>24</v>
      </c>
      <c r="D30">
        <v>2.2390000000000001E-5</v>
      </c>
      <c r="H30" t="s">
        <v>24</v>
      </c>
      <c r="I30">
        <v>0</v>
      </c>
      <c r="M30" t="s">
        <v>24</v>
      </c>
      <c r="N30">
        <v>7.7272699999999996E-5</v>
      </c>
      <c r="R30" t="s">
        <v>24</v>
      </c>
      <c r="S30">
        <v>1.6239999999999999E-4</v>
      </c>
      <c r="W30" t="s">
        <v>24</v>
      </c>
      <c r="X30">
        <v>2.6289999999999999E-4</v>
      </c>
    </row>
    <row r="31" spans="3:26" s="20" customFormat="1" x14ac:dyDescent="0.25">
      <c r="C31" s="20" t="s">
        <v>41</v>
      </c>
      <c r="D31" s="20">
        <f>$B$4*$B$5*D30</f>
        <v>5.5975000000000001</v>
      </c>
      <c r="H31" s="20" t="s">
        <v>41</v>
      </c>
      <c r="I31" s="20">
        <f>$B$4*$B$5*I30</f>
        <v>0</v>
      </c>
      <c r="M31" s="20" t="s">
        <v>41</v>
      </c>
      <c r="N31" s="20">
        <f>$B$4*$B$5*N30</f>
        <v>19.318175</v>
      </c>
      <c r="R31" s="20" t="s">
        <v>41</v>
      </c>
      <c r="S31" s="20">
        <f>$B$4*$B$5*S30</f>
        <v>40.599999999999994</v>
      </c>
      <c r="W31" s="20" t="s">
        <v>41</v>
      </c>
      <c r="X31" s="20">
        <f>$B$4*$B$5*X30</f>
        <v>65.724999999999994</v>
      </c>
    </row>
    <row r="33" spans="3:26" ht="18" x14ac:dyDescent="0.35">
      <c r="C33" s="90" t="s">
        <v>42</v>
      </c>
      <c r="D33" s="90"/>
      <c r="E33" s="90"/>
      <c r="F33" s="90"/>
      <c r="H33" s="90" t="s">
        <v>43</v>
      </c>
      <c r="I33" s="90"/>
      <c r="J33" s="90"/>
      <c r="K33" s="90"/>
      <c r="M33" s="90" t="s">
        <v>44</v>
      </c>
      <c r="N33" s="90"/>
      <c r="O33" s="90"/>
      <c r="P33" s="90"/>
      <c r="R33" s="90" t="s">
        <v>45</v>
      </c>
      <c r="S33" s="90"/>
      <c r="T33" s="90"/>
      <c r="U33" s="90"/>
      <c r="W33" s="90" t="s">
        <v>54</v>
      </c>
      <c r="X33" s="90"/>
      <c r="Y33" s="90"/>
      <c r="Z33" s="90"/>
    </row>
    <row r="34" spans="3:26" x14ac:dyDescent="0.25">
      <c r="C34" t="s">
        <v>21</v>
      </c>
      <c r="D34">
        <v>1.1763999999999999</v>
      </c>
      <c r="E34" t="s">
        <v>26</v>
      </c>
      <c r="H34" t="s">
        <v>21</v>
      </c>
      <c r="I34">
        <v>0.58823499999999995</v>
      </c>
      <c r="J34" t="s">
        <v>26</v>
      </c>
      <c r="M34" t="s">
        <v>21</v>
      </c>
      <c r="N34">
        <v>0</v>
      </c>
      <c r="O34" t="s">
        <v>26</v>
      </c>
      <c r="R34" t="s">
        <v>21</v>
      </c>
      <c r="S34">
        <v>0</v>
      </c>
      <c r="T34" t="s">
        <v>26</v>
      </c>
      <c r="W34" t="s">
        <v>21</v>
      </c>
      <c r="X34">
        <v>0</v>
      </c>
      <c r="Y34" t="s">
        <v>26</v>
      </c>
    </row>
    <row r="35" spans="3:26" x14ac:dyDescent="0.25">
      <c r="C35" t="s">
        <v>22</v>
      </c>
      <c r="D35">
        <v>0</v>
      </c>
      <c r="E35" t="s">
        <v>26</v>
      </c>
      <c r="H35" t="s">
        <v>22</v>
      </c>
      <c r="I35">
        <v>0</v>
      </c>
      <c r="J35" t="s">
        <v>26</v>
      </c>
      <c r="M35" t="s">
        <v>22</v>
      </c>
      <c r="N35">
        <v>0</v>
      </c>
      <c r="O35" t="s">
        <v>26</v>
      </c>
      <c r="R35" t="s">
        <v>22</v>
      </c>
      <c r="S35">
        <v>0.42499999999999999</v>
      </c>
      <c r="T35" t="s">
        <v>26</v>
      </c>
      <c r="W35" t="s">
        <v>22</v>
      </c>
      <c r="X35">
        <v>0.85</v>
      </c>
      <c r="Y35" t="s">
        <v>26</v>
      </c>
    </row>
    <row r="36" spans="3:26" x14ac:dyDescent="0.25">
      <c r="C36" t="s">
        <v>47</v>
      </c>
      <c r="D36">
        <f>D35-D34</f>
        <v>-1.1763999999999999</v>
      </c>
      <c r="H36" t="s">
        <v>47</v>
      </c>
      <c r="I36">
        <f>I35-I34</f>
        <v>-0.58823499999999995</v>
      </c>
      <c r="M36" t="s">
        <v>47</v>
      </c>
      <c r="N36">
        <f>N35-N34</f>
        <v>0</v>
      </c>
      <c r="R36" t="s">
        <v>47</v>
      </c>
      <c r="S36">
        <f>S35-S34</f>
        <v>0.42499999999999999</v>
      </c>
      <c r="W36" t="s">
        <v>47</v>
      </c>
      <c r="X36">
        <f>X35-X34</f>
        <v>0.85</v>
      </c>
    </row>
    <row r="37" spans="3:26" x14ac:dyDescent="0.25">
      <c r="C37" t="s">
        <v>23</v>
      </c>
      <c r="D37">
        <f>$D$15</f>
        <v>212.91</v>
      </c>
      <c r="E37" t="s">
        <v>27</v>
      </c>
      <c r="H37" t="s">
        <v>23</v>
      </c>
      <c r="I37">
        <f>$D$15</f>
        <v>212.91</v>
      </c>
      <c r="J37" t="s">
        <v>27</v>
      </c>
      <c r="M37" t="s">
        <v>23</v>
      </c>
      <c r="N37">
        <f>$D$15</f>
        <v>212.91</v>
      </c>
      <c r="O37" t="s">
        <v>27</v>
      </c>
      <c r="R37" t="s">
        <v>23</v>
      </c>
      <c r="S37">
        <f>$D$15</f>
        <v>212.91</v>
      </c>
      <c r="T37" t="s">
        <v>27</v>
      </c>
      <c r="W37" t="s">
        <v>23</v>
      </c>
      <c r="X37">
        <f>$D$15</f>
        <v>212.91</v>
      </c>
      <c r="Y37" t="s">
        <v>27</v>
      </c>
    </row>
    <row r="38" spans="3:26" s="8" customFormat="1" x14ac:dyDescent="0.25">
      <c r="C38" s="8" t="s">
        <v>59</v>
      </c>
      <c r="D38" s="8">
        <f>D37*D36*$B$3</f>
        <v>-125.23366199999998</v>
      </c>
      <c r="H38" s="8" t="s">
        <v>59</v>
      </c>
      <c r="I38" s="8">
        <f>I37*I36*$B$3</f>
        <v>-62.620556924999995</v>
      </c>
      <c r="M38" s="8" t="s">
        <v>59</v>
      </c>
      <c r="N38" s="8">
        <f>N37*N36*$B$3</f>
        <v>0</v>
      </c>
      <c r="R38" s="8" t="s">
        <v>59</v>
      </c>
      <c r="S38" s="8">
        <f>S37*S36*$B$3</f>
        <v>45.243375</v>
      </c>
      <c r="W38" s="8" t="s">
        <v>59</v>
      </c>
      <c r="X38" s="8">
        <f>X37*X36*$B$3</f>
        <v>90.486750000000001</v>
      </c>
    </row>
    <row r="39" spans="3:26" x14ac:dyDescent="0.25">
      <c r="C39" t="s">
        <v>38</v>
      </c>
      <c r="D39">
        <v>0.5</v>
      </c>
      <c r="E39" t="s">
        <v>40</v>
      </c>
      <c r="H39" t="s">
        <v>38</v>
      </c>
      <c r="I39">
        <f>$D$39</f>
        <v>0.5</v>
      </c>
      <c r="J39" t="s">
        <v>40</v>
      </c>
      <c r="M39" t="s">
        <v>38</v>
      </c>
      <c r="N39">
        <f>$D$39</f>
        <v>0.5</v>
      </c>
      <c r="O39" t="s">
        <v>40</v>
      </c>
      <c r="R39" t="s">
        <v>38</v>
      </c>
      <c r="S39">
        <f>$D$39</f>
        <v>0.5</v>
      </c>
      <c r="T39" t="s">
        <v>40</v>
      </c>
      <c r="W39" t="s">
        <v>38</v>
      </c>
      <c r="X39">
        <f>$D$39</f>
        <v>0.5</v>
      </c>
      <c r="Y39" t="s">
        <v>40</v>
      </c>
    </row>
    <row r="40" spans="3:26" x14ac:dyDescent="0.25">
      <c r="C40" t="s">
        <v>39</v>
      </c>
      <c r="D40" s="6">
        <f>D39+(D34*$B$1-D35/$B$2)*$B$3</f>
        <v>0.99996999999999991</v>
      </c>
      <c r="E40" t="s">
        <v>40</v>
      </c>
      <c r="H40" t="s">
        <v>39</v>
      </c>
      <c r="I40" s="7">
        <f>I39+(I34*$B$1-I35/$B$2)*$B$3</f>
        <v>0.74999987499999998</v>
      </c>
      <c r="J40" t="s">
        <v>40</v>
      </c>
      <c r="M40" t="s">
        <v>39</v>
      </c>
      <c r="N40">
        <f>N39+(N34*$B$1-N35/$B$2)*$B$3</f>
        <v>0.5</v>
      </c>
      <c r="O40" t="s">
        <v>40</v>
      </c>
      <c r="R40" t="s">
        <v>39</v>
      </c>
      <c r="S40">
        <f>S39+(S34*$B$1-S35/$B$2)*$B$3</f>
        <v>0.25</v>
      </c>
      <c r="T40" t="s">
        <v>40</v>
      </c>
      <c r="W40" t="s">
        <v>39</v>
      </c>
      <c r="X40">
        <f>X39+(X34*$B$1-X35/$B$2)*$B$3</f>
        <v>0</v>
      </c>
      <c r="Y40" t="s">
        <v>40</v>
      </c>
    </row>
    <row r="41" spans="3:26" x14ac:dyDescent="0.25">
      <c r="C41" t="s">
        <v>24</v>
      </c>
      <c r="D41">
        <v>9.9666000000000004E-5</v>
      </c>
      <c r="H41" t="s">
        <v>24</v>
      </c>
      <c r="I41">
        <v>7.7272000000000001E-5</v>
      </c>
      <c r="M41" t="s">
        <v>24</v>
      </c>
      <c r="N41">
        <v>0</v>
      </c>
      <c r="R41" t="s">
        <v>24</v>
      </c>
      <c r="S41">
        <v>8.5185000000000005E-5</v>
      </c>
      <c r="W41" t="s">
        <v>24</v>
      </c>
      <c r="X41">
        <v>1.8571000000000001E-4</v>
      </c>
    </row>
    <row r="42" spans="3:26" s="20" customFormat="1" x14ac:dyDescent="0.25">
      <c r="C42" s="20" t="s">
        <v>41</v>
      </c>
      <c r="D42" s="20">
        <f>$B$4*$B$5*D41</f>
        <v>24.916500000000003</v>
      </c>
      <c r="H42" s="20" t="s">
        <v>41</v>
      </c>
      <c r="I42" s="20">
        <f>$B$4*$B$5*I41</f>
        <v>19.318000000000001</v>
      </c>
      <c r="M42" s="20" t="s">
        <v>41</v>
      </c>
      <c r="N42" s="20">
        <f>$B$4*$B$5*N41</f>
        <v>0</v>
      </c>
      <c r="R42" s="20" t="s">
        <v>41</v>
      </c>
      <c r="S42" s="20">
        <f>$B$4*$B$5*S41</f>
        <v>21.296250000000001</v>
      </c>
      <c r="W42" s="20" t="s">
        <v>41</v>
      </c>
      <c r="X42" s="20">
        <f>$B$4*$B$5*X41</f>
        <v>46.427500000000002</v>
      </c>
    </row>
    <row r="44" spans="3:26" ht="18" x14ac:dyDescent="0.35">
      <c r="C44" s="91" t="s">
        <v>48</v>
      </c>
      <c r="D44" s="91"/>
      <c r="E44" s="91"/>
      <c r="F44" s="91"/>
      <c r="H44" s="91" t="s">
        <v>49</v>
      </c>
      <c r="I44" s="91"/>
      <c r="J44" s="91"/>
      <c r="K44" s="91"/>
      <c r="M44" s="91" t="s">
        <v>50</v>
      </c>
      <c r="N44" s="91"/>
      <c r="O44" s="91"/>
      <c r="P44" s="91"/>
      <c r="R44" s="91" t="s">
        <v>51</v>
      </c>
      <c r="S44" s="91"/>
      <c r="T44" s="91"/>
      <c r="U44" s="91"/>
      <c r="W44" s="91" t="s">
        <v>54</v>
      </c>
      <c r="X44" s="91"/>
      <c r="Y44" s="91"/>
      <c r="Z44" s="91"/>
    </row>
    <row r="45" spans="3:26" x14ac:dyDescent="0.25">
      <c r="C45" t="s">
        <v>21</v>
      </c>
      <c r="D45">
        <v>1.7646999999999999</v>
      </c>
      <c r="E45" t="s">
        <v>26</v>
      </c>
      <c r="H45" t="s">
        <v>21</v>
      </c>
      <c r="I45">
        <v>1.1763999999999999</v>
      </c>
      <c r="J45" t="s">
        <v>26</v>
      </c>
      <c r="M45" t="s">
        <v>21</v>
      </c>
      <c r="N45">
        <v>0.58823499999999995</v>
      </c>
      <c r="O45" t="s">
        <v>26</v>
      </c>
      <c r="R45" t="s">
        <v>21</v>
      </c>
      <c r="S45">
        <v>0</v>
      </c>
      <c r="T45" t="s">
        <v>26</v>
      </c>
      <c r="W45" t="s">
        <v>21</v>
      </c>
      <c r="X45">
        <v>0</v>
      </c>
      <c r="Y45" t="s">
        <v>26</v>
      </c>
    </row>
    <row r="46" spans="3:26" x14ac:dyDescent="0.25">
      <c r="C46" t="s">
        <v>22</v>
      </c>
      <c r="D46">
        <v>0</v>
      </c>
      <c r="E46" t="s">
        <v>26</v>
      </c>
      <c r="H46" t="s">
        <v>22</v>
      </c>
      <c r="I46">
        <v>0</v>
      </c>
      <c r="J46" t="s">
        <v>26</v>
      </c>
      <c r="M46" t="s">
        <v>22</v>
      </c>
      <c r="N46">
        <v>0</v>
      </c>
      <c r="O46" t="s">
        <v>26</v>
      </c>
      <c r="R46" t="s">
        <v>22</v>
      </c>
      <c r="S46">
        <v>0</v>
      </c>
      <c r="T46" t="s">
        <v>26</v>
      </c>
      <c r="W46" t="s">
        <v>22</v>
      </c>
      <c r="X46">
        <v>0.42499999999999999</v>
      </c>
      <c r="Y46" t="s">
        <v>26</v>
      </c>
    </row>
    <row r="47" spans="3:26" x14ac:dyDescent="0.25">
      <c r="C47" t="s">
        <v>47</v>
      </c>
      <c r="D47">
        <f>D46-D45</f>
        <v>-1.7646999999999999</v>
      </c>
      <c r="H47" t="s">
        <v>47</v>
      </c>
      <c r="I47">
        <f>I46-I45</f>
        <v>-1.1763999999999999</v>
      </c>
      <c r="M47" t="s">
        <v>47</v>
      </c>
      <c r="N47">
        <f>N46-N45</f>
        <v>-0.58823499999999995</v>
      </c>
      <c r="R47" t="s">
        <v>47</v>
      </c>
      <c r="S47">
        <f>S46-S45</f>
        <v>0</v>
      </c>
      <c r="W47" t="s">
        <v>47</v>
      </c>
      <c r="X47">
        <f>X46-X45</f>
        <v>0.42499999999999999</v>
      </c>
    </row>
    <row r="48" spans="3:26" x14ac:dyDescent="0.25">
      <c r="C48" t="s">
        <v>23</v>
      </c>
      <c r="D48">
        <f>$D$15</f>
        <v>212.91</v>
      </c>
      <c r="E48" t="s">
        <v>27</v>
      </c>
      <c r="H48" t="s">
        <v>23</v>
      </c>
      <c r="I48">
        <f>$D$15</f>
        <v>212.91</v>
      </c>
      <c r="J48" t="s">
        <v>27</v>
      </c>
      <c r="M48" t="s">
        <v>23</v>
      </c>
      <c r="N48">
        <f>$D$15</f>
        <v>212.91</v>
      </c>
      <c r="O48" t="s">
        <v>27</v>
      </c>
      <c r="R48" t="s">
        <v>23</v>
      </c>
      <c r="S48">
        <f>$D$15</f>
        <v>212.91</v>
      </c>
      <c r="T48" t="s">
        <v>27</v>
      </c>
      <c r="W48" t="s">
        <v>23</v>
      </c>
      <c r="X48">
        <f>$D$15</f>
        <v>212.91</v>
      </c>
      <c r="Y48" t="s">
        <v>27</v>
      </c>
    </row>
    <row r="49" spans="3:26" s="8" customFormat="1" x14ac:dyDescent="0.25">
      <c r="C49" s="8" t="s">
        <v>59</v>
      </c>
      <c r="D49" s="8">
        <f>D48*D47*$B$3</f>
        <v>-187.86113849999998</v>
      </c>
      <c r="H49" s="8" t="s">
        <v>59</v>
      </c>
      <c r="I49" s="8">
        <f>I48*I47*$B$3</f>
        <v>-125.23366199999998</v>
      </c>
      <c r="M49" s="8" t="s">
        <v>59</v>
      </c>
      <c r="N49" s="8">
        <f>N48*N47*$B$3</f>
        <v>-62.620556924999995</v>
      </c>
      <c r="R49" s="8" t="s">
        <v>59</v>
      </c>
      <c r="S49" s="8">
        <f>S48*S47*$B$3</f>
        <v>0</v>
      </c>
      <c r="W49" s="8" t="s">
        <v>59</v>
      </c>
      <c r="X49" s="8">
        <f>X48*X47*$B$3</f>
        <v>45.243375</v>
      </c>
    </row>
    <row r="50" spans="3:26" x14ac:dyDescent="0.25">
      <c r="C50" t="s">
        <v>38</v>
      </c>
      <c r="D50">
        <v>0.25</v>
      </c>
      <c r="E50" t="s">
        <v>40</v>
      </c>
      <c r="H50" t="s">
        <v>38</v>
      </c>
      <c r="I50">
        <f>D50</f>
        <v>0.25</v>
      </c>
      <c r="J50" t="s">
        <v>40</v>
      </c>
      <c r="M50" t="s">
        <v>38</v>
      </c>
      <c r="N50">
        <f>I50</f>
        <v>0.25</v>
      </c>
      <c r="O50" t="s">
        <v>40</v>
      </c>
      <c r="R50" t="s">
        <v>38</v>
      </c>
      <c r="S50">
        <f>N50</f>
        <v>0.25</v>
      </c>
      <c r="T50" t="s">
        <v>40</v>
      </c>
      <c r="W50" t="s">
        <v>38</v>
      </c>
      <c r="X50">
        <f>S50</f>
        <v>0.25</v>
      </c>
      <c r="Y50" t="s">
        <v>40</v>
      </c>
    </row>
    <row r="51" spans="3:26" x14ac:dyDescent="0.25">
      <c r="C51" t="s">
        <v>39</v>
      </c>
      <c r="D51">
        <f>D50+(D45*$B$1-D46/$B$2)*$B$3</f>
        <v>0.99999749999999998</v>
      </c>
      <c r="E51" t="s">
        <v>40</v>
      </c>
      <c r="H51" t="s">
        <v>39</v>
      </c>
      <c r="I51" s="19">
        <f>I50+(I45*$B$1-I46/$B$2)*$B$3</f>
        <v>0.74996999999999991</v>
      </c>
      <c r="J51" t="s">
        <v>40</v>
      </c>
      <c r="M51" t="s">
        <v>39</v>
      </c>
      <c r="N51">
        <f>N50+(N45*$B$1-N46/$B$2)*$B$3</f>
        <v>0.49999987499999998</v>
      </c>
      <c r="O51" t="s">
        <v>40</v>
      </c>
      <c r="R51" t="s">
        <v>39</v>
      </c>
      <c r="S51">
        <f>S50+(S45*$B$1-S46/$B$2)*$B$3</f>
        <v>0.25</v>
      </c>
      <c r="T51" t="s">
        <v>40</v>
      </c>
      <c r="W51" t="s">
        <v>39</v>
      </c>
      <c r="X51">
        <f>X50+(X45*$B$1-X46/$B$2)*$B$3</f>
        <v>0</v>
      </c>
      <c r="Y51" t="s">
        <v>40</v>
      </c>
    </row>
    <row r="52" spans="3:26" x14ac:dyDescent="0.25">
      <c r="C52" t="s">
        <v>24</v>
      </c>
      <c r="D52">
        <v>1.8484999999999999E-4</v>
      </c>
      <c r="H52" t="s">
        <v>24</v>
      </c>
      <c r="I52">
        <v>1.6244999999999999E-4</v>
      </c>
      <c r="M52" t="s">
        <v>24</v>
      </c>
      <c r="N52">
        <v>8.5185000000000005E-5</v>
      </c>
      <c r="R52" t="s">
        <v>24</v>
      </c>
      <c r="S52">
        <v>0</v>
      </c>
      <c r="W52" t="s">
        <v>24</v>
      </c>
      <c r="X52" s="65">
        <v>1.00529E-4</v>
      </c>
    </row>
    <row r="53" spans="3:26" s="8" customFormat="1" x14ac:dyDescent="0.25">
      <c r="C53" s="8" t="s">
        <v>41</v>
      </c>
      <c r="D53" s="8">
        <f>$B$4*$B$5*D52</f>
        <v>46.212499999999999</v>
      </c>
      <c r="H53" s="8" t="s">
        <v>41</v>
      </c>
      <c r="I53" s="8">
        <f>$B$4*$B$5*I52</f>
        <v>40.612499999999997</v>
      </c>
      <c r="M53" s="8" t="s">
        <v>41</v>
      </c>
      <c r="N53" s="8">
        <f>$B$4*$B$5*N52</f>
        <v>21.296250000000001</v>
      </c>
      <c r="R53" s="8" t="s">
        <v>41</v>
      </c>
      <c r="S53" s="8">
        <f>$B$4*$B$5*S52</f>
        <v>0</v>
      </c>
      <c r="W53" s="8" t="s">
        <v>41</v>
      </c>
      <c r="X53" s="64">
        <f>$B$4*$B$5*X52</f>
        <v>25.132249999999999</v>
      </c>
    </row>
    <row r="55" spans="3:26" ht="18" x14ac:dyDescent="0.35">
      <c r="C55" s="92" t="s">
        <v>53</v>
      </c>
      <c r="D55" s="92"/>
      <c r="E55" s="92"/>
      <c r="F55" s="92"/>
      <c r="H55" s="92" t="s">
        <v>55</v>
      </c>
      <c r="I55" s="92"/>
      <c r="J55" s="92"/>
      <c r="K55" s="92"/>
      <c r="M55" s="92" t="s">
        <v>56</v>
      </c>
      <c r="N55" s="92"/>
      <c r="O55" s="92"/>
      <c r="P55" s="92"/>
      <c r="R55" s="93" t="s">
        <v>57</v>
      </c>
      <c r="S55" s="93"/>
      <c r="T55" s="93"/>
      <c r="U55" s="93"/>
      <c r="W55" s="93" t="s">
        <v>58</v>
      </c>
      <c r="X55" s="93"/>
      <c r="Y55" s="93"/>
      <c r="Z55" s="93"/>
    </row>
    <row r="56" spans="3:26" x14ac:dyDescent="0.25">
      <c r="C56" t="s">
        <v>21</v>
      </c>
      <c r="D56">
        <v>2.3529399999999998</v>
      </c>
      <c r="E56" t="s">
        <v>26</v>
      </c>
      <c r="H56" t="s">
        <v>21</v>
      </c>
      <c r="I56">
        <v>1.7646999999999999</v>
      </c>
      <c r="J56" t="s">
        <v>26</v>
      </c>
      <c r="M56" t="s">
        <v>21</v>
      </c>
      <c r="N56">
        <v>1.1764699999999999</v>
      </c>
      <c r="O56" t="s">
        <v>26</v>
      </c>
      <c r="R56" t="s">
        <v>21</v>
      </c>
      <c r="S56">
        <v>0.58823499999999995</v>
      </c>
      <c r="T56" t="s">
        <v>26</v>
      </c>
      <c r="W56" t="s">
        <v>21</v>
      </c>
      <c r="X56">
        <v>0</v>
      </c>
      <c r="Y56" t="s">
        <v>26</v>
      </c>
    </row>
    <row r="57" spans="3:26" x14ac:dyDescent="0.25">
      <c r="C57" t="s">
        <v>22</v>
      </c>
      <c r="D57">
        <v>0</v>
      </c>
      <c r="E57" t="s">
        <v>26</v>
      </c>
      <c r="H57" t="s">
        <v>22</v>
      </c>
      <c r="I57">
        <v>0</v>
      </c>
      <c r="J57" t="s">
        <v>26</v>
      </c>
      <c r="M57" t="s">
        <v>22</v>
      </c>
      <c r="N57">
        <v>0</v>
      </c>
      <c r="O57" t="s">
        <v>26</v>
      </c>
      <c r="R57" t="s">
        <v>22</v>
      </c>
      <c r="S57">
        <v>0</v>
      </c>
      <c r="T57" t="s">
        <v>26</v>
      </c>
      <c r="W57" t="s">
        <v>22</v>
      </c>
      <c r="X57">
        <v>0</v>
      </c>
      <c r="Y57" t="s">
        <v>26</v>
      </c>
    </row>
    <row r="58" spans="3:26" x14ac:dyDescent="0.25">
      <c r="C58" t="s">
        <v>47</v>
      </c>
      <c r="D58">
        <f>D57-D56</f>
        <v>-2.3529399999999998</v>
      </c>
      <c r="H58" t="s">
        <v>47</v>
      </c>
      <c r="I58">
        <f>I57-I56</f>
        <v>-1.7646999999999999</v>
      </c>
      <c r="M58" t="s">
        <v>47</v>
      </c>
      <c r="N58">
        <f>N57-N56</f>
        <v>-1.1764699999999999</v>
      </c>
      <c r="R58" t="s">
        <v>47</v>
      </c>
      <c r="S58">
        <f>S57-S56</f>
        <v>-0.58823499999999995</v>
      </c>
      <c r="W58" t="s">
        <v>47</v>
      </c>
      <c r="X58">
        <f>X57-X56</f>
        <v>0</v>
      </c>
    </row>
    <row r="59" spans="3:26" x14ac:dyDescent="0.25">
      <c r="C59" t="s">
        <v>23</v>
      </c>
      <c r="D59">
        <f>$D$15</f>
        <v>212.91</v>
      </c>
      <c r="E59" t="s">
        <v>27</v>
      </c>
      <c r="H59" t="s">
        <v>23</v>
      </c>
      <c r="I59">
        <f>$D$15</f>
        <v>212.91</v>
      </c>
      <c r="J59" t="s">
        <v>27</v>
      </c>
      <c r="M59" t="s">
        <v>23</v>
      </c>
      <c r="N59">
        <f>$D$15</f>
        <v>212.91</v>
      </c>
      <c r="O59" t="s">
        <v>27</v>
      </c>
      <c r="R59" t="s">
        <v>23</v>
      </c>
      <c r="S59">
        <f>$D$15</f>
        <v>212.91</v>
      </c>
      <c r="T59" t="s">
        <v>27</v>
      </c>
      <c r="W59" t="s">
        <v>23</v>
      </c>
      <c r="X59">
        <f>$D$15</f>
        <v>212.91</v>
      </c>
      <c r="Y59" t="s">
        <v>27</v>
      </c>
    </row>
    <row r="60" spans="3:26" s="8" customFormat="1" x14ac:dyDescent="0.25">
      <c r="C60" s="8" t="s">
        <v>59</v>
      </c>
      <c r="D60" s="8">
        <f>D59*D58*$B$3</f>
        <v>-250.48222769999998</v>
      </c>
      <c r="H60" s="8" t="s">
        <v>59</v>
      </c>
      <c r="I60" s="8">
        <f>I59*I58*$B$3</f>
        <v>-187.86113849999998</v>
      </c>
      <c r="M60" s="8" t="s">
        <v>59</v>
      </c>
      <c r="N60" s="8">
        <f>N59*N58*$B$3</f>
        <v>-125.24111384999999</v>
      </c>
      <c r="R60" s="8" t="s">
        <v>59</v>
      </c>
      <c r="S60" s="8">
        <f>S59*S58*$B$3</f>
        <v>-62.620556924999995</v>
      </c>
      <c r="W60" s="8" t="s">
        <v>59</v>
      </c>
      <c r="X60" s="8">
        <f>X59*X58*$B$3</f>
        <v>0</v>
      </c>
    </row>
    <row r="61" spans="3:26" x14ac:dyDescent="0.25">
      <c r="C61" t="s">
        <v>38</v>
      </c>
      <c r="D61">
        <v>0</v>
      </c>
      <c r="E61" t="s">
        <v>40</v>
      </c>
      <c r="H61" t="s">
        <v>38</v>
      </c>
      <c r="I61">
        <v>0</v>
      </c>
      <c r="J61" t="s">
        <v>40</v>
      </c>
      <c r="M61" t="s">
        <v>38</v>
      </c>
      <c r="N61">
        <v>0</v>
      </c>
      <c r="O61" t="s">
        <v>40</v>
      </c>
      <c r="R61" t="s">
        <v>38</v>
      </c>
      <c r="S61">
        <v>0</v>
      </c>
      <c r="T61" t="s">
        <v>40</v>
      </c>
      <c r="W61" t="s">
        <v>38</v>
      </c>
      <c r="X61">
        <v>0</v>
      </c>
      <c r="Y61" t="s">
        <v>40</v>
      </c>
    </row>
    <row r="62" spans="3:26" x14ac:dyDescent="0.25">
      <c r="C62" t="s">
        <v>39</v>
      </c>
      <c r="D62" s="6">
        <f>D61+(D56*$B$1-D57/$B$2)*$B$3</f>
        <v>0.99999949999999993</v>
      </c>
      <c r="E62" t="s">
        <v>40</v>
      </c>
      <c r="H62" t="s">
        <v>39</v>
      </c>
      <c r="I62">
        <f>I61+(I56*$B$1-I57/$B$2)*$B$3</f>
        <v>0.74999749999999998</v>
      </c>
      <c r="J62" t="s">
        <v>40</v>
      </c>
      <c r="M62" t="s">
        <v>39</v>
      </c>
      <c r="N62" s="19">
        <f>N61+(N56*$B$1-N57/$B$2)*$B$3</f>
        <v>0.49999974999999997</v>
      </c>
      <c r="O62" t="s">
        <v>40</v>
      </c>
      <c r="R62" t="s">
        <v>39</v>
      </c>
      <c r="S62">
        <f>S61+(S56*$B$1-S57/$B$2)*$B$3</f>
        <v>0.24999987499999998</v>
      </c>
      <c r="T62" t="s">
        <v>40</v>
      </c>
      <c r="W62" t="s">
        <v>39</v>
      </c>
      <c r="X62">
        <f>X61+(X56*$B$1-X57/$B$2)*$B$3</f>
        <v>0</v>
      </c>
      <c r="Y62" t="s">
        <v>40</v>
      </c>
    </row>
    <row r="63" spans="3:26" x14ac:dyDescent="0.25">
      <c r="C63" t="s">
        <v>24</v>
      </c>
      <c r="D63">
        <v>2.853E-4</v>
      </c>
      <c r="H63" t="s">
        <v>24</v>
      </c>
      <c r="I63">
        <v>2.6298700000000001E-4</v>
      </c>
      <c r="M63" t="s">
        <v>24</v>
      </c>
      <c r="N63">
        <v>1.8569999999999999E-4</v>
      </c>
      <c r="R63" t="s">
        <v>24</v>
      </c>
      <c r="S63">
        <v>1.00529E-4</v>
      </c>
      <c r="W63" t="s">
        <v>24</v>
      </c>
      <c r="X63">
        <v>0</v>
      </c>
    </row>
    <row r="64" spans="3:26" s="8" customFormat="1" x14ac:dyDescent="0.25">
      <c r="C64" s="8" t="s">
        <v>41</v>
      </c>
      <c r="D64" s="8">
        <f>$B$4*$B$5*D63</f>
        <v>71.325000000000003</v>
      </c>
      <c r="H64" s="8" t="s">
        <v>41</v>
      </c>
      <c r="I64" s="8">
        <f>$B$4*$B$5*I63</f>
        <v>65.746750000000006</v>
      </c>
      <c r="M64" s="8" t="s">
        <v>41</v>
      </c>
      <c r="N64" s="8">
        <f>$B$4*$B$5*N63</f>
        <v>46.424999999999997</v>
      </c>
      <c r="R64" s="8" t="s">
        <v>41</v>
      </c>
      <c r="S64" s="8">
        <f>$B$4*$B$5*S63</f>
        <v>25.132249999999999</v>
      </c>
      <c r="W64" s="8" t="s">
        <v>41</v>
      </c>
      <c r="X64" s="8">
        <f>$B$4*$B$5*X63</f>
        <v>0</v>
      </c>
    </row>
  </sheetData>
  <mergeCells count="25">
    <mergeCell ref="W44:Z44"/>
    <mergeCell ref="H55:K55"/>
    <mergeCell ref="M55:P55"/>
    <mergeCell ref="R55:U55"/>
    <mergeCell ref="W55:Z55"/>
    <mergeCell ref="C44:F44"/>
    <mergeCell ref="C55:F55"/>
    <mergeCell ref="H44:K44"/>
    <mergeCell ref="M44:P44"/>
    <mergeCell ref="R44:U44"/>
    <mergeCell ref="C33:F33"/>
    <mergeCell ref="H33:K33"/>
    <mergeCell ref="M33:P33"/>
    <mergeCell ref="R33:U33"/>
    <mergeCell ref="W33:Z33"/>
    <mergeCell ref="C11:F11"/>
    <mergeCell ref="H11:K11"/>
    <mergeCell ref="M11:P11"/>
    <mergeCell ref="R11:U11"/>
    <mergeCell ref="W11:Z11"/>
    <mergeCell ref="C22:F22"/>
    <mergeCell ref="H22:K22"/>
    <mergeCell ref="M22:P22"/>
    <mergeCell ref="R22:U22"/>
    <mergeCell ref="W22:Z22"/>
  </mergeCells>
  <phoneticPr fontId="4" type="noConversion"/>
  <conditionalFormatting sqref="E4:I4">
    <cfRule type="top10" dxfId="9" priority="5" rank="1"/>
  </conditionalFormatting>
  <conditionalFormatting sqref="E5:I5">
    <cfRule type="top10" dxfId="8" priority="4" rank="1"/>
  </conditionalFormatting>
  <conditionalFormatting sqref="E6:I6">
    <cfRule type="top10" dxfId="7" priority="3" rank="1"/>
  </conditionalFormatting>
  <conditionalFormatting sqref="E7:I7">
    <cfRule type="top10" dxfId="6" priority="2" rank="1"/>
  </conditionalFormatting>
  <conditionalFormatting sqref="E8:I8">
    <cfRule type="top10" dxfId="5" priority="1" rank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8DC3-26BC-4691-AD0C-9C0914EAA775}">
  <dimension ref="A1:Z64"/>
  <sheetViews>
    <sheetView topLeftCell="A8" zoomScale="80" zoomScaleNormal="80" workbookViewId="0">
      <selection activeCell="A21" sqref="A21"/>
    </sheetView>
  </sheetViews>
  <sheetFormatPr defaultRowHeight="15" x14ac:dyDescent="0.25"/>
  <cols>
    <col min="1" max="1" width="14.7109375" bestFit="1" customWidth="1"/>
    <col min="3" max="3" width="13.140625" bestFit="1" customWidth="1"/>
    <col min="4" max="4" width="13" bestFit="1" customWidth="1"/>
    <col min="5" max="5" width="13.7109375" bestFit="1" customWidth="1"/>
    <col min="6" max="6" width="12.7109375" bestFit="1" customWidth="1"/>
    <col min="7" max="7" width="11.85546875" customWidth="1"/>
    <col min="8" max="8" width="13.140625" bestFit="1" customWidth="1"/>
    <col min="9" max="9" width="12" bestFit="1" customWidth="1"/>
    <col min="13" max="13" width="13.140625" bestFit="1" customWidth="1"/>
    <col min="14" max="14" width="13" bestFit="1" customWidth="1"/>
    <col min="18" max="18" width="13.140625" bestFit="1" customWidth="1"/>
    <col min="19" max="19" width="13" bestFit="1" customWidth="1"/>
    <col min="23" max="23" width="13.140625" bestFit="1" customWidth="1"/>
    <col min="24" max="24" width="10.85546875" bestFit="1" customWidth="1"/>
  </cols>
  <sheetData>
    <row r="1" spans="1:26" x14ac:dyDescent="0.25">
      <c r="A1" t="s">
        <v>8</v>
      </c>
      <c r="B1">
        <v>0.85</v>
      </c>
    </row>
    <row r="2" spans="1:26" ht="15.75" thickBot="1" x14ac:dyDescent="0.3">
      <c r="A2" t="s">
        <v>9</v>
      </c>
      <c r="B2">
        <v>0.85</v>
      </c>
    </row>
    <row r="3" spans="1:26" ht="18" x14ac:dyDescent="0.25">
      <c r="A3" t="s">
        <v>10</v>
      </c>
      <c r="B3">
        <v>0.5</v>
      </c>
      <c r="D3" s="11"/>
      <c r="E3" s="12" t="s">
        <v>16</v>
      </c>
      <c r="F3" s="12" t="s">
        <v>17</v>
      </c>
      <c r="G3" s="12" t="s">
        <v>18</v>
      </c>
      <c r="H3" s="12" t="s">
        <v>19</v>
      </c>
      <c r="I3" s="13" t="s">
        <v>20</v>
      </c>
      <c r="J3" s="8" t="s">
        <v>46</v>
      </c>
    </row>
    <row r="4" spans="1:26" ht="18" x14ac:dyDescent="0.35">
      <c r="A4" t="s">
        <v>25</v>
      </c>
      <c r="B4">
        <v>250000</v>
      </c>
      <c r="C4" t="s">
        <v>27</v>
      </c>
      <c r="D4" s="14" t="s">
        <v>11</v>
      </c>
      <c r="E4" s="10">
        <f>$M$4+$D$15*$B$3*(D13-D12)-D19*$B$4*$B$5</f>
        <v>218.33</v>
      </c>
      <c r="F4" s="10">
        <f>$M$5+$D$15*$B$3*(I13-I12)-I19*$B$4*$B$5</f>
        <v>202.104375</v>
      </c>
      <c r="G4" s="10">
        <f>$M$6+$D$15*$B$3*(N13-N12)-N19*$B$4*$B$5</f>
        <v>172.43174999999999</v>
      </c>
      <c r="H4" s="10">
        <f>$M$7+$D$15*$B$3*(S13-S12)-S19*$B$4*$B$5</f>
        <v>140.64462500000002</v>
      </c>
      <c r="I4" s="15">
        <f>$M$8+$D$15*$B$3*(X13-X12)-X19*$B$4*$B$5</f>
        <v>105.0215</v>
      </c>
      <c r="J4" s="9">
        <f>MAX(E4:I4)</f>
        <v>218.33</v>
      </c>
      <c r="L4" t="s">
        <v>11</v>
      </c>
      <c r="M4" s="6">
        <f>'Stage 336'!J4</f>
        <v>218.33</v>
      </c>
    </row>
    <row r="5" spans="1:26" ht="18" x14ac:dyDescent="0.35">
      <c r="A5" t="s">
        <v>52</v>
      </c>
      <c r="B5">
        <f>'Stage 336'!B5</f>
        <v>1</v>
      </c>
      <c r="C5" t="s">
        <v>40</v>
      </c>
      <c r="D5" s="14" t="s">
        <v>12</v>
      </c>
      <c r="E5" s="10">
        <f>$M$4+$D$15*$B$3*(D24-D23)-D30*$B$4*$B$5</f>
        <v>151.7050446617647</v>
      </c>
      <c r="F5" s="10">
        <f>$M$5+$D$15*$B$3*(I24-I23)-I30*$B$4*$B$5</f>
        <v>163.7475</v>
      </c>
      <c r="G5" s="10">
        <f>$M$6+$D$15*$B$3*(N24-N23)-N30*$B$4*$B$5</f>
        <v>133.93845000000002</v>
      </c>
      <c r="H5" s="10">
        <f>$M$7+$D$15*$B$3*(S24-S23)-S30*$B$4*$B$5</f>
        <v>102.16575</v>
      </c>
      <c r="I5" s="15">
        <f>$M$8+$D$15*$B$3*(X24-X23)-X30*$B$4*$B$5</f>
        <v>66.549875000000014</v>
      </c>
      <c r="J5" s="9">
        <f t="shared" ref="J5:J8" si="0">MAX(E5:I5)</f>
        <v>163.7475</v>
      </c>
      <c r="L5" t="s">
        <v>12</v>
      </c>
      <c r="M5">
        <f>'Stage 336'!J5</f>
        <v>163.7475</v>
      </c>
    </row>
    <row r="6" spans="1:26" ht="18" x14ac:dyDescent="0.35">
      <c r="D6" s="14" t="s">
        <v>13</v>
      </c>
      <c r="E6" s="10">
        <f>$M$4+$D$15*$B$3*(D35-D34)-D41*$B$4*$B$5</f>
        <v>71.360454850000025</v>
      </c>
      <c r="F6" s="10">
        <f>$M$5+$D$15*$B$3*(I35-I34)-I41*$B$4*$B$5</f>
        <v>83.402884925000009</v>
      </c>
      <c r="G6" s="10">
        <f>$M$6+$D$15*$B$3*(N35-N34)-N41*$B$4*$B$5</f>
        <v>109.16500000000001</v>
      </c>
      <c r="H6" s="10">
        <f>$M$7+$D$15*$B$3*(S35-S34)-S41*$B$4*$B$5</f>
        <v>77.377849999999995</v>
      </c>
      <c r="I6" s="15">
        <f>$M$8+$D$15*$B$3*(X35-X34)-X41*$B$4*$B$5</f>
        <v>41.754750000000001</v>
      </c>
      <c r="J6" s="9">
        <f>MAX(E6:I6)</f>
        <v>109.16500000000001</v>
      </c>
      <c r="L6" t="s">
        <v>13</v>
      </c>
      <c r="M6">
        <f>'Stage 336'!J6</f>
        <v>109.16500000000001</v>
      </c>
    </row>
    <row r="7" spans="1:26" ht="18" x14ac:dyDescent="0.35">
      <c r="D7" s="14" t="s">
        <v>14</v>
      </c>
      <c r="E7" s="10">
        <f>$M$4+$D$15*$B$3*(D46-D45)-D52*$B$4*$B$5</f>
        <v>35.251198500000015</v>
      </c>
      <c r="F7" s="10">
        <f>$M$5+$D$15*$B$3*(I46-I45)-I52*$B$4*$B$5</f>
        <v>41.694559677900003</v>
      </c>
      <c r="G7" s="10">
        <f>$M$6+$D$15*$B$3*(N46-N45)-N52*$B$4*$B$5</f>
        <v>48.13855992500001</v>
      </c>
      <c r="H7" s="10">
        <f>$M$7+$D$15*$B$3*(S46-S45)-S52*$B$4*$B$5</f>
        <v>54.582500000000003</v>
      </c>
      <c r="I7" s="15">
        <f>$M$8+$D$15*$B$3*(X46-X45)-X52*$B$4*$B$5</f>
        <v>44.091625000000001</v>
      </c>
      <c r="J7" s="9">
        <f t="shared" si="0"/>
        <v>54.582500000000003</v>
      </c>
      <c r="L7" t="s">
        <v>14</v>
      </c>
      <c r="M7">
        <f>'Stage 336'!J7</f>
        <v>54.582500000000003</v>
      </c>
    </row>
    <row r="8" spans="1:26" ht="18.75" thickBot="1" x14ac:dyDescent="0.4">
      <c r="D8" s="16" t="s">
        <v>15</v>
      </c>
      <c r="E8" s="17">
        <f>$M$4+$D$15*$B$3*(D57-D56)-D63*$B$4*$B$5</f>
        <v>-97.121119804119985</v>
      </c>
      <c r="F8" s="17">
        <f>$M$5+$D$15*$B$3*(I57-I56)-I63*$B$4*$B$5</f>
        <v>-85.078655721000004</v>
      </c>
      <c r="G8" s="17">
        <f>$M$6+$D$15*$B$3*(N57-N56)-N63*$B$4*$B$5</f>
        <v>-59.316441152059994</v>
      </c>
      <c r="H8" s="17">
        <f>$M$7+$D$15*$B$3*(S57-S56)-S63*$B$4*$B$5</f>
        <v>-31.457165074999995</v>
      </c>
      <c r="I8" s="18">
        <f>$M$8+$D$15*$B$3*(X57-X56)-X63*$B$4*$B$5</f>
        <v>0</v>
      </c>
      <c r="J8" s="9">
        <f t="shared" si="0"/>
        <v>0</v>
      </c>
      <c r="L8" t="s">
        <v>15</v>
      </c>
      <c r="M8">
        <f>'Stage 336'!J8</f>
        <v>0</v>
      </c>
    </row>
    <row r="11" spans="1:26" ht="18" x14ac:dyDescent="0.35">
      <c r="C11" s="89" t="s">
        <v>28</v>
      </c>
      <c r="D11" s="89"/>
      <c r="E11" s="89"/>
      <c r="F11" s="89"/>
      <c r="H11" s="89" t="s">
        <v>29</v>
      </c>
      <c r="I11" s="89"/>
      <c r="J11" s="89"/>
      <c r="K11" s="89"/>
      <c r="M11" s="89" t="s">
        <v>30</v>
      </c>
      <c r="N11" s="89"/>
      <c r="O11" s="89"/>
      <c r="P11" s="89"/>
      <c r="R11" s="89" t="s">
        <v>31</v>
      </c>
      <c r="S11" s="89"/>
      <c r="T11" s="89"/>
      <c r="U11" s="89"/>
      <c r="W11" s="89" t="s">
        <v>32</v>
      </c>
      <c r="X11" s="89"/>
      <c r="Y11" s="89"/>
      <c r="Z11" s="89"/>
    </row>
    <row r="12" spans="1:26" x14ac:dyDescent="0.25">
      <c r="C12" t="s">
        <v>21</v>
      </c>
      <c r="D12">
        <v>0</v>
      </c>
      <c r="E12" t="s">
        <v>26</v>
      </c>
      <c r="H12" t="s">
        <v>21</v>
      </c>
      <c r="I12">
        <v>0</v>
      </c>
      <c r="J12" t="s">
        <v>26</v>
      </c>
      <c r="M12" t="s">
        <v>21</v>
      </c>
      <c r="N12">
        <v>0</v>
      </c>
      <c r="O12" t="s">
        <v>26</v>
      </c>
      <c r="R12" t="s">
        <v>21</v>
      </c>
      <c r="S12">
        <v>0</v>
      </c>
      <c r="T12" t="s">
        <v>26</v>
      </c>
      <c r="W12" t="s">
        <v>21</v>
      </c>
      <c r="X12">
        <v>0</v>
      </c>
      <c r="Y12" t="s">
        <v>26</v>
      </c>
    </row>
    <row r="13" spans="1:26" x14ac:dyDescent="0.25">
      <c r="C13" t="s">
        <v>22</v>
      </c>
      <c r="D13">
        <v>0</v>
      </c>
      <c r="E13" t="s">
        <v>26</v>
      </c>
      <c r="H13" t="s">
        <v>22</v>
      </c>
      <c r="I13">
        <v>0.42499999999999999</v>
      </c>
      <c r="J13" t="s">
        <v>26</v>
      </c>
      <c r="M13" t="s">
        <v>22</v>
      </c>
      <c r="N13">
        <v>0.85</v>
      </c>
      <c r="O13" t="s">
        <v>26</v>
      </c>
      <c r="R13" t="s">
        <v>22</v>
      </c>
      <c r="S13">
        <v>1.2749999999999999</v>
      </c>
      <c r="T13" t="s">
        <v>26</v>
      </c>
      <c r="W13" t="s">
        <v>22</v>
      </c>
      <c r="X13">
        <v>1.7</v>
      </c>
      <c r="Y13" t="s">
        <v>26</v>
      </c>
    </row>
    <row r="14" spans="1:26" x14ac:dyDescent="0.25">
      <c r="C14" t="s">
        <v>47</v>
      </c>
      <c r="D14">
        <f>D13-D12</f>
        <v>0</v>
      </c>
      <c r="H14" t="s">
        <v>47</v>
      </c>
      <c r="I14">
        <f>I13-I12</f>
        <v>0.42499999999999999</v>
      </c>
      <c r="M14" t="s">
        <v>47</v>
      </c>
      <c r="N14">
        <f>N13-N12</f>
        <v>0.85</v>
      </c>
      <c r="R14" t="s">
        <v>47</v>
      </c>
      <c r="S14">
        <f>S13-S12</f>
        <v>1.2749999999999999</v>
      </c>
      <c r="W14" t="s">
        <v>47</v>
      </c>
      <c r="X14">
        <f>X13-X12</f>
        <v>1.7</v>
      </c>
    </row>
    <row r="15" spans="1:26" x14ac:dyDescent="0.25">
      <c r="C15" t="s">
        <v>23</v>
      </c>
      <c r="D15">
        <v>207.49</v>
      </c>
      <c r="E15" t="s">
        <v>27</v>
      </c>
      <c r="H15" t="s">
        <v>23</v>
      </c>
      <c r="I15">
        <f>D15</f>
        <v>207.49</v>
      </c>
      <c r="J15" t="s">
        <v>27</v>
      </c>
      <c r="M15" t="s">
        <v>23</v>
      </c>
      <c r="N15">
        <f>D15</f>
        <v>207.49</v>
      </c>
      <c r="O15" t="s">
        <v>27</v>
      </c>
      <c r="R15" t="s">
        <v>23</v>
      </c>
      <c r="S15">
        <f>D15</f>
        <v>207.49</v>
      </c>
      <c r="T15" t="s">
        <v>27</v>
      </c>
      <c r="W15" t="s">
        <v>23</v>
      </c>
      <c r="X15">
        <f>$D$15</f>
        <v>207.49</v>
      </c>
      <c r="Y15" t="s">
        <v>27</v>
      </c>
    </row>
    <row r="16" spans="1:26" s="8" customFormat="1" x14ac:dyDescent="0.25">
      <c r="C16" s="8" t="s">
        <v>59</v>
      </c>
      <c r="D16" s="8">
        <f>D15*D14*$B$3</f>
        <v>0</v>
      </c>
      <c r="H16" s="8" t="s">
        <v>59</v>
      </c>
      <c r="I16" s="8">
        <f>I15*I14*$B$3</f>
        <v>44.091625000000001</v>
      </c>
      <c r="M16" s="8" t="s">
        <v>59</v>
      </c>
      <c r="N16" s="8">
        <f>N15*N14*$B$3</f>
        <v>88.183250000000001</v>
      </c>
      <c r="R16" s="8" t="s">
        <v>59</v>
      </c>
      <c r="S16" s="8">
        <f>S15*S14*$B$3</f>
        <v>132.27487500000001</v>
      </c>
      <c r="W16" s="8" t="s">
        <v>59</v>
      </c>
      <c r="X16" s="8">
        <f>X15*X14*$B$3</f>
        <v>176.3665</v>
      </c>
    </row>
    <row r="17" spans="3:26" x14ac:dyDescent="0.25">
      <c r="C17" t="s">
        <v>38</v>
      </c>
      <c r="D17">
        <f>B5</f>
        <v>1</v>
      </c>
      <c r="E17" t="s">
        <v>40</v>
      </c>
      <c r="H17" t="s">
        <v>38</v>
      </c>
      <c r="I17">
        <f>D17</f>
        <v>1</v>
      </c>
      <c r="M17" t="s">
        <v>38</v>
      </c>
      <c r="N17">
        <f>I17</f>
        <v>1</v>
      </c>
      <c r="R17" t="s">
        <v>38</v>
      </c>
      <c r="S17">
        <f>N17</f>
        <v>1</v>
      </c>
      <c r="W17" t="s">
        <v>38</v>
      </c>
      <c r="X17">
        <f>S17</f>
        <v>1</v>
      </c>
    </row>
    <row r="18" spans="3:26" x14ac:dyDescent="0.25">
      <c r="C18" t="s">
        <v>39</v>
      </c>
      <c r="D18">
        <f>D17+(D12*$B$1-D13/$B$2)*$B$3</f>
        <v>1</v>
      </c>
      <c r="E18" t="s">
        <v>40</v>
      </c>
      <c r="H18" t="s">
        <v>39</v>
      </c>
      <c r="I18">
        <f>I17+(I12*$B$1-I13/$B$2)*$B$3</f>
        <v>0.75</v>
      </c>
      <c r="M18" t="s">
        <v>39</v>
      </c>
      <c r="N18">
        <f>N17+(N12*$B$1-N13/$B$2)*$B$3</f>
        <v>0.5</v>
      </c>
      <c r="R18" t="s">
        <v>39</v>
      </c>
      <c r="S18">
        <f>S17+(S12*$B$1-S13/$B$2)*$B$3</f>
        <v>0.25</v>
      </c>
      <c r="W18" t="s">
        <v>39</v>
      </c>
      <c r="X18">
        <f>X17+(X12*$B$1-X13/$B$2)*$B$3</f>
        <v>0</v>
      </c>
    </row>
    <row r="19" spans="3:26" x14ac:dyDescent="0.25">
      <c r="C19" t="s">
        <v>24</v>
      </c>
      <c r="D19">
        <v>0</v>
      </c>
      <c r="H19" t="s">
        <v>24</v>
      </c>
      <c r="I19">
        <v>2.2938999999999998E-5</v>
      </c>
      <c r="M19" t="s">
        <v>24</v>
      </c>
      <c r="N19">
        <v>9.9666000000000004E-5</v>
      </c>
      <c r="R19" t="s">
        <v>24</v>
      </c>
      <c r="S19">
        <v>1.8485100000000001E-4</v>
      </c>
      <c r="W19" t="s">
        <v>24</v>
      </c>
      <c r="X19">
        <v>2.8538000000000001E-4</v>
      </c>
    </row>
    <row r="20" spans="3:26" s="8" customFormat="1" x14ac:dyDescent="0.25">
      <c r="C20" s="8" t="s">
        <v>41</v>
      </c>
      <c r="D20" s="8">
        <f>$B$4*$B$5*D19</f>
        <v>0</v>
      </c>
      <c r="H20" s="8" t="s">
        <v>41</v>
      </c>
      <c r="I20" s="8">
        <f>$B$4*$B$5*I19</f>
        <v>5.73475</v>
      </c>
      <c r="J20" s="21"/>
      <c r="M20" s="8" t="s">
        <v>41</v>
      </c>
      <c r="N20" s="8">
        <f>$B$4*$B$5*N19</f>
        <v>24.916500000000003</v>
      </c>
      <c r="R20" s="8" t="s">
        <v>41</v>
      </c>
      <c r="S20" s="21">
        <f>$B$4*$B$5*S19</f>
        <v>46.21275</v>
      </c>
      <c r="W20" s="8" t="s">
        <v>41</v>
      </c>
      <c r="X20" s="8">
        <f>$B$4*$B$5*X19</f>
        <v>71.344999999999999</v>
      </c>
    </row>
    <row r="22" spans="3:26" ht="18" x14ac:dyDescent="0.35">
      <c r="C22" s="88" t="s">
        <v>33</v>
      </c>
      <c r="D22" s="88"/>
      <c r="E22" s="88"/>
      <c r="F22" s="88"/>
      <c r="H22" s="88" t="s">
        <v>34</v>
      </c>
      <c r="I22" s="88"/>
      <c r="J22" s="88"/>
      <c r="K22" s="88"/>
      <c r="M22" s="88" t="s">
        <v>35</v>
      </c>
      <c r="N22" s="88"/>
      <c r="O22" s="88"/>
      <c r="P22" s="88"/>
      <c r="R22" s="88" t="s">
        <v>36</v>
      </c>
      <c r="S22" s="88"/>
      <c r="T22" s="88"/>
      <c r="U22" s="88"/>
      <c r="W22" s="88" t="s">
        <v>37</v>
      </c>
      <c r="X22" s="88"/>
      <c r="Y22" s="88"/>
      <c r="Z22" s="88"/>
    </row>
    <row r="23" spans="3:26" x14ac:dyDescent="0.25">
      <c r="C23" t="s">
        <v>21</v>
      </c>
      <c r="D23">
        <v>0.58823529411764697</v>
      </c>
      <c r="E23" t="s">
        <v>26</v>
      </c>
      <c r="H23" t="s">
        <v>21</v>
      </c>
      <c r="I23">
        <v>0</v>
      </c>
      <c r="J23" t="s">
        <v>26</v>
      </c>
      <c r="M23" t="s">
        <v>21</v>
      </c>
      <c r="N23">
        <v>0</v>
      </c>
      <c r="O23" t="s">
        <v>26</v>
      </c>
      <c r="R23" t="s">
        <v>21</v>
      </c>
      <c r="S23">
        <v>0</v>
      </c>
      <c r="T23" t="s">
        <v>26</v>
      </c>
      <c r="W23" t="s">
        <v>21</v>
      </c>
      <c r="X23">
        <v>0</v>
      </c>
      <c r="Y23" t="s">
        <v>26</v>
      </c>
    </row>
    <row r="24" spans="3:26" x14ac:dyDescent="0.25">
      <c r="C24" t="s">
        <v>22</v>
      </c>
      <c r="D24">
        <v>0</v>
      </c>
      <c r="E24" t="s">
        <v>26</v>
      </c>
      <c r="H24" t="s">
        <v>22</v>
      </c>
      <c r="I24">
        <v>0</v>
      </c>
      <c r="J24" t="s">
        <v>26</v>
      </c>
      <c r="M24" t="s">
        <v>22</v>
      </c>
      <c r="N24">
        <v>0.42499999999999999</v>
      </c>
      <c r="O24" t="s">
        <v>26</v>
      </c>
      <c r="R24" t="s">
        <v>22</v>
      </c>
      <c r="S24">
        <v>0.85</v>
      </c>
      <c r="T24" t="s">
        <v>26</v>
      </c>
      <c r="W24" t="s">
        <v>22</v>
      </c>
      <c r="X24">
        <v>1.2749999999999999</v>
      </c>
      <c r="Y24" t="s">
        <v>26</v>
      </c>
    </row>
    <row r="25" spans="3:26" x14ac:dyDescent="0.25">
      <c r="C25" t="s">
        <v>47</v>
      </c>
      <c r="D25">
        <f>D24-D23</f>
        <v>-0.58823529411764697</v>
      </c>
      <c r="H25" t="s">
        <v>47</v>
      </c>
      <c r="I25">
        <f>I24-I23</f>
        <v>0</v>
      </c>
      <c r="M25" t="s">
        <v>47</v>
      </c>
      <c r="N25">
        <f>N24-N23</f>
        <v>0.42499999999999999</v>
      </c>
      <c r="R25" t="s">
        <v>47</v>
      </c>
      <c r="S25">
        <f>S24-S23</f>
        <v>0.85</v>
      </c>
      <c r="W25" t="s">
        <v>47</v>
      </c>
      <c r="X25">
        <f>X24-X23</f>
        <v>1.2749999999999999</v>
      </c>
    </row>
    <row r="26" spans="3:26" x14ac:dyDescent="0.25">
      <c r="C26" t="s">
        <v>23</v>
      </c>
      <c r="D26">
        <f>$D$15</f>
        <v>207.49</v>
      </c>
      <c r="E26" t="s">
        <v>27</v>
      </c>
      <c r="H26" t="s">
        <v>23</v>
      </c>
      <c r="I26">
        <f>$D$15</f>
        <v>207.49</v>
      </c>
      <c r="J26" t="s">
        <v>27</v>
      </c>
      <c r="M26" t="s">
        <v>23</v>
      </c>
      <c r="N26">
        <f>$D$15</f>
        <v>207.49</v>
      </c>
      <c r="O26" t="s">
        <v>27</v>
      </c>
      <c r="R26" t="s">
        <v>23</v>
      </c>
      <c r="S26">
        <f>$D$15</f>
        <v>207.49</v>
      </c>
      <c r="T26" t="s">
        <v>27</v>
      </c>
      <c r="W26" t="s">
        <v>23</v>
      </c>
      <c r="X26">
        <f>$D$15</f>
        <v>207.49</v>
      </c>
      <c r="Y26" t="s">
        <v>27</v>
      </c>
    </row>
    <row r="27" spans="3:26" s="8" customFormat="1" x14ac:dyDescent="0.25">
      <c r="C27" s="8" t="s">
        <v>59</v>
      </c>
      <c r="D27" s="8">
        <f>D26*D25*$B$3</f>
        <v>-61.026470588235284</v>
      </c>
      <c r="H27" s="8" t="s">
        <v>59</v>
      </c>
      <c r="I27" s="8">
        <f>I26*I25*$B$3</f>
        <v>0</v>
      </c>
      <c r="M27" s="8" t="s">
        <v>59</v>
      </c>
      <c r="N27" s="8">
        <f>N26*N25*$B$3</f>
        <v>44.091625000000001</v>
      </c>
      <c r="R27" s="8" t="s">
        <v>59</v>
      </c>
      <c r="S27" s="8">
        <f>S26*S25*$B$3</f>
        <v>88.183250000000001</v>
      </c>
      <c r="W27" s="8" t="s">
        <v>59</v>
      </c>
      <c r="X27" s="8">
        <f>X26*X25*$B$3</f>
        <v>132.27487500000001</v>
      </c>
    </row>
    <row r="28" spans="3:26" x14ac:dyDescent="0.25">
      <c r="C28" t="s">
        <v>38</v>
      </c>
      <c r="D28">
        <v>0.75</v>
      </c>
      <c r="E28" t="s">
        <v>40</v>
      </c>
      <c r="H28" t="s">
        <v>38</v>
      </c>
      <c r="I28">
        <f>$D$28</f>
        <v>0.75</v>
      </c>
      <c r="J28" t="s">
        <v>40</v>
      </c>
      <c r="M28" t="s">
        <v>38</v>
      </c>
      <c r="N28">
        <f>$D$28</f>
        <v>0.75</v>
      </c>
      <c r="O28" t="s">
        <v>40</v>
      </c>
      <c r="R28" t="s">
        <v>38</v>
      </c>
      <c r="S28">
        <f>$D$28</f>
        <v>0.75</v>
      </c>
      <c r="T28" t="s">
        <v>40</v>
      </c>
      <c r="W28" t="s">
        <v>38</v>
      </c>
      <c r="X28">
        <f>$D$28</f>
        <v>0.75</v>
      </c>
      <c r="Y28" t="s">
        <v>40</v>
      </c>
    </row>
    <row r="29" spans="3:26" x14ac:dyDescent="0.25">
      <c r="C29" t="s">
        <v>39</v>
      </c>
      <c r="D29">
        <f>D28+(D23*$B$1-D24/$B$2)*$B$3</f>
        <v>1</v>
      </c>
      <c r="E29" t="s">
        <v>40</v>
      </c>
      <c r="H29" t="s">
        <v>39</v>
      </c>
      <c r="I29">
        <f>I28+(I23*$B$1-I24/$B$2)*$B$3</f>
        <v>0.75</v>
      </c>
      <c r="J29" t="s">
        <v>40</v>
      </c>
      <c r="M29" t="s">
        <v>39</v>
      </c>
      <c r="N29">
        <f>N28+(N23*$B$1-N24/$B$2)*$B$3</f>
        <v>0.5</v>
      </c>
      <c r="O29" t="s">
        <v>40</v>
      </c>
      <c r="R29" t="s">
        <v>39</v>
      </c>
      <c r="S29">
        <f>S28+(S23*$B$1-S24/$B$2)*$B$3</f>
        <v>0.25</v>
      </c>
      <c r="T29" t="s">
        <v>40</v>
      </c>
      <c r="W29" t="s">
        <v>39</v>
      </c>
      <c r="X29">
        <f>X28+(X23*$B$1-X24/$B$2)*$B$3</f>
        <v>0</v>
      </c>
      <c r="Y29" t="s">
        <v>40</v>
      </c>
    </row>
    <row r="30" spans="3:26" x14ac:dyDescent="0.25">
      <c r="C30" t="s">
        <v>24</v>
      </c>
      <c r="D30">
        <v>2.2393938999999999E-5</v>
      </c>
      <c r="H30" t="s">
        <v>24</v>
      </c>
      <c r="I30">
        <v>0</v>
      </c>
      <c r="M30" t="s">
        <v>24</v>
      </c>
      <c r="N30">
        <v>7.7272699999999996E-5</v>
      </c>
      <c r="R30" t="s">
        <v>24</v>
      </c>
      <c r="S30">
        <v>1.6239999999999999E-4</v>
      </c>
      <c r="W30" t="s">
        <v>24</v>
      </c>
      <c r="X30">
        <v>2.6289999999999999E-4</v>
      </c>
    </row>
    <row r="31" spans="3:26" s="20" customFormat="1" x14ac:dyDescent="0.25">
      <c r="C31" s="20" t="s">
        <v>41</v>
      </c>
      <c r="D31" s="20">
        <f>$B$4*$B$5*D30</f>
        <v>5.5984847499999999</v>
      </c>
      <c r="H31" s="20" t="s">
        <v>41</v>
      </c>
      <c r="I31" s="20">
        <f>$B$4*$B$5*I30</f>
        <v>0</v>
      </c>
      <c r="M31" s="20" t="s">
        <v>41</v>
      </c>
      <c r="N31" s="20">
        <f>$B$4*$B$5*N30</f>
        <v>19.318175</v>
      </c>
      <c r="R31" s="20" t="s">
        <v>41</v>
      </c>
      <c r="S31" s="20">
        <f>$B$4*$B$5*S30</f>
        <v>40.599999999999994</v>
      </c>
      <c r="W31" s="20" t="s">
        <v>41</v>
      </c>
      <c r="X31" s="20">
        <f>$B$4*$B$5*X30</f>
        <v>65.724999999999994</v>
      </c>
    </row>
    <row r="33" spans="3:26" ht="18" x14ac:dyDescent="0.35">
      <c r="C33" s="90" t="s">
        <v>42</v>
      </c>
      <c r="D33" s="90"/>
      <c r="E33" s="90"/>
      <c r="F33" s="90"/>
      <c r="H33" s="90" t="s">
        <v>43</v>
      </c>
      <c r="I33" s="90"/>
      <c r="J33" s="90"/>
      <c r="K33" s="90"/>
      <c r="M33" s="90" t="s">
        <v>44</v>
      </c>
      <c r="N33" s="90"/>
      <c r="O33" s="90"/>
      <c r="P33" s="90"/>
      <c r="R33" s="90" t="s">
        <v>45</v>
      </c>
      <c r="S33" s="90"/>
      <c r="T33" s="90"/>
      <c r="U33" s="90"/>
      <c r="W33" s="90" t="s">
        <v>54</v>
      </c>
      <c r="X33" s="90"/>
      <c r="Y33" s="90"/>
      <c r="Z33" s="90"/>
    </row>
    <row r="34" spans="3:26" x14ac:dyDescent="0.25">
      <c r="C34" t="s">
        <v>21</v>
      </c>
      <c r="D34">
        <v>1.1764699999999999</v>
      </c>
      <c r="E34" t="s">
        <v>26</v>
      </c>
      <c r="H34" t="s">
        <v>21</v>
      </c>
      <c r="I34">
        <v>0.58823499999999995</v>
      </c>
      <c r="J34" t="s">
        <v>26</v>
      </c>
      <c r="M34" t="s">
        <v>21</v>
      </c>
      <c r="N34">
        <v>0</v>
      </c>
      <c r="O34" t="s">
        <v>26</v>
      </c>
      <c r="R34" t="s">
        <v>21</v>
      </c>
      <c r="S34">
        <v>0</v>
      </c>
      <c r="T34" t="s">
        <v>26</v>
      </c>
      <c r="W34" t="s">
        <v>21</v>
      </c>
      <c r="X34">
        <v>0</v>
      </c>
      <c r="Y34" t="s">
        <v>26</v>
      </c>
    </row>
    <row r="35" spans="3:26" x14ac:dyDescent="0.25">
      <c r="C35" t="s">
        <v>22</v>
      </c>
      <c r="D35">
        <v>0</v>
      </c>
      <c r="E35" t="s">
        <v>26</v>
      </c>
      <c r="H35" t="s">
        <v>22</v>
      </c>
      <c r="I35">
        <v>0</v>
      </c>
      <c r="J35" t="s">
        <v>26</v>
      </c>
      <c r="M35" t="s">
        <v>22</v>
      </c>
      <c r="N35">
        <v>0</v>
      </c>
      <c r="O35" t="s">
        <v>26</v>
      </c>
      <c r="R35" t="s">
        <v>22</v>
      </c>
      <c r="S35">
        <v>0.42499999999999999</v>
      </c>
      <c r="T35" t="s">
        <v>26</v>
      </c>
      <c r="W35" t="s">
        <v>22</v>
      </c>
      <c r="X35">
        <v>0.85</v>
      </c>
      <c r="Y35" t="s">
        <v>26</v>
      </c>
    </row>
    <row r="36" spans="3:26" x14ac:dyDescent="0.25">
      <c r="C36" t="s">
        <v>47</v>
      </c>
      <c r="D36">
        <f>D35-D34</f>
        <v>-1.1764699999999999</v>
      </c>
      <c r="H36" t="s">
        <v>47</v>
      </c>
      <c r="I36">
        <f>I35-I34</f>
        <v>-0.58823499999999995</v>
      </c>
      <c r="M36" t="s">
        <v>47</v>
      </c>
      <c r="N36">
        <f>N35-N34</f>
        <v>0</v>
      </c>
      <c r="R36" t="s">
        <v>47</v>
      </c>
      <c r="S36">
        <f>S35-S34</f>
        <v>0.42499999999999999</v>
      </c>
      <c r="W36" t="s">
        <v>47</v>
      </c>
      <c r="X36">
        <f>X35-X34</f>
        <v>0.85</v>
      </c>
    </row>
    <row r="37" spans="3:26" x14ac:dyDescent="0.25">
      <c r="C37" t="s">
        <v>23</v>
      </c>
      <c r="D37">
        <f>D26</f>
        <v>207.49</v>
      </c>
      <c r="E37" t="s">
        <v>27</v>
      </c>
      <c r="H37" t="s">
        <v>23</v>
      </c>
      <c r="I37">
        <f>$D$15</f>
        <v>207.49</v>
      </c>
      <c r="J37" t="s">
        <v>27</v>
      </c>
      <c r="M37" t="s">
        <v>23</v>
      </c>
      <c r="N37">
        <f>$D$15</f>
        <v>207.49</v>
      </c>
      <c r="O37" t="s">
        <v>27</v>
      </c>
      <c r="R37" t="s">
        <v>23</v>
      </c>
      <c r="S37">
        <f>$D$15</f>
        <v>207.49</v>
      </c>
      <c r="T37" t="s">
        <v>27</v>
      </c>
      <c r="W37" t="s">
        <v>23</v>
      </c>
      <c r="X37">
        <f>$D$15</f>
        <v>207.49</v>
      </c>
      <c r="Y37" t="s">
        <v>27</v>
      </c>
    </row>
    <row r="38" spans="3:26" s="8" customFormat="1" x14ac:dyDescent="0.25">
      <c r="C38" s="8" t="s">
        <v>59</v>
      </c>
      <c r="D38" s="8">
        <f>D37*D36*$B$3</f>
        <v>-122.05288014999999</v>
      </c>
      <c r="H38" s="8" t="s">
        <v>59</v>
      </c>
      <c r="I38" s="8">
        <f>I37*I36*$B$3</f>
        <v>-61.026440074999996</v>
      </c>
      <c r="M38" s="8" t="s">
        <v>59</v>
      </c>
      <c r="N38" s="8">
        <f>N37*N36*$B$3</f>
        <v>0</v>
      </c>
      <c r="R38" s="8" t="s">
        <v>59</v>
      </c>
      <c r="S38" s="8">
        <f>S37*S36*$B$3</f>
        <v>44.091625000000001</v>
      </c>
      <c r="W38" s="8" t="s">
        <v>59</v>
      </c>
      <c r="X38" s="8">
        <f>X37*X36*$B$3</f>
        <v>88.183250000000001</v>
      </c>
    </row>
    <row r="39" spans="3:26" x14ac:dyDescent="0.25">
      <c r="C39" t="s">
        <v>38</v>
      </c>
      <c r="D39">
        <v>0.5</v>
      </c>
      <c r="E39" t="s">
        <v>40</v>
      </c>
      <c r="H39" t="s">
        <v>38</v>
      </c>
      <c r="I39">
        <f>$D$39</f>
        <v>0.5</v>
      </c>
      <c r="J39" t="s">
        <v>40</v>
      </c>
      <c r="M39" t="s">
        <v>38</v>
      </c>
      <c r="N39">
        <f>$D$39</f>
        <v>0.5</v>
      </c>
      <c r="O39" t="s">
        <v>40</v>
      </c>
      <c r="R39" t="s">
        <v>38</v>
      </c>
      <c r="S39">
        <f>$D$39</f>
        <v>0.5</v>
      </c>
      <c r="T39" t="s">
        <v>40</v>
      </c>
      <c r="W39" t="s">
        <v>38</v>
      </c>
      <c r="X39">
        <f>$D$39</f>
        <v>0.5</v>
      </c>
      <c r="Y39" t="s">
        <v>40</v>
      </c>
    </row>
    <row r="40" spans="3:26" x14ac:dyDescent="0.25">
      <c r="C40" t="s">
        <v>39</v>
      </c>
      <c r="D40" s="6">
        <f>D39+(D34*$B$1-D35/$B$2)*$B$3</f>
        <v>0.99999974999999997</v>
      </c>
      <c r="E40" t="s">
        <v>40</v>
      </c>
      <c r="H40" t="s">
        <v>39</v>
      </c>
      <c r="I40" s="7">
        <f>I39+(I34*$B$1-I35/$B$2)*$B$3</f>
        <v>0.74999987499999998</v>
      </c>
      <c r="J40" t="s">
        <v>40</v>
      </c>
      <c r="M40" t="s">
        <v>39</v>
      </c>
      <c r="N40">
        <f>N39+(N34*$B$1-N35/$B$2)*$B$3</f>
        <v>0.5</v>
      </c>
      <c r="O40" t="s">
        <v>40</v>
      </c>
      <c r="R40" t="s">
        <v>39</v>
      </c>
      <c r="S40">
        <f>S39+(S34*$B$1-S35/$B$2)*$B$3</f>
        <v>0.25</v>
      </c>
      <c r="T40" t="s">
        <v>40</v>
      </c>
      <c r="W40" t="s">
        <v>39</v>
      </c>
      <c r="X40">
        <f>X39+(X34*$B$1-X35/$B$2)*$B$3</f>
        <v>0</v>
      </c>
      <c r="Y40" t="s">
        <v>40</v>
      </c>
    </row>
    <row r="41" spans="3:26" x14ac:dyDescent="0.25">
      <c r="C41" t="s">
        <v>24</v>
      </c>
      <c r="D41">
        <v>9.9666659999999996E-5</v>
      </c>
      <c r="H41" t="s">
        <v>24</v>
      </c>
      <c r="I41">
        <v>7.7272699999999996E-5</v>
      </c>
      <c r="M41" t="s">
        <v>24</v>
      </c>
      <c r="N41">
        <v>0</v>
      </c>
      <c r="R41" t="s">
        <v>24</v>
      </c>
      <c r="S41">
        <v>8.5185099999999999E-5</v>
      </c>
      <c r="W41" t="s">
        <v>24</v>
      </c>
      <c r="X41">
        <v>1.8571399999999999E-4</v>
      </c>
    </row>
    <row r="42" spans="3:26" s="20" customFormat="1" x14ac:dyDescent="0.25">
      <c r="C42" s="20" t="s">
        <v>41</v>
      </c>
      <c r="D42" s="20">
        <f>$B$4*$B$5*D41</f>
        <v>24.916664999999998</v>
      </c>
      <c r="H42" s="20" t="s">
        <v>41</v>
      </c>
      <c r="I42" s="20">
        <f>$B$4*$B$5*I41</f>
        <v>19.318175</v>
      </c>
      <c r="M42" s="20" t="s">
        <v>41</v>
      </c>
      <c r="N42" s="20">
        <f>$B$4*$B$5*N41</f>
        <v>0</v>
      </c>
      <c r="R42" s="20" t="s">
        <v>41</v>
      </c>
      <c r="S42" s="20">
        <f>$B$4*$B$5*S41</f>
        <v>21.296275000000001</v>
      </c>
      <c r="W42" s="20" t="s">
        <v>41</v>
      </c>
      <c r="X42" s="20">
        <f>$B$4*$B$5*X41</f>
        <v>46.4285</v>
      </c>
    </row>
    <row r="44" spans="3:26" ht="18" x14ac:dyDescent="0.35">
      <c r="C44" s="91" t="s">
        <v>48</v>
      </c>
      <c r="D44" s="91"/>
      <c r="E44" s="91"/>
      <c r="F44" s="91"/>
      <c r="H44" s="91" t="s">
        <v>49</v>
      </c>
      <c r="I44" s="91"/>
      <c r="J44" s="91"/>
      <c r="K44" s="91"/>
      <c r="M44" s="91" t="s">
        <v>50</v>
      </c>
      <c r="N44" s="91"/>
      <c r="O44" s="91"/>
      <c r="P44" s="91"/>
      <c r="R44" s="91" t="s">
        <v>51</v>
      </c>
      <c r="S44" s="91"/>
      <c r="T44" s="91"/>
      <c r="U44" s="91"/>
      <c r="W44" s="91" t="s">
        <v>60</v>
      </c>
      <c r="X44" s="91"/>
      <c r="Y44" s="91"/>
      <c r="Z44" s="91"/>
    </row>
    <row r="45" spans="3:26" x14ac:dyDescent="0.25">
      <c r="C45" t="s">
        <v>21</v>
      </c>
      <c r="D45">
        <v>1.7646999999999999</v>
      </c>
      <c r="E45" t="s">
        <v>26</v>
      </c>
      <c r="H45" t="s">
        <v>21</v>
      </c>
      <c r="I45">
        <v>1.1764705799999999</v>
      </c>
      <c r="J45" t="s">
        <v>26</v>
      </c>
      <c r="M45" t="s">
        <v>21</v>
      </c>
      <c r="N45">
        <v>0.58823499999999995</v>
      </c>
      <c r="O45" t="s">
        <v>26</v>
      </c>
      <c r="R45" t="s">
        <v>21</v>
      </c>
      <c r="S45">
        <v>0</v>
      </c>
      <c r="T45" t="s">
        <v>26</v>
      </c>
      <c r="W45" t="s">
        <v>21</v>
      </c>
      <c r="X45">
        <v>0</v>
      </c>
      <c r="Y45" t="s">
        <v>26</v>
      </c>
    </row>
    <row r="46" spans="3:26" x14ac:dyDescent="0.25">
      <c r="C46" t="s">
        <v>22</v>
      </c>
      <c r="D46">
        <v>0</v>
      </c>
      <c r="E46" t="s">
        <v>26</v>
      </c>
      <c r="H46" t="s">
        <v>22</v>
      </c>
      <c r="I46">
        <v>0</v>
      </c>
      <c r="J46" t="s">
        <v>26</v>
      </c>
      <c r="M46" t="s">
        <v>22</v>
      </c>
      <c r="N46">
        <v>0</v>
      </c>
      <c r="O46" t="s">
        <v>26</v>
      </c>
      <c r="R46" t="s">
        <v>22</v>
      </c>
      <c r="S46">
        <v>0</v>
      </c>
      <c r="T46" t="s">
        <v>26</v>
      </c>
      <c r="W46" t="s">
        <v>22</v>
      </c>
      <c r="X46">
        <v>0.42499999999999999</v>
      </c>
      <c r="Y46" t="s">
        <v>26</v>
      </c>
    </row>
    <row r="47" spans="3:26" x14ac:dyDescent="0.25">
      <c r="C47" t="s">
        <v>47</v>
      </c>
      <c r="D47">
        <f>D46-D45</f>
        <v>-1.7646999999999999</v>
      </c>
      <c r="H47" t="s">
        <v>47</v>
      </c>
      <c r="I47">
        <f>I46-I45</f>
        <v>-1.1764705799999999</v>
      </c>
      <c r="M47" t="s">
        <v>47</v>
      </c>
      <c r="N47">
        <f>N46-N45</f>
        <v>-0.58823499999999995</v>
      </c>
      <c r="R47" t="s">
        <v>47</v>
      </c>
      <c r="S47">
        <f>S46-S45</f>
        <v>0</v>
      </c>
      <c r="W47" t="s">
        <v>47</v>
      </c>
      <c r="X47">
        <f>X46-X45</f>
        <v>0.42499999999999999</v>
      </c>
    </row>
    <row r="48" spans="3:26" x14ac:dyDescent="0.25">
      <c r="C48" t="s">
        <v>23</v>
      </c>
      <c r="D48">
        <f>$D$15</f>
        <v>207.49</v>
      </c>
      <c r="E48" t="s">
        <v>27</v>
      </c>
      <c r="H48" t="s">
        <v>23</v>
      </c>
      <c r="I48">
        <f>$D$15</f>
        <v>207.49</v>
      </c>
      <c r="J48" t="s">
        <v>27</v>
      </c>
      <c r="M48" t="s">
        <v>23</v>
      </c>
      <c r="N48">
        <f>$D$15</f>
        <v>207.49</v>
      </c>
      <c r="O48" t="s">
        <v>27</v>
      </c>
      <c r="R48" t="s">
        <v>23</v>
      </c>
      <c r="S48">
        <f>$D$15</f>
        <v>207.49</v>
      </c>
      <c r="T48" t="s">
        <v>27</v>
      </c>
      <c r="W48" t="s">
        <v>23</v>
      </c>
      <c r="X48">
        <f>$D$15</f>
        <v>207.49</v>
      </c>
      <c r="Y48" t="s">
        <v>27</v>
      </c>
    </row>
    <row r="49" spans="3:26" s="8" customFormat="1" x14ac:dyDescent="0.25">
      <c r="C49" s="8" t="s">
        <v>59</v>
      </c>
      <c r="D49" s="8">
        <f>D48*D47*$B$3</f>
        <v>-183.0788015</v>
      </c>
      <c r="H49" s="8" t="s">
        <v>59</v>
      </c>
      <c r="I49" s="8">
        <f>I48*I47*$B$3</f>
        <v>-122.0529403221</v>
      </c>
      <c r="M49" s="8" t="s">
        <v>59</v>
      </c>
      <c r="N49" s="8">
        <f>N48*N47*$B$3</f>
        <v>-61.026440074999996</v>
      </c>
      <c r="R49" s="8" t="s">
        <v>59</v>
      </c>
      <c r="S49" s="8">
        <f>S48*S47*$B$3</f>
        <v>0</v>
      </c>
      <c r="W49" s="8" t="s">
        <v>59</v>
      </c>
      <c r="X49" s="8">
        <f>X48*X47*$B$3</f>
        <v>44.091625000000001</v>
      </c>
    </row>
    <row r="50" spans="3:26" x14ac:dyDescent="0.25">
      <c r="C50" t="s">
        <v>38</v>
      </c>
      <c r="D50">
        <v>0.25</v>
      </c>
      <c r="E50" t="s">
        <v>40</v>
      </c>
      <c r="H50" t="s">
        <v>38</v>
      </c>
      <c r="I50">
        <v>0.25</v>
      </c>
      <c r="J50" t="s">
        <v>40</v>
      </c>
      <c r="M50" t="s">
        <v>38</v>
      </c>
      <c r="N50">
        <v>0.25</v>
      </c>
      <c r="O50" t="s">
        <v>40</v>
      </c>
      <c r="R50" t="s">
        <v>38</v>
      </c>
      <c r="S50">
        <v>0.25</v>
      </c>
      <c r="T50" t="s">
        <v>40</v>
      </c>
      <c r="W50" t="s">
        <v>38</v>
      </c>
      <c r="X50">
        <v>0.25</v>
      </c>
      <c r="Y50" t="s">
        <v>40</v>
      </c>
    </row>
    <row r="51" spans="3:26" x14ac:dyDescent="0.25">
      <c r="C51" t="s">
        <v>39</v>
      </c>
      <c r="D51">
        <f>D50+(D45*$B$1-D46/$B$2)*$B$3</f>
        <v>0.99999749999999998</v>
      </c>
      <c r="E51" t="s">
        <v>40</v>
      </c>
      <c r="H51" t="s">
        <v>39</v>
      </c>
      <c r="I51" s="19">
        <f>I50+(I45*$B$1-I46/$B$2)*$B$3</f>
        <v>0.74999999649999993</v>
      </c>
      <c r="J51" t="s">
        <v>40</v>
      </c>
      <c r="M51" t="s">
        <v>39</v>
      </c>
      <c r="N51">
        <f>N50+(N45*$B$1-N46/$B$2)*$B$3</f>
        <v>0.49999987499999998</v>
      </c>
      <c r="O51" t="s">
        <v>40</v>
      </c>
      <c r="R51" t="s">
        <v>39</v>
      </c>
      <c r="S51">
        <f>S50+(S45*$B$1-S46/$B$2)*$B$3</f>
        <v>0.25</v>
      </c>
      <c r="T51" t="s">
        <v>40</v>
      </c>
      <c r="W51" t="s">
        <v>39</v>
      </c>
      <c r="X51">
        <f>X50+(X45*$B$1-X46/$B$2)*$B$3</f>
        <v>0</v>
      </c>
      <c r="Y51" t="s">
        <v>40</v>
      </c>
    </row>
    <row r="52" spans="3:26" x14ac:dyDescent="0.25">
      <c r="C52" t="s">
        <v>24</v>
      </c>
      <c r="H52" t="s">
        <v>24</v>
      </c>
      <c r="M52" t="s">
        <v>24</v>
      </c>
      <c r="R52" t="s">
        <v>24</v>
      </c>
      <c r="W52" t="s">
        <v>24</v>
      </c>
    </row>
    <row r="53" spans="3:26" s="8" customFormat="1" x14ac:dyDescent="0.25">
      <c r="C53" s="8" t="s">
        <v>41</v>
      </c>
      <c r="D53" s="8">
        <f>$B$4*$B$5*D52</f>
        <v>0</v>
      </c>
      <c r="H53" s="8" t="s">
        <v>41</v>
      </c>
      <c r="I53" s="8">
        <f>$B$4*$B$5*I52</f>
        <v>0</v>
      </c>
      <c r="M53" s="8" t="s">
        <v>41</v>
      </c>
      <c r="N53" s="8">
        <f>$B$4*$B$5*N52</f>
        <v>0</v>
      </c>
      <c r="R53" s="8" t="s">
        <v>41</v>
      </c>
      <c r="S53" s="8">
        <f>$B$4*$B$5*S52</f>
        <v>0</v>
      </c>
      <c r="W53" s="8" t="s">
        <v>41</v>
      </c>
      <c r="X53" s="8">
        <f>$B$4*$B$5*X52</f>
        <v>0</v>
      </c>
    </row>
    <row r="55" spans="3:26" ht="18" x14ac:dyDescent="0.35">
      <c r="C55" s="92" t="s">
        <v>53</v>
      </c>
      <c r="D55" s="92"/>
      <c r="E55" s="92"/>
      <c r="F55" s="92"/>
      <c r="H55" s="92" t="s">
        <v>55</v>
      </c>
      <c r="I55" s="92"/>
      <c r="J55" s="92"/>
      <c r="K55" s="92"/>
      <c r="M55" s="92" t="s">
        <v>56</v>
      </c>
      <c r="N55" s="92"/>
      <c r="O55" s="92"/>
      <c r="P55" s="92"/>
      <c r="R55" s="93" t="s">
        <v>57</v>
      </c>
      <c r="S55" s="93"/>
      <c r="T55" s="93"/>
      <c r="U55" s="93"/>
      <c r="W55" s="93" t="s">
        <v>58</v>
      </c>
      <c r="X55" s="93"/>
      <c r="Y55" s="93"/>
      <c r="Z55" s="93"/>
    </row>
    <row r="56" spans="3:26" x14ac:dyDescent="0.25">
      <c r="C56" t="s">
        <v>21</v>
      </c>
      <c r="D56">
        <v>2.3529411759999999</v>
      </c>
      <c r="E56" t="s">
        <v>26</v>
      </c>
      <c r="H56" t="s">
        <v>21</v>
      </c>
      <c r="I56">
        <v>1.7647058</v>
      </c>
      <c r="J56" t="s">
        <v>26</v>
      </c>
      <c r="M56" t="s">
        <v>21</v>
      </c>
      <c r="N56">
        <v>1.1764705879999999</v>
      </c>
      <c r="O56" t="s">
        <v>26</v>
      </c>
      <c r="R56" t="s">
        <v>21</v>
      </c>
      <c r="S56">
        <v>0.58823499999999995</v>
      </c>
      <c r="T56" t="s">
        <v>26</v>
      </c>
      <c r="W56" t="s">
        <v>21</v>
      </c>
      <c r="X56">
        <v>0</v>
      </c>
      <c r="Y56" t="s">
        <v>26</v>
      </c>
    </row>
    <row r="57" spans="3:26" x14ac:dyDescent="0.25">
      <c r="C57" t="s">
        <v>22</v>
      </c>
      <c r="D57">
        <v>0</v>
      </c>
      <c r="E57" t="s">
        <v>26</v>
      </c>
      <c r="H57" t="s">
        <v>22</v>
      </c>
      <c r="I57">
        <v>0</v>
      </c>
      <c r="J57" t="s">
        <v>26</v>
      </c>
      <c r="M57" t="s">
        <v>22</v>
      </c>
      <c r="N57">
        <v>0</v>
      </c>
      <c r="O57" t="s">
        <v>26</v>
      </c>
      <c r="R57" t="s">
        <v>22</v>
      </c>
      <c r="S57">
        <v>0</v>
      </c>
      <c r="T57" t="s">
        <v>26</v>
      </c>
      <c r="W57" t="s">
        <v>22</v>
      </c>
      <c r="X57">
        <v>0</v>
      </c>
      <c r="Y57" t="s">
        <v>26</v>
      </c>
    </row>
    <row r="58" spans="3:26" x14ac:dyDescent="0.25">
      <c r="C58" t="s">
        <v>47</v>
      </c>
      <c r="D58">
        <f>D57-D56</f>
        <v>-2.3529411759999999</v>
      </c>
      <c r="H58" t="s">
        <v>47</v>
      </c>
      <c r="I58">
        <f>I57-I56</f>
        <v>-1.7647058</v>
      </c>
      <c r="M58" t="s">
        <v>47</v>
      </c>
      <c r="N58">
        <f>N57-N56</f>
        <v>-1.1764705879999999</v>
      </c>
      <c r="R58" t="s">
        <v>47</v>
      </c>
      <c r="S58">
        <f>S57-S56</f>
        <v>-0.58823499999999995</v>
      </c>
      <c r="W58" t="s">
        <v>47</v>
      </c>
      <c r="X58">
        <f>X57-X56</f>
        <v>0</v>
      </c>
    </row>
    <row r="59" spans="3:26" x14ac:dyDescent="0.25">
      <c r="C59" t="s">
        <v>23</v>
      </c>
      <c r="D59">
        <f>$D$15</f>
        <v>207.49</v>
      </c>
      <c r="E59" t="s">
        <v>27</v>
      </c>
      <c r="H59" t="s">
        <v>23</v>
      </c>
      <c r="I59">
        <f>$D$15</f>
        <v>207.49</v>
      </c>
      <c r="J59" t="s">
        <v>27</v>
      </c>
      <c r="M59" t="s">
        <v>23</v>
      </c>
      <c r="N59">
        <f>$D$15</f>
        <v>207.49</v>
      </c>
      <c r="O59" t="s">
        <v>27</v>
      </c>
      <c r="R59" t="s">
        <v>23</v>
      </c>
      <c r="S59">
        <f>$D$15</f>
        <v>207.49</v>
      </c>
      <c r="T59" t="s">
        <v>27</v>
      </c>
      <c r="W59" t="s">
        <v>23</v>
      </c>
      <c r="X59">
        <f>$D$15</f>
        <v>207.49</v>
      </c>
      <c r="Y59" t="s">
        <v>27</v>
      </c>
    </row>
    <row r="60" spans="3:26" s="8" customFormat="1" x14ac:dyDescent="0.25">
      <c r="C60" s="8" t="s">
        <v>59</v>
      </c>
      <c r="D60" s="8">
        <f>D59*D58*$B$3</f>
        <v>-244.10588230412</v>
      </c>
      <c r="H60" s="8" t="s">
        <v>59</v>
      </c>
      <c r="I60" s="8">
        <f>I59*I58*$B$3</f>
        <v>-183.07940322100001</v>
      </c>
      <c r="M60" s="8" t="s">
        <v>59</v>
      </c>
      <c r="N60" s="8">
        <f>N59*N58*$B$3</f>
        <v>-122.05294115206</v>
      </c>
      <c r="R60" s="8" t="s">
        <v>59</v>
      </c>
      <c r="S60" s="8">
        <f>S59*S58*$B$3</f>
        <v>-61.026440074999996</v>
      </c>
      <c r="W60" s="8" t="s">
        <v>59</v>
      </c>
      <c r="X60" s="8">
        <f>X59*X58*$B$3</f>
        <v>0</v>
      </c>
    </row>
    <row r="61" spans="3:26" x14ac:dyDescent="0.25">
      <c r="C61" t="s">
        <v>38</v>
      </c>
      <c r="D61">
        <v>0</v>
      </c>
      <c r="E61" t="s">
        <v>40</v>
      </c>
      <c r="H61" t="s">
        <v>38</v>
      </c>
      <c r="I61">
        <v>0</v>
      </c>
      <c r="J61" t="s">
        <v>40</v>
      </c>
      <c r="M61" t="s">
        <v>38</v>
      </c>
      <c r="N61">
        <v>0</v>
      </c>
      <c r="O61" t="s">
        <v>40</v>
      </c>
      <c r="R61" t="s">
        <v>38</v>
      </c>
      <c r="S61">
        <v>0</v>
      </c>
      <c r="T61" t="s">
        <v>40</v>
      </c>
      <c r="W61" t="s">
        <v>38</v>
      </c>
      <c r="X61">
        <v>0</v>
      </c>
      <c r="Y61" t="s">
        <v>40</v>
      </c>
    </row>
    <row r="62" spans="3:26" x14ac:dyDescent="0.25">
      <c r="C62" t="s">
        <v>39</v>
      </c>
      <c r="D62" s="6">
        <f>D61+(D56*$B$1-D57/$B$2)*$B$3</f>
        <v>0.99999999979999987</v>
      </c>
      <c r="E62" t="s">
        <v>40</v>
      </c>
      <c r="H62" t="s">
        <v>39</v>
      </c>
      <c r="I62">
        <f>I61+(I56*$B$1-I57/$B$2)*$B$3</f>
        <v>0.74999996499999999</v>
      </c>
      <c r="J62" t="s">
        <v>40</v>
      </c>
      <c r="M62" t="s">
        <v>39</v>
      </c>
      <c r="N62" s="19">
        <f>N61+(N56*$B$1-N57/$B$2)*$B$3</f>
        <v>0.49999999989999994</v>
      </c>
      <c r="O62" t="s">
        <v>40</v>
      </c>
      <c r="R62" t="s">
        <v>39</v>
      </c>
      <c r="S62">
        <f>S61+(S56*$B$1-S57/$B$2)*$B$3</f>
        <v>0.24999987499999998</v>
      </c>
      <c r="T62" t="s">
        <v>40</v>
      </c>
      <c r="W62" t="s">
        <v>39</v>
      </c>
      <c r="X62">
        <f>X61+(X56*$B$1-X57/$B$2)*$B$3</f>
        <v>0</v>
      </c>
      <c r="Y62" t="s">
        <v>40</v>
      </c>
    </row>
    <row r="63" spans="3:26" x14ac:dyDescent="0.25">
      <c r="C63" t="s">
        <v>24</v>
      </c>
      <c r="D63">
        <v>2.8538095000000001E-4</v>
      </c>
      <c r="H63" t="s">
        <v>24</v>
      </c>
      <c r="I63">
        <v>2.6298701000000002E-4</v>
      </c>
      <c r="M63" t="s">
        <v>24</v>
      </c>
      <c r="N63">
        <v>1.8571399999999999E-4</v>
      </c>
      <c r="R63" t="s">
        <v>24</v>
      </c>
      <c r="S63">
        <v>1.0005290000000001E-4</v>
      </c>
      <c r="W63" t="s">
        <v>24</v>
      </c>
      <c r="X63">
        <v>0</v>
      </c>
    </row>
    <row r="64" spans="3:26" s="8" customFormat="1" x14ac:dyDescent="0.25">
      <c r="C64" s="8" t="s">
        <v>41</v>
      </c>
      <c r="D64" s="8">
        <f>$B$4*$B$5*D63</f>
        <v>71.345237499999996</v>
      </c>
      <c r="H64" s="8" t="s">
        <v>41</v>
      </c>
      <c r="I64" s="8">
        <f>$B$4*$B$5*I63</f>
        <v>65.746752499999999</v>
      </c>
      <c r="M64" s="8" t="s">
        <v>41</v>
      </c>
      <c r="N64" s="8">
        <f>$B$4*$B$5*N63</f>
        <v>46.4285</v>
      </c>
      <c r="R64" s="8" t="s">
        <v>41</v>
      </c>
      <c r="S64" s="8">
        <f>$B$4*$B$5*S63</f>
        <v>25.013225000000002</v>
      </c>
      <c r="W64" s="8" t="s">
        <v>41</v>
      </c>
      <c r="X64" s="8">
        <f>$B$4*$B$5*X63</f>
        <v>0</v>
      </c>
    </row>
  </sheetData>
  <mergeCells count="25">
    <mergeCell ref="C55:F55"/>
    <mergeCell ref="H55:K55"/>
    <mergeCell ref="M55:P55"/>
    <mergeCell ref="R55:U55"/>
    <mergeCell ref="W55:Z55"/>
    <mergeCell ref="C33:F33"/>
    <mergeCell ref="H33:K33"/>
    <mergeCell ref="M33:P33"/>
    <mergeCell ref="R33:U33"/>
    <mergeCell ref="W33:Z33"/>
    <mergeCell ref="C44:F44"/>
    <mergeCell ref="H44:K44"/>
    <mergeCell ref="M44:P44"/>
    <mergeCell ref="R44:U44"/>
    <mergeCell ref="W44:Z44"/>
    <mergeCell ref="C11:F11"/>
    <mergeCell ref="H11:K11"/>
    <mergeCell ref="M11:P11"/>
    <mergeCell ref="R11:U11"/>
    <mergeCell ref="W11:Z11"/>
    <mergeCell ref="C22:F22"/>
    <mergeCell ref="H22:K22"/>
    <mergeCell ref="M22:P22"/>
    <mergeCell ref="R22:U22"/>
    <mergeCell ref="W22:Z22"/>
  </mergeCells>
  <conditionalFormatting sqref="E4:I4">
    <cfRule type="top10" dxfId="4" priority="5" rank="1"/>
  </conditionalFormatting>
  <conditionalFormatting sqref="E5:I5">
    <cfRule type="top10" dxfId="3" priority="4" rank="1"/>
  </conditionalFormatting>
  <conditionalFormatting sqref="E6:I6">
    <cfRule type="top10" dxfId="2" priority="3" rank="1"/>
  </conditionalFormatting>
  <conditionalFormatting sqref="E7:I7">
    <cfRule type="top10" dxfId="1" priority="2" rank="1"/>
  </conditionalFormatting>
  <conditionalFormatting sqref="E8:I8">
    <cfRule type="top10" dxfId="0" priority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Cycles from graphs</vt:lpstr>
      <vt:lpstr>Cycles from paper</vt:lpstr>
      <vt:lpstr>Calculated Ncycles</vt:lpstr>
      <vt:lpstr>Results</vt:lpstr>
      <vt:lpstr>Stage 336</vt:lpstr>
      <vt:lpstr>Stage 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2023-01-16T08:40:13Z</dcterms:created>
  <dcterms:modified xsi:type="dcterms:W3CDTF">2023-03-06T18:10:14Z</dcterms:modified>
</cp:coreProperties>
</file>