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A\Desktop\"/>
    </mc:Choice>
  </mc:AlternateContent>
  <xr:revisionPtr revIDLastSave="0" documentId="13_ncr:1_{01DE1D8D-3D3E-43CE-8B84-848D8367A0E8}" xr6:coauthVersionLast="47" xr6:coauthVersionMax="47" xr10:uidLastSave="{00000000-0000-0000-0000-000000000000}"/>
  <bookViews>
    <workbookView xWindow="-108" yWindow="-108" windowWidth="23256" windowHeight="12456" activeTab="1" xr2:uid="{8DCEB1EE-C955-44D2-B1B8-20C1EA344C36}"/>
  </bookViews>
  <sheets>
    <sheet name="Sheet1" sheetId="1" r:id="rId1"/>
    <sheet name="Sheet2" sheetId="2" r:id="rId2"/>
    <sheet name="Sheet3" sheetId="3" r:id="rId3"/>
    <sheet name="Sheet4" sheetId="4" r:id="rId4"/>
    <sheet name="Sheet11" sheetId="11" r:id="rId5"/>
    <sheet name="Sheet12" sheetId="12" r:id="rId6"/>
    <sheet name="Sheet13" sheetId="13" r:id="rId7"/>
    <sheet name="Sheet5" sheetId="5" r:id="rId8"/>
    <sheet name="Sheet7" sheetId="7" r:id="rId9"/>
    <sheet name="Sheet8" sheetId="8" r:id="rId10"/>
    <sheet name="Sheet6" sheetId="6" r:id="rId11"/>
    <sheet name="Sheet10" sheetId="10" r:id="rId12"/>
    <sheet name="Sheet9" sheetId="9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H4" i="1"/>
  <c r="G9" i="1" s="1"/>
  <c r="J14" i="1"/>
  <c r="J13" i="1"/>
  <c r="G15" i="1"/>
  <c r="G10" i="1"/>
  <c r="H6" i="1"/>
  <c r="I9" i="12"/>
  <c r="H9" i="12"/>
  <c r="B15" i="12"/>
  <c r="B14" i="12"/>
  <c r="C9" i="12"/>
  <c r="B13" i="12"/>
  <c r="B12" i="12"/>
  <c r="D9" i="12"/>
  <c r="B9" i="12"/>
  <c r="C11" i="12"/>
  <c r="A9" i="12"/>
  <c r="D4" i="12"/>
  <c r="D5" i="12"/>
  <c r="D6" i="12"/>
  <c r="D7" i="12"/>
  <c r="D8" i="12"/>
  <c r="D3" i="12"/>
  <c r="C4" i="12"/>
  <c r="C5" i="12"/>
  <c r="C6" i="12"/>
  <c r="C7" i="12"/>
  <c r="C8" i="12"/>
  <c r="C3" i="12"/>
  <c r="D25" i="11"/>
  <c r="D27" i="11"/>
  <c r="D26" i="11"/>
  <c r="B22" i="11"/>
  <c r="B21" i="11"/>
  <c r="D11" i="11"/>
  <c r="D12" i="11"/>
  <c r="D10" i="11"/>
  <c r="B15" i="10"/>
  <c r="B14" i="10"/>
  <c r="B13" i="10"/>
  <c r="B8" i="10"/>
  <c r="B6" i="10"/>
  <c r="B5" i="10"/>
  <c r="G42" i="5"/>
  <c r="F38" i="5"/>
  <c r="F39" i="5"/>
  <c r="F37" i="5"/>
  <c r="J37" i="5"/>
  <c r="F34" i="5"/>
  <c r="F27" i="5"/>
  <c r="F28" i="5"/>
  <c r="F29" i="5"/>
  <c r="F30" i="5"/>
  <c r="F31" i="5"/>
  <c r="F32" i="5"/>
  <c r="F33" i="5"/>
  <c r="F26" i="5"/>
  <c r="E27" i="5"/>
  <c r="E28" i="5"/>
  <c r="E29" i="5"/>
  <c r="E30" i="5"/>
  <c r="E31" i="5"/>
  <c r="E32" i="5"/>
  <c r="E33" i="5"/>
  <c r="E26" i="5"/>
  <c r="I6" i="5"/>
  <c r="M3" i="5"/>
  <c r="F13" i="5"/>
  <c r="F4" i="5"/>
  <c r="F5" i="5"/>
  <c r="F6" i="5"/>
  <c r="F7" i="5"/>
  <c r="F8" i="5"/>
  <c r="F9" i="5"/>
  <c r="F10" i="5"/>
  <c r="F11" i="5"/>
  <c r="F12" i="5"/>
  <c r="F3" i="5"/>
  <c r="E4" i="5"/>
  <c r="E5" i="5"/>
  <c r="E6" i="5"/>
  <c r="E7" i="5"/>
  <c r="E8" i="5"/>
  <c r="E9" i="5"/>
  <c r="E10" i="5"/>
  <c r="E11" i="5"/>
  <c r="E12" i="5"/>
  <c r="E3" i="5"/>
  <c r="N4" i="9"/>
  <c r="M5" i="9"/>
  <c r="M6" i="9"/>
  <c r="M7" i="9"/>
  <c r="M8" i="9"/>
  <c r="M9" i="9"/>
  <c r="M10" i="9"/>
  <c r="M11" i="9"/>
  <c r="M12" i="9"/>
  <c r="N12" i="9" s="1"/>
  <c r="O12" i="9" s="1"/>
  <c r="M4" i="9"/>
  <c r="C9" i="9"/>
  <c r="N5" i="9"/>
  <c r="O5" i="9" s="1"/>
  <c r="N6" i="9"/>
  <c r="O6" i="9" s="1"/>
  <c r="N7" i="9"/>
  <c r="O7" i="9" s="1"/>
  <c r="N8" i="9"/>
  <c r="O8" i="9" s="1"/>
  <c r="N9" i="9"/>
  <c r="O9" i="9" s="1"/>
  <c r="N10" i="9"/>
  <c r="O10" i="9" s="1"/>
  <c r="N11" i="9"/>
  <c r="O11" i="9" s="1"/>
  <c r="O4" i="9"/>
  <c r="D21" i="9"/>
  <c r="D22" i="9"/>
  <c r="D23" i="9"/>
  <c r="D24" i="9"/>
  <c r="D25" i="9"/>
  <c r="D26" i="9"/>
  <c r="D27" i="9"/>
  <c r="D28" i="9"/>
  <c r="D20" i="9"/>
  <c r="C5" i="9"/>
  <c r="D5" i="9" s="1"/>
  <c r="E5" i="9" s="1"/>
  <c r="E6" i="9"/>
  <c r="E7" i="9"/>
  <c r="E8" i="9"/>
  <c r="E9" i="9"/>
  <c r="E13" i="9" s="1"/>
  <c r="E10" i="9"/>
  <c r="E11" i="9"/>
  <c r="E12" i="9"/>
  <c r="E4" i="9"/>
  <c r="D7" i="9"/>
  <c r="D8" i="9"/>
  <c r="D9" i="9"/>
  <c r="D10" i="9"/>
  <c r="D11" i="9"/>
  <c r="D12" i="9"/>
  <c r="D6" i="9"/>
  <c r="D4" i="9"/>
  <c r="C12" i="9"/>
  <c r="C11" i="9"/>
  <c r="C10" i="9"/>
  <c r="C8" i="9"/>
  <c r="C7" i="9"/>
  <c r="C6" i="9"/>
  <c r="C4" i="9"/>
  <c r="B17" i="9"/>
  <c r="B16" i="9"/>
  <c r="B15" i="9"/>
  <c r="G14" i="9"/>
  <c r="B13" i="9"/>
  <c r="G13" i="9"/>
  <c r="G5" i="9"/>
  <c r="G6" i="9"/>
  <c r="G7" i="9"/>
  <c r="G8" i="9"/>
  <c r="G9" i="9"/>
  <c r="G10" i="9"/>
  <c r="G11" i="9"/>
  <c r="G12" i="9"/>
  <c r="G4" i="9"/>
  <c r="B23" i="8"/>
  <c r="B22" i="8"/>
  <c r="B21" i="8"/>
  <c r="B20" i="8"/>
  <c r="C8" i="8"/>
  <c r="C7" i="8"/>
  <c r="C6" i="8"/>
  <c r="B41" i="7"/>
  <c r="B42" i="7"/>
  <c r="B40" i="7"/>
  <c r="D29" i="7"/>
  <c r="B39" i="7"/>
  <c r="C29" i="7"/>
  <c r="B29" i="7"/>
  <c r="D28" i="7"/>
  <c r="D27" i="7"/>
  <c r="G16" i="7"/>
  <c r="G14" i="7"/>
  <c r="C15" i="7"/>
  <c r="C16" i="7"/>
  <c r="C17" i="7"/>
  <c r="C18" i="7"/>
  <c r="C19" i="7"/>
  <c r="C20" i="7"/>
  <c r="C14" i="7"/>
  <c r="I10" i="7"/>
  <c r="C5" i="7"/>
  <c r="C4" i="7"/>
  <c r="C3" i="7"/>
  <c r="I8" i="6"/>
  <c r="K6" i="6"/>
  <c r="J7" i="6"/>
  <c r="I7" i="6"/>
  <c r="I6" i="6"/>
  <c r="D4" i="6"/>
  <c r="D5" i="6"/>
  <c r="D6" i="6"/>
  <c r="D7" i="6"/>
  <c r="D8" i="6"/>
  <c r="D9" i="6"/>
  <c r="D3" i="6"/>
  <c r="C4" i="6"/>
  <c r="C5" i="6"/>
  <c r="C6" i="6"/>
  <c r="C7" i="6"/>
  <c r="C8" i="6"/>
  <c r="C9" i="6"/>
  <c r="C3" i="6"/>
  <c r="L9" i="4"/>
  <c r="L8" i="4"/>
  <c r="L7" i="4"/>
  <c r="L6" i="4"/>
  <c r="L4" i="4"/>
  <c r="L5" i="4"/>
  <c r="I10" i="4"/>
  <c r="I9" i="4"/>
  <c r="I8" i="4"/>
  <c r="I7" i="4"/>
  <c r="I6" i="4"/>
  <c r="I5" i="4"/>
  <c r="I4" i="4"/>
  <c r="E12" i="4"/>
  <c r="D12" i="4"/>
  <c r="C12" i="4"/>
  <c r="B12" i="4"/>
  <c r="A12" i="4"/>
  <c r="E4" i="4"/>
  <c r="E5" i="4"/>
  <c r="E6" i="4"/>
  <c r="E7" i="4"/>
  <c r="E8" i="4"/>
  <c r="E9" i="4"/>
  <c r="E10" i="4"/>
  <c r="E11" i="4"/>
  <c r="E3" i="4"/>
  <c r="D4" i="4"/>
  <c r="D5" i="4"/>
  <c r="D6" i="4"/>
  <c r="D7" i="4"/>
  <c r="D8" i="4"/>
  <c r="D9" i="4"/>
  <c r="D10" i="4"/>
  <c r="D11" i="4"/>
  <c r="D3" i="4"/>
  <c r="C4" i="4"/>
  <c r="C5" i="4"/>
  <c r="C6" i="4"/>
  <c r="C7" i="4"/>
  <c r="C8" i="4"/>
  <c r="C9" i="4"/>
  <c r="C10" i="4"/>
  <c r="C11" i="4"/>
  <c r="C3" i="4"/>
  <c r="L17" i="3"/>
  <c r="L9" i="3"/>
  <c r="Q12" i="3"/>
  <c r="Q11" i="3"/>
  <c r="Q10" i="3"/>
  <c r="Q9" i="3"/>
  <c r="Q8" i="3"/>
  <c r="Q7" i="3"/>
  <c r="L14" i="3"/>
  <c r="L13" i="3"/>
  <c r="N8" i="3"/>
  <c r="M8" i="3"/>
  <c r="L8" i="3"/>
  <c r="D14" i="3"/>
  <c r="E14" i="3"/>
  <c r="H14" i="3"/>
  <c r="G14" i="3"/>
  <c r="H9" i="3"/>
  <c r="H10" i="3"/>
  <c r="H11" i="3"/>
  <c r="H12" i="3"/>
  <c r="H13" i="3"/>
  <c r="H8" i="3"/>
  <c r="G9" i="3"/>
  <c r="G10" i="3"/>
  <c r="G11" i="3"/>
  <c r="G12" i="3"/>
  <c r="G13" i="3"/>
  <c r="G8" i="3"/>
  <c r="F14" i="3"/>
  <c r="F10" i="3"/>
  <c r="F11" i="3" s="1"/>
  <c r="F12" i="3" s="1"/>
  <c r="F13" i="3" s="1"/>
  <c r="F9" i="3"/>
  <c r="F8" i="3"/>
  <c r="E9" i="3"/>
  <c r="E10" i="3"/>
  <c r="E11" i="3"/>
  <c r="E12" i="3"/>
  <c r="E13" i="3"/>
  <c r="E8" i="3"/>
  <c r="C9" i="3"/>
  <c r="C10" i="3"/>
  <c r="C11" i="3"/>
  <c r="C12" i="3"/>
  <c r="C13" i="3"/>
  <c r="C8" i="3"/>
  <c r="I5" i="2"/>
  <c r="I6" i="2"/>
  <c r="I7" i="2"/>
  <c r="I3" i="2"/>
  <c r="D7" i="2"/>
  <c r="D6" i="2"/>
  <c r="D5" i="2"/>
  <c r="D4" i="2"/>
  <c r="D3" i="2"/>
  <c r="G14" i="1"/>
  <c r="G13" i="1"/>
  <c r="D11" i="1"/>
  <c r="D10" i="1"/>
  <c r="D9" i="1"/>
  <c r="D8" i="1"/>
  <c r="D7" i="1"/>
  <c r="D6" i="1"/>
  <c r="D5" i="1"/>
  <c r="D4" i="1"/>
  <c r="L7" i="3" l="1"/>
</calcChain>
</file>

<file path=xl/sharedStrings.xml><?xml version="1.0" encoding="utf-8"?>
<sst xmlns="http://schemas.openxmlformats.org/spreadsheetml/2006/main" count="296" uniqueCount="224">
  <si>
    <t>Following are the marks obtained by 13 students in business statistics.</t>
  </si>
  <si>
    <t xml:space="preserve">Marks </t>
  </si>
  <si>
    <t>formula</t>
  </si>
  <si>
    <t>n</t>
  </si>
  <si>
    <t>Σx</t>
  </si>
  <si>
    <t xml:space="preserve">mean </t>
  </si>
  <si>
    <t>median</t>
  </si>
  <si>
    <t>mode</t>
  </si>
  <si>
    <t>25th per</t>
  </si>
  <si>
    <t>Q1</t>
  </si>
  <si>
    <t>Q3</t>
  </si>
  <si>
    <t xml:space="preserve">standard deviation </t>
  </si>
  <si>
    <t>cv</t>
  </si>
  <si>
    <t>karls pearson skewness</t>
  </si>
  <si>
    <t>sk(p)</t>
  </si>
  <si>
    <t>s(b)</t>
  </si>
  <si>
    <t>p90</t>
  </si>
  <si>
    <t>p10</t>
  </si>
  <si>
    <t>kurtosis</t>
  </si>
  <si>
    <t>box and whishker plot</t>
  </si>
  <si>
    <t>x</t>
  </si>
  <si>
    <t>xmin</t>
  </si>
  <si>
    <t>xmax</t>
  </si>
  <si>
    <t>md</t>
  </si>
  <si>
    <t>Q2</t>
  </si>
  <si>
    <t>difference</t>
  </si>
  <si>
    <t xml:space="preserve">compute mean ,median and modde using the following data </t>
  </si>
  <si>
    <t xml:space="preserve">milage </t>
  </si>
  <si>
    <t>400-419</t>
  </si>
  <si>
    <t>420-439</t>
  </si>
  <si>
    <t>440-459</t>
  </si>
  <si>
    <t>460-479</t>
  </si>
  <si>
    <t>480-499</t>
  </si>
  <si>
    <t>500-519</t>
  </si>
  <si>
    <t>frequency</t>
  </si>
  <si>
    <t xml:space="preserve">the given class interval is inclusive and we have to change to exclusive and also calculate mid values </t>
  </si>
  <si>
    <t>LCB</t>
  </si>
  <si>
    <t>UCB</t>
  </si>
  <si>
    <t>mid(x)</t>
  </si>
  <si>
    <t>fx</t>
  </si>
  <si>
    <t>CF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</si>
  <si>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</si>
  <si>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FX</t>
    </r>
    <r>
      <rPr>
        <vertAlign val="superscript"/>
        <sz val="11"/>
        <color theme="1"/>
        <rFont val="Calibri"/>
        <family val="2"/>
        <scheme val="minor"/>
      </rPr>
      <t>2</t>
    </r>
  </si>
  <si>
    <t>mean</t>
  </si>
  <si>
    <t>sd</t>
  </si>
  <si>
    <t>p25</t>
  </si>
  <si>
    <t>fm-f1</t>
  </si>
  <si>
    <t>fn-f2</t>
  </si>
  <si>
    <t>90th posit</t>
  </si>
  <si>
    <t>10th</t>
  </si>
  <si>
    <t>Draw a scatter diagram of daily rainfall and particular level in kathmandu valley using excel</t>
  </si>
  <si>
    <t>Daily rainfall(x)</t>
  </si>
  <si>
    <t>particularlevel(y)</t>
  </si>
  <si>
    <t>XY</t>
  </si>
  <si>
    <r>
      <t>Y</t>
    </r>
    <r>
      <rPr>
        <vertAlign val="superscript"/>
        <sz val="11"/>
        <color theme="1"/>
        <rFont val="Calibri"/>
        <family val="2"/>
        <scheme val="minor"/>
      </rPr>
      <t>2</t>
    </r>
  </si>
  <si>
    <t>r</t>
  </si>
  <si>
    <t>NXY</t>
  </si>
  <si>
    <t>sumX*sumY</t>
  </si>
  <si>
    <r>
      <t>n*sumX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</si>
  <si>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(sumX)</t>
    </r>
    <r>
      <rPr>
        <vertAlign val="superscript"/>
        <sz val="11"/>
        <color theme="1"/>
        <rFont val="Calibri"/>
        <family val="2"/>
        <scheme val="minor"/>
      </rPr>
      <t>2</t>
    </r>
  </si>
  <si>
    <t>n*sumy2</t>
  </si>
  <si>
    <t>(sumy)</t>
  </si>
  <si>
    <t>∑x2.n-∑x2</t>
  </si>
  <si>
    <t>y</t>
  </si>
  <si>
    <t>se</t>
  </si>
  <si>
    <t>b</t>
  </si>
  <si>
    <t>a</t>
  </si>
  <si>
    <t>y=147.91-6.32X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</si>
  <si>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</si>
  <si>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</si>
  <si>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</si>
  <si>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</si>
  <si>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</si>
  <si>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</si>
  <si>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</si>
  <si>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</si>
  <si>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</si>
  <si>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</si>
  <si>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</si>
  <si>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</si>
  <si>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</si>
  <si>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</si>
  <si>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</si>
  <si>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</si>
  <si>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</si>
  <si>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</si>
  <si>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</si>
  <si>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</si>
  <si>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</si>
  <si>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</si>
  <si>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</si>
  <si>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</si>
  <si>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</si>
  <si>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</si>
  <si>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</si>
  <si>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</si>
  <si>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</si>
  <si>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</si>
  <si>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</si>
  <si>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</si>
  <si>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Column 1</t>
  </si>
  <si>
    <t>Column 2</t>
  </si>
  <si>
    <t xml:space="preserve">calculate Spearman's rank correlation coefficient  </t>
  </si>
  <si>
    <t>A</t>
  </si>
  <si>
    <t>B</t>
  </si>
  <si>
    <t>rankA</t>
  </si>
  <si>
    <t>rankB</t>
  </si>
  <si>
    <t>d</t>
  </si>
  <si>
    <r>
      <t>d</t>
    </r>
    <r>
      <rPr>
        <vertAlign val="superscript"/>
        <sz val="11"/>
        <color theme="1"/>
        <rFont val="Calibri"/>
        <family val="2"/>
        <scheme val="minor"/>
      </rPr>
      <t>2</t>
    </r>
  </si>
  <si>
    <t>n=10</t>
  </si>
  <si>
    <t>calculate spearman's correlation coefficent between statistics and mathematics</t>
  </si>
  <si>
    <t>X1</t>
  </si>
  <si>
    <t>X2</t>
  </si>
  <si>
    <t>d=X1-X2</t>
  </si>
  <si>
    <t>r(s)</t>
  </si>
  <si>
    <t>n(n2-1)</t>
  </si>
  <si>
    <t xml:space="preserve">A card is drawn  at random fgetting rom a well shuffled pack cards .what is the probability of (a) red card (b) black card </t>
  </si>
  <si>
    <t xml:space="preserve">cases </t>
  </si>
  <si>
    <t xml:space="preserve">red card </t>
  </si>
  <si>
    <t>black carrd</t>
  </si>
  <si>
    <t>total</t>
  </si>
  <si>
    <t>no of case probability</t>
  </si>
  <si>
    <t>you are hgiven below the income distribution of 1000 person, find the probability that a person selected has (a) income below 2000 (b) income 2500 or more.</t>
  </si>
  <si>
    <t>income</t>
  </si>
  <si>
    <t>0-500</t>
  </si>
  <si>
    <t>500-1000</t>
  </si>
  <si>
    <t>1000-1500</t>
  </si>
  <si>
    <t>1500-2000</t>
  </si>
  <si>
    <t>2000-2500</t>
  </si>
  <si>
    <t>2500-3000</t>
  </si>
  <si>
    <t>3000-3500</t>
  </si>
  <si>
    <t>N</t>
  </si>
  <si>
    <t>no.person</t>
  </si>
  <si>
    <t xml:space="preserve">income </t>
  </si>
  <si>
    <t>probability</t>
  </si>
  <si>
    <t>prob income below 2000</t>
  </si>
  <si>
    <t xml:space="preserve">prob income 2500 or more </t>
  </si>
  <si>
    <t xml:space="preserve">the following table shows the suvery  regarding the empoyment status and gender in a sample of 209 management graduate </t>
  </si>
  <si>
    <t xml:space="preserve">employed status </t>
  </si>
  <si>
    <t xml:space="preserve">gender </t>
  </si>
  <si>
    <t xml:space="preserve">male </t>
  </si>
  <si>
    <t xml:space="preserve">female </t>
  </si>
  <si>
    <t>not</t>
  </si>
  <si>
    <t>what is the prob that a graduate chosen at random</t>
  </si>
  <si>
    <t>a.is current employed</t>
  </si>
  <si>
    <t>b.is a female and currently employed</t>
  </si>
  <si>
    <t>c.is  female  or currently employed</t>
  </si>
  <si>
    <t>d.suppose the garduate chosen is a female , what is the prob that she is currently employed ?</t>
  </si>
  <si>
    <t>employed status</t>
  </si>
  <si>
    <t xml:space="preserve">total </t>
  </si>
  <si>
    <t>c</t>
  </si>
  <si>
    <t>A random varaible follows binomial distribution with parameter n=6 and p=0.4, find the probability of x=2, x&lt;5 and x&gt;3.</t>
  </si>
  <si>
    <t>cases</t>
  </si>
  <si>
    <t>x=2</t>
  </si>
  <si>
    <t>x&lt;5</t>
  </si>
  <si>
    <t>x&gt;3</t>
  </si>
  <si>
    <t>X=x</t>
  </si>
  <si>
    <t>p</t>
  </si>
  <si>
    <t>q</t>
  </si>
  <si>
    <t>A person shoots three round at target .The probability of hitting a target successfully is 0.3.Compute the probability of hitting targets where x=0,1,2,3</t>
  </si>
  <si>
    <t>p(x)</t>
  </si>
  <si>
    <t>]</t>
  </si>
  <si>
    <t>X</t>
  </si>
  <si>
    <t>f</t>
  </si>
  <si>
    <t>expected</t>
  </si>
  <si>
    <t>rounded</t>
  </si>
  <si>
    <t xml:space="preserve">Fit binomial distribution and find the probability of less than 3 , less than equal to 3, exactly 3,not equal to </t>
  </si>
  <si>
    <t>for finding poision distribution</t>
  </si>
  <si>
    <r>
      <t>r(s)=1-6</t>
    </r>
    <r>
      <rPr>
        <sz val="11"/>
        <color theme="1"/>
        <rFont val="Calibri"/>
        <family val="2"/>
      </rPr>
      <t>∑d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/n(n^2-1)</t>
    </r>
  </si>
  <si>
    <t>n(n^2-)</t>
  </si>
  <si>
    <t>Anger</t>
  </si>
  <si>
    <t>Vigor</t>
  </si>
  <si>
    <t>r1</t>
  </si>
  <si>
    <t>r2</t>
  </si>
  <si>
    <t>d^2</t>
  </si>
  <si>
    <t xml:space="preserve">13 repeated 2 times </t>
  </si>
  <si>
    <t>5 repeated 2 times</t>
  </si>
  <si>
    <t>19 repeated 3 times</t>
  </si>
  <si>
    <t>m1</t>
  </si>
  <si>
    <t>m2</t>
  </si>
  <si>
    <t>m3</t>
  </si>
  <si>
    <t>n(n^2 -1)</t>
  </si>
  <si>
    <t>hence rank correlation is negative so it is low degree corelation betwwen angor and vigor</t>
  </si>
  <si>
    <r>
      <t>In a chips factory machine A,B and C manufactured respectively 25</t>
    </r>
    <r>
      <rPr>
        <sz val="11"/>
        <color theme="1"/>
        <rFont val="Calibri"/>
        <family val="2"/>
      </rPr>
      <t>%,35% and 40% of the total of their output 5,4 and 2 percent defective</t>
    </r>
  </si>
  <si>
    <t>bolts.A chips is drawn at random from the product and is found to be defective .What is the probability that it was manufactured  by machine A,B and C?</t>
  </si>
  <si>
    <t>P(A)</t>
  </si>
  <si>
    <t>p(B)</t>
  </si>
  <si>
    <t>P©</t>
  </si>
  <si>
    <t>p(D/A)</t>
  </si>
  <si>
    <t>P(D?B)</t>
  </si>
  <si>
    <t>P(D/C)</t>
  </si>
  <si>
    <t>P(A/D)</t>
  </si>
  <si>
    <t>P(B/D)</t>
  </si>
  <si>
    <t>P(C/D)</t>
  </si>
  <si>
    <r>
      <t xml:space="preserve">A random varaible follows normal distribution with parameter </t>
    </r>
    <r>
      <rPr>
        <sz val="11"/>
        <color theme="1"/>
        <rFont val="Calibri"/>
        <family val="2"/>
      </rPr>
      <t>µ=2.5 and σ =1.5</t>
    </r>
  </si>
  <si>
    <t>Find the probability of 1&lt;X&lt;2, x&lt;5 and x&gt;3</t>
  </si>
  <si>
    <t>symbol</t>
  </si>
  <si>
    <t>value</t>
  </si>
  <si>
    <t>S.D</t>
  </si>
  <si>
    <t>µ</t>
  </si>
  <si>
    <t>σ</t>
  </si>
  <si>
    <t>1&lt;x&lt;2</t>
  </si>
  <si>
    <t>lower limit</t>
  </si>
  <si>
    <t>upp limite</t>
  </si>
  <si>
    <t>prob</t>
  </si>
  <si>
    <t>Panchakanya group of industries produces tube.The length of a tube of found to be normal distribution with a population mean 100 and standard deviation 5</t>
  </si>
  <si>
    <t>(a) Caculate prob that a random sample of one tube will have a length at least 110</t>
  </si>
  <si>
    <t>(b)p(85&lt;=x&lt;=105)</t>
  </si>
  <si>
    <t>p(x&lt;=110)</t>
  </si>
  <si>
    <t>p(x=&gt;110)</t>
  </si>
  <si>
    <t>(b)</t>
  </si>
  <si>
    <t>x1</t>
  </si>
  <si>
    <t>x2</t>
  </si>
  <si>
    <t>p(85&lt;=x&lt;=105)</t>
  </si>
  <si>
    <t>Find the expected mean</t>
  </si>
  <si>
    <t>x.p(X=x)</t>
  </si>
  <si>
    <t>p(X=x)</t>
  </si>
  <si>
    <t>x^2*p(X=x)</t>
  </si>
  <si>
    <t>(A) mean</t>
  </si>
  <si>
    <t>Ex</t>
  </si>
  <si>
    <t>(b)E(x)^2</t>
  </si>
  <si>
    <t>© var</t>
  </si>
  <si>
    <t>E(4x+7)</t>
  </si>
  <si>
    <t>v(4x+7)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</si>
</sst>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2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17/10/relationships/person" Target="persons/pers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</a:t>
            </a:r>
            <a:r>
              <a:rPr lang="en-US" baseline="0"/>
              <a:t> and whisker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Sheet2!$I$3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6-4892-9839-141F96845357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Sheet2!$I$4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6-4892-9839-141F9684535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Sheet2!$I$5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6-4892-9839-141F9684535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20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Sheet2!$I$6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F6-4892-9839-141F96845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8915048"/>
        <c:axId val="448915408"/>
      </c:barChart>
      <c:catAx>
        <c:axId val="448915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15408"/>
        <c:crosses val="autoZero"/>
        <c:auto val="1"/>
        <c:lblAlgn val="ctr"/>
        <c:lblOffset val="100"/>
        <c:noMultiLvlLbl val="0"/>
      </c:catAx>
      <c:valAx>
        <c:axId val="448915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1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Sheet2!$I$3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E-4129-8100-1A77F52229B3}"/>
            </c:ext>
          </c:extLst>
        </c:ser>
        <c:ser>
          <c:idx val="1"/>
          <c:order val="1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Sheet2!$I$4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E-4129-8100-1A77F52229B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Sheet2!$I$5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AE-4129-8100-1A77F52229B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Sheet2!$I$6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AE-4129-8100-1A77F5222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14712"/>
        <c:axId val="461915072"/>
      </c:barChart>
      <c:catAx>
        <c:axId val="461914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15072"/>
        <c:crosses val="autoZero"/>
        <c:auto val="1"/>
        <c:lblAlgn val="ctr"/>
        <c:lblOffset val="100"/>
        <c:noMultiLvlLbl val="0"/>
      </c:catAx>
      <c:valAx>
        <c:axId val="4619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1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Sheet4!$A$3:$A$11</c:f>
              <c:numCache>
                <c:formatCode>General</c:formatCode>
                <c:ptCount val="9"/>
                <c:pt idx="0">
                  <c:v>4.0999999999999996</c:v>
                </c:pt>
                <c:pt idx="1">
                  <c:v>4.3</c:v>
                </c:pt>
                <c:pt idx="2">
                  <c:v>5.7</c:v>
                </c:pt>
                <c:pt idx="3">
                  <c:v>5.4</c:v>
                </c:pt>
                <c:pt idx="4">
                  <c:v>5.9</c:v>
                </c:pt>
                <c:pt idx="5">
                  <c:v>5</c:v>
                </c:pt>
                <c:pt idx="6">
                  <c:v>3.6</c:v>
                </c:pt>
                <c:pt idx="7">
                  <c:v>1.9</c:v>
                </c:pt>
                <c:pt idx="8">
                  <c:v>7.3</c:v>
                </c:pt>
              </c:numCache>
            </c:numRef>
          </c:xVal>
          <c:yVal>
            <c:numRef>
              <c:f>Sheet4!$B$3:$B$11</c:f>
              <c:numCache>
                <c:formatCode>General</c:formatCode>
                <c:ptCount val="9"/>
                <c:pt idx="0">
                  <c:v>122</c:v>
                </c:pt>
                <c:pt idx="1">
                  <c:v>117</c:v>
                </c:pt>
                <c:pt idx="2">
                  <c:v>112</c:v>
                </c:pt>
                <c:pt idx="3">
                  <c:v>114</c:v>
                </c:pt>
                <c:pt idx="4">
                  <c:v>110</c:v>
                </c:pt>
                <c:pt idx="5">
                  <c:v>114</c:v>
                </c:pt>
                <c:pt idx="6">
                  <c:v>128</c:v>
                </c:pt>
                <c:pt idx="7">
                  <c:v>137</c:v>
                </c:pt>
                <c:pt idx="8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D-4175-AB46-F796D1FCE7F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Sheet4!$A$3:$A$11</c:f>
              <c:numCache>
                <c:formatCode>General</c:formatCode>
                <c:ptCount val="9"/>
                <c:pt idx="0">
                  <c:v>4.0999999999999996</c:v>
                </c:pt>
                <c:pt idx="1">
                  <c:v>4.3</c:v>
                </c:pt>
                <c:pt idx="2">
                  <c:v>5.7</c:v>
                </c:pt>
                <c:pt idx="3">
                  <c:v>5.4</c:v>
                </c:pt>
                <c:pt idx="4">
                  <c:v>5.9</c:v>
                </c:pt>
                <c:pt idx="5">
                  <c:v>5</c:v>
                </c:pt>
                <c:pt idx="6">
                  <c:v>3.6</c:v>
                </c:pt>
                <c:pt idx="7">
                  <c:v>1.9</c:v>
                </c:pt>
                <c:pt idx="8">
                  <c:v>7.3</c:v>
                </c:pt>
              </c:numCache>
            </c:numRef>
          </c:xVal>
          <c:yVal>
            <c:numRef>
              <c:f>Sheet4!$C$41:$C$49</c:f>
              <c:numCache>
                <c:formatCode>General</c:formatCode>
                <c:ptCount val="9"/>
                <c:pt idx="0">
                  <c:v>121.98234683281412</c:v>
                </c:pt>
                <c:pt idx="1">
                  <c:v>120.71754932502596</c:v>
                </c:pt>
                <c:pt idx="2">
                  <c:v>111.86396677050882</c:v>
                </c:pt>
                <c:pt idx="3">
                  <c:v>113.76116303219106</c:v>
                </c:pt>
                <c:pt idx="4">
                  <c:v>110.59916926272066</c:v>
                </c:pt>
                <c:pt idx="5">
                  <c:v>116.29075804776738</c:v>
                </c:pt>
                <c:pt idx="6">
                  <c:v>125.14434060228452</c:v>
                </c:pt>
                <c:pt idx="7">
                  <c:v>135.89511941848389</c:v>
                </c:pt>
                <c:pt idx="8">
                  <c:v>101.74558670820352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2D-4175-AB46-F796D1FCE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037784"/>
        <c:axId val="653037424"/>
      </c:scatterChart>
      <c:valAx>
        <c:axId val="65303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3037424"/>
        <c:crosses val="autoZero"/>
        <c:crossBetween val="midCat"/>
      </c:valAx>
      <c:valAx>
        <c:axId val="653037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30377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Sheet4!$F$41:$F$49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Sheet4!$G$41:$G$49</c:f>
              <c:numCache>
                <c:formatCode>General</c:formatCode>
                <c:ptCount val="9"/>
                <c:pt idx="0">
                  <c:v>104</c:v>
                </c:pt>
                <c:pt idx="1">
                  <c:v>110</c:v>
                </c:pt>
                <c:pt idx="2">
                  <c:v>112</c:v>
                </c:pt>
                <c:pt idx="3">
                  <c:v>114</c:v>
                </c:pt>
                <c:pt idx="4">
                  <c:v>114</c:v>
                </c:pt>
                <c:pt idx="5">
                  <c:v>117</c:v>
                </c:pt>
                <c:pt idx="6">
                  <c:v>122</c:v>
                </c:pt>
                <c:pt idx="7">
                  <c:v>128</c:v>
                </c:pt>
                <c:pt idx="8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0C-4B1E-80DD-E4721F280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043904"/>
        <c:axId val="653044264"/>
      </c:scatterChart>
      <c:valAx>
        <c:axId val="65304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3044264"/>
        <c:crosses val="autoZero"/>
        <c:crossBetween val="midCat"/>
      </c:valAx>
      <c:valAx>
        <c:axId val="653044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3043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463407699037618"/>
                  <c:y val="5.65252260134149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Sheet4!$A$3:$A$11</c:f>
              <c:numCache>
                <c:formatCode>General</c:formatCode>
                <c:ptCount val="9"/>
                <c:pt idx="0">
                  <c:v>4.0999999999999996</c:v>
                </c:pt>
                <c:pt idx="1">
                  <c:v>4.3</c:v>
                </c:pt>
                <c:pt idx="2">
                  <c:v>5.7</c:v>
                </c:pt>
                <c:pt idx="3">
                  <c:v>5.4</c:v>
                </c:pt>
                <c:pt idx="4">
                  <c:v>5.9</c:v>
                </c:pt>
                <c:pt idx="5">
                  <c:v>5</c:v>
                </c:pt>
                <c:pt idx="6">
                  <c:v>3.6</c:v>
                </c:pt>
                <c:pt idx="7">
                  <c:v>1.9</c:v>
                </c:pt>
                <c:pt idx="8">
                  <c:v>7.3</c:v>
                </c:pt>
              </c:numCache>
            </c:numRef>
          </c:xVal>
          <c:yVal>
            <c:numRef>
              <c:f>Sheet4!$B$3:$B$11</c:f>
              <c:numCache>
                <c:formatCode>General</c:formatCode>
                <c:ptCount val="9"/>
                <c:pt idx="0">
                  <c:v>122</c:v>
                </c:pt>
                <c:pt idx="1">
                  <c:v>117</c:v>
                </c:pt>
                <c:pt idx="2">
                  <c:v>112</c:v>
                </c:pt>
                <c:pt idx="3">
                  <c:v>114</c:v>
                </c:pt>
                <c:pt idx="4">
                  <c:v>110</c:v>
                </c:pt>
                <c:pt idx="5">
                  <c:v>114</c:v>
                </c:pt>
                <c:pt idx="6">
                  <c:v>128</c:v>
                </c:pt>
                <c:pt idx="7">
                  <c:v>137</c:v>
                </c:pt>
                <c:pt idx="8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1-4284-AE8B-7F7A19EEC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28944"/>
        <c:axId val="663322104"/>
      </c:scatterChart>
      <c:valAx>
        <c:axId val="66332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22104"/>
        <c:crosses val="autoZero"/>
        <c:crossBetween val="midCat"/>
      </c:valAx>
      <c:valAx>
        <c:axId val="66332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2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7</xdr:row>
      <xdr:rowOff>114300</xdr:rowOff>
    </xdr:from>
    <xdr:to>
      <xdr:col>17</xdr:col>
      <xdr:colOff>38100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B1260F-E2C0-A516-11E3-6E3046FBD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289560</xdr:colOff>
      <xdr:row>8</xdr:row>
      <xdr:rowOff>129540</xdr:rowOff>
    </xdr:from>
    <xdr:to>
      <xdr:col>8</xdr:col>
      <xdr:colOff>594360</xdr:colOff>
      <xdr:row>23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1FCDC2-FC20-03C1-1B06-6BECB8C5D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16</xdr:row>
      <xdr:rowOff>175260</xdr:rowOff>
    </xdr:from>
    <xdr:to>
      <xdr:col>16</xdr:col>
      <xdr:colOff>251460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A96F0-3D3F-4CC2-3EE8-8597771A2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27</xdr:row>
      <xdr:rowOff>121920</xdr:rowOff>
    </xdr:from>
    <xdr:to>
      <xdr:col>16</xdr:col>
      <xdr:colOff>251460</xdr:colOff>
      <xdr:row>37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ABBB9A-6F8A-1327-7CF9-62EB690EC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289560</xdr:colOff>
      <xdr:row>12</xdr:row>
      <xdr:rowOff>15240</xdr:rowOff>
    </xdr:from>
    <xdr:to>
      <xdr:col>23</xdr:col>
      <xdr:colOff>594360</xdr:colOff>
      <xdr:row>26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422BA9-414F-C0D1-E3F1-E38E20FDB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46993-6383-41DA-AECE-D669BFB2DC8A}">
  <dimension ref="A1:J16"/>
  <sheetViews>
    <sheetView workbookViewId="0">
      <selection activeCell="H4" sqref="H4"/>
    </sheetView>
  </sheetViews>
  <sheetFormatPr defaultRowHeight="14.4" x14ac:dyDescent="0.3"/>
  <sheetData>
    <row r="1" spans="1:10" x14ac:dyDescent="0.3">
      <c r="A1" t="s">
        <v>0</v>
      </c>
    </row>
    <row r="3" spans="1:10" x14ac:dyDescent="0.3">
      <c r="A3" t="s">
        <v>1</v>
      </c>
      <c r="C3" t="s">
        <v>2</v>
      </c>
    </row>
    <row r="4" spans="1:10" x14ac:dyDescent="0.3">
      <c r="A4">
        <v>24</v>
      </c>
      <c r="C4" t="s">
        <v>3</v>
      </c>
      <c r="D4">
        <f>COUNT(A4:A16)</f>
        <v>13</v>
      </c>
      <c r="F4" t="s">
        <v>11</v>
      </c>
      <c r="H4">
        <f>_xlfn.STDEV.S(A4:A16)</f>
        <v>22.168353512065284</v>
      </c>
    </row>
    <row r="5" spans="1:10" x14ac:dyDescent="0.3">
      <c r="A5">
        <v>27</v>
      </c>
      <c r="C5" t="s">
        <v>4</v>
      </c>
      <c r="D5">
        <f>SUM(A4:A16)</f>
        <v>734</v>
      </c>
    </row>
    <row r="6" spans="1:10" x14ac:dyDescent="0.3">
      <c r="A6">
        <v>36</v>
      </c>
      <c r="C6" t="s">
        <v>5</v>
      </c>
      <c r="D6">
        <f>AVERAGE(A4:A16)</f>
        <v>56.46153846153846</v>
      </c>
      <c r="F6" t="s">
        <v>12</v>
      </c>
      <c r="H6">
        <f>H4/D6*100</f>
        <v>39.262751451886743</v>
      </c>
    </row>
    <row r="7" spans="1:10" x14ac:dyDescent="0.3">
      <c r="A7">
        <v>48</v>
      </c>
      <c r="C7" t="s">
        <v>6</v>
      </c>
      <c r="D7">
        <f>MEDIAN(A4:A16)</f>
        <v>54</v>
      </c>
    </row>
    <row r="8" spans="1:10" x14ac:dyDescent="0.3">
      <c r="A8">
        <v>52</v>
      </c>
      <c r="C8" t="s">
        <v>7</v>
      </c>
      <c r="D8">
        <f>MODE(A4:A16)</f>
        <v>52</v>
      </c>
      <c r="F8" t="s">
        <v>13</v>
      </c>
    </row>
    <row r="9" spans="1:10" x14ac:dyDescent="0.3">
      <c r="A9">
        <v>52</v>
      </c>
      <c r="C9" t="s">
        <v>8</v>
      </c>
      <c r="D9">
        <f>PERCENTILE(A4:A16,0.25)</f>
        <v>48</v>
      </c>
      <c r="F9" t="s">
        <v>14</v>
      </c>
      <c r="G9">
        <f>(D6-D8)/H4</f>
        <v>0.20125709647810497</v>
      </c>
    </row>
    <row r="10" spans="1:10" x14ac:dyDescent="0.3">
      <c r="A10">
        <v>54</v>
      </c>
      <c r="C10" t="s">
        <v>9</v>
      </c>
      <c r="D10">
        <f>QUARTILE(A4:A16,1)</f>
        <v>48</v>
      </c>
      <c r="F10" t="s">
        <v>15</v>
      </c>
      <c r="G10">
        <f>(D11+D10-2*D7)/(D11-D10)</f>
        <v>0</v>
      </c>
    </row>
    <row r="11" spans="1:10" x14ac:dyDescent="0.3">
      <c r="A11">
        <v>55</v>
      </c>
      <c r="C11" t="s">
        <v>10</v>
      </c>
      <c r="D11">
        <f>QUARTILE(A4:A16,3)</f>
        <v>60</v>
      </c>
    </row>
    <row r="12" spans="1:10" x14ac:dyDescent="0.3">
      <c r="A12">
        <v>56</v>
      </c>
    </row>
    <row r="13" spans="1:10" x14ac:dyDescent="0.3">
      <c r="A13">
        <v>60</v>
      </c>
      <c r="F13" t="s">
        <v>16</v>
      </c>
      <c r="G13">
        <f>PERCENTILE(A4:A16,0.9)</f>
        <v>89</v>
      </c>
      <c r="J13">
        <f>D11-D10</f>
        <v>12</v>
      </c>
    </row>
    <row r="14" spans="1:10" x14ac:dyDescent="0.3">
      <c r="A14">
        <v>85</v>
      </c>
      <c r="F14" t="s">
        <v>17</v>
      </c>
      <c r="G14">
        <f>PERCENTILE(A4:A16,0.1)</f>
        <v>28.8</v>
      </c>
      <c r="J14">
        <f>2*(G13-G14)</f>
        <v>120.4</v>
      </c>
    </row>
    <row r="15" spans="1:10" x14ac:dyDescent="0.3">
      <c r="A15">
        <v>90</v>
      </c>
      <c r="F15" t="s">
        <v>18</v>
      </c>
      <c r="G15">
        <f>J13/J14</f>
        <v>9.9667774086378738E-2</v>
      </c>
    </row>
    <row r="16" spans="1:10" x14ac:dyDescent="0.3">
      <c r="A16">
        <v>95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4875-7674-46C3-8A4B-16C7BFC9CECB}">
  <dimension ref="A1:F23"/>
  <sheetViews>
    <sheetView workbookViewId="0">
      <selection activeCell="F15" sqref="F15"/>
    </sheetView>
  </sheetViews>
  <sheetFormatPr defaultRowHeight="14.4" x14ac:dyDescent="0.3"/>
  <sheetData>
    <row r="1" spans="1:3" x14ac:dyDescent="0.3">
      <c r="A1" t="s">
        <v>151</v>
      </c>
    </row>
    <row r="2" spans="1:3" x14ac:dyDescent="0.3">
      <c r="A2" t="s">
        <v>3</v>
      </c>
      <c r="B2">
        <v>6</v>
      </c>
    </row>
    <row r="3" spans="1:3" x14ac:dyDescent="0.3">
      <c r="A3" t="s">
        <v>157</v>
      </c>
      <c r="B3">
        <v>0.4</v>
      </c>
    </row>
    <row r="4" spans="1:3" x14ac:dyDescent="0.3">
      <c r="A4" t="s">
        <v>158</v>
      </c>
      <c r="B4">
        <v>0.6</v>
      </c>
    </row>
    <row r="5" spans="1:3" x14ac:dyDescent="0.3">
      <c r="A5" t="s">
        <v>152</v>
      </c>
      <c r="B5" t="s">
        <v>156</v>
      </c>
      <c r="C5" t="s">
        <v>134</v>
      </c>
    </row>
    <row r="6" spans="1:3" x14ac:dyDescent="0.3">
      <c r="A6" t="s">
        <v>153</v>
      </c>
      <c r="B6">
        <v>2</v>
      </c>
      <c r="C6">
        <f>BINOMDIST(B6,B2,B3,FALSE)</f>
        <v>0.31103999999999998</v>
      </c>
    </row>
    <row r="7" spans="1:3" x14ac:dyDescent="0.3">
      <c r="A7" t="s">
        <v>154</v>
      </c>
      <c r="B7">
        <v>4</v>
      </c>
      <c r="C7">
        <f>BINOMDIST(B7,B2,B3,TRUE)</f>
        <v>0.95904</v>
      </c>
    </row>
    <row r="8" spans="1:3" x14ac:dyDescent="0.3">
      <c r="A8" t="s">
        <v>155</v>
      </c>
      <c r="B8">
        <v>3</v>
      </c>
      <c r="C8">
        <f>1-BINOMDIST(B8,B2,B3,TRUE)</f>
        <v>0.17920000000000003</v>
      </c>
    </row>
    <row r="12" spans="1:3" x14ac:dyDescent="0.3">
      <c r="A12" t="s">
        <v>159</v>
      </c>
    </row>
    <row r="14" spans="1:3" x14ac:dyDescent="0.3">
      <c r="A14" t="s">
        <v>3</v>
      </c>
      <c r="B14">
        <v>3</v>
      </c>
    </row>
    <row r="15" spans="1:3" x14ac:dyDescent="0.3">
      <c r="A15" t="s">
        <v>157</v>
      </c>
      <c r="B15">
        <v>0.3</v>
      </c>
    </row>
    <row r="16" spans="1:3" x14ac:dyDescent="0.3">
      <c r="A16" t="s">
        <v>158</v>
      </c>
      <c r="B16">
        <v>0.7</v>
      </c>
    </row>
    <row r="18" spans="1:6" x14ac:dyDescent="0.3">
      <c r="F18" t="s">
        <v>161</v>
      </c>
    </row>
    <row r="19" spans="1:6" x14ac:dyDescent="0.3">
      <c r="A19" t="s">
        <v>134</v>
      </c>
      <c r="B19" t="s">
        <v>160</v>
      </c>
    </row>
    <row r="20" spans="1:6" x14ac:dyDescent="0.3">
      <c r="A20">
        <v>0</v>
      </c>
      <c r="B20">
        <f>BINOMDIST(A20,B14,B15,FALSE)</f>
        <v>0.34300000000000003</v>
      </c>
    </row>
    <row r="21" spans="1:6" x14ac:dyDescent="0.3">
      <c r="A21">
        <v>1</v>
      </c>
      <c r="B21">
        <f>BINOMDIST(1,B14,B15,FALSE)</f>
        <v>0.441</v>
      </c>
      <c r="F21">
        <v>1</v>
      </c>
    </row>
    <row r="22" spans="1:6" x14ac:dyDescent="0.3">
      <c r="A22">
        <v>2</v>
      </c>
      <c r="B22">
        <f>BINOMDIST(A22,B14,B15,FALSE)</f>
        <v>0.18900000000000008</v>
      </c>
    </row>
    <row r="23" spans="1:6" x14ac:dyDescent="0.3">
      <c r="A23">
        <v>3</v>
      </c>
      <c r="B23">
        <f>BINOMDIST(A23,B14,B15,FALSE)</f>
        <v>2.6999999999999982E-2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3222-ABEA-417F-BCCA-A015EF0F8A6D}">
  <dimension ref="A1:K9"/>
  <sheetViews>
    <sheetView topLeftCell="A6" workbookViewId="0">
      <selection activeCell="I9" sqref="I9"/>
    </sheetView>
  </sheetViews>
  <sheetFormatPr defaultRowHeight="14.4" x14ac:dyDescent="0.3"/>
  <sheetData>
    <row r="1" spans="1:11" x14ac:dyDescent="0.3">
      <c r="A1" t="s">
        <v>110</v>
      </c>
    </row>
    <row r="2" spans="1:11" ht="16.2" x14ac:dyDescent="0.3">
      <c r="A2" t="s">
        <v>111</v>
      </c>
      <c r="B2" t="s">
        <v>112</v>
      </c>
      <c r="C2" t="s">
        <v>113</v>
      </c>
      <c r="D2" t="s">
        <v>108</v>
      </c>
    </row>
    <row r="3" spans="1:11" x14ac:dyDescent="0.3">
      <c r="A3">
        <v>2</v>
      </c>
      <c r="B3">
        <v>1</v>
      </c>
      <c r="C3">
        <f>A3-B3</f>
        <v>1</v>
      </c>
      <c r="D3">
        <f>C3*C3</f>
        <v>1</v>
      </c>
    </row>
    <row r="4" spans="1:11" x14ac:dyDescent="0.3">
      <c r="A4">
        <v>1</v>
      </c>
      <c r="B4">
        <v>3</v>
      </c>
      <c r="C4">
        <f t="shared" ref="C4:C9" si="0">A4-B4</f>
        <v>-2</v>
      </c>
      <c r="D4">
        <f t="shared" ref="D4:D9" si="1">C4*C4</f>
        <v>4</v>
      </c>
    </row>
    <row r="5" spans="1:11" x14ac:dyDescent="0.3">
      <c r="A5">
        <v>4</v>
      </c>
      <c r="B5">
        <v>7</v>
      </c>
      <c r="C5">
        <f t="shared" si="0"/>
        <v>-3</v>
      </c>
      <c r="D5">
        <f t="shared" si="1"/>
        <v>9</v>
      </c>
    </row>
    <row r="6" spans="1:11" x14ac:dyDescent="0.3">
      <c r="A6">
        <v>6</v>
      </c>
      <c r="B6">
        <v>5</v>
      </c>
      <c r="C6">
        <f t="shared" si="0"/>
        <v>1</v>
      </c>
      <c r="D6">
        <f t="shared" si="1"/>
        <v>1</v>
      </c>
      <c r="H6" t="s">
        <v>3</v>
      </c>
      <c r="I6">
        <f>COUNT(A3:A9)</f>
        <v>7</v>
      </c>
      <c r="J6" t="s">
        <v>115</v>
      </c>
      <c r="K6">
        <f>I6*(I6*I6-1)</f>
        <v>336</v>
      </c>
    </row>
    <row r="7" spans="1:11" ht="16.2" x14ac:dyDescent="0.3">
      <c r="A7">
        <v>5</v>
      </c>
      <c r="B7">
        <v>6</v>
      </c>
      <c r="C7">
        <f t="shared" si="0"/>
        <v>-1</v>
      </c>
      <c r="D7">
        <f t="shared" si="1"/>
        <v>1</v>
      </c>
      <c r="H7" t="s">
        <v>108</v>
      </c>
      <c r="I7">
        <f>SUM(D3:D9)</f>
        <v>26</v>
      </c>
      <c r="J7">
        <f>6*I7</f>
        <v>156</v>
      </c>
    </row>
    <row r="8" spans="1:11" x14ac:dyDescent="0.3">
      <c r="A8">
        <v>3</v>
      </c>
      <c r="B8">
        <v>2</v>
      </c>
      <c r="C8">
        <f t="shared" si="0"/>
        <v>1</v>
      </c>
      <c r="D8">
        <f t="shared" si="1"/>
        <v>1</v>
      </c>
      <c r="H8" t="s">
        <v>114</v>
      </c>
      <c r="I8">
        <f>1-J7/K6</f>
        <v>0.5357142857142857</v>
      </c>
    </row>
    <row r="9" spans="1:11" x14ac:dyDescent="0.3">
      <c r="A9">
        <v>7</v>
      </c>
      <c r="B9">
        <v>4</v>
      </c>
      <c r="C9">
        <f t="shared" si="0"/>
        <v>3</v>
      </c>
      <c r="D9">
        <f t="shared" si="1"/>
        <v>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9CEAC-F965-4BC3-A640-7B9F0900CECB}">
  <dimension ref="A1:B15"/>
  <sheetViews>
    <sheetView workbookViewId="0">
      <selection activeCell="B16" sqref="B16"/>
    </sheetView>
  </sheetViews>
  <sheetFormatPr defaultRowHeight="14.4" x14ac:dyDescent="0.3"/>
  <sheetData>
    <row r="1" spans="1:2" x14ac:dyDescent="0.3">
      <c r="A1" t="s">
        <v>183</v>
      </c>
    </row>
    <row r="2" spans="1:2" x14ac:dyDescent="0.3">
      <c r="A2" t="s">
        <v>184</v>
      </c>
    </row>
    <row r="5" spans="1:2" x14ac:dyDescent="0.3">
      <c r="A5" t="s">
        <v>185</v>
      </c>
      <c r="B5">
        <f>25/100</f>
        <v>0.25</v>
      </c>
    </row>
    <row r="6" spans="1:2" x14ac:dyDescent="0.3">
      <c r="A6" t="s">
        <v>186</v>
      </c>
      <c r="B6">
        <f>35/100</f>
        <v>0.35</v>
      </c>
    </row>
    <row r="7" spans="1:2" x14ac:dyDescent="0.3">
      <c r="A7" t="s">
        <v>187</v>
      </c>
      <c r="B7">
        <v>0.4</v>
      </c>
    </row>
    <row r="8" spans="1:2" x14ac:dyDescent="0.3">
      <c r="A8" t="s">
        <v>188</v>
      </c>
      <c r="B8">
        <f>5/100</f>
        <v>0.05</v>
      </c>
    </row>
    <row r="9" spans="1:2" x14ac:dyDescent="0.3">
      <c r="A9" t="s">
        <v>189</v>
      </c>
      <c r="B9">
        <v>0.04</v>
      </c>
    </row>
    <row r="10" spans="1:2" x14ac:dyDescent="0.3">
      <c r="A10" t="s">
        <v>190</v>
      </c>
      <c r="B10">
        <v>0.02</v>
      </c>
    </row>
    <row r="13" spans="1:2" x14ac:dyDescent="0.3">
      <c r="A13" t="s">
        <v>191</v>
      </c>
      <c r="B13">
        <f>(B5*B8)/(B5*B8+B6*B9+B7*B10)</f>
        <v>0.36231884057971014</v>
      </c>
    </row>
    <row r="14" spans="1:2" x14ac:dyDescent="0.3">
      <c r="A14" t="s">
        <v>192</v>
      </c>
      <c r="B14">
        <f>B6*B9/(B5*B8+B7*B10+B6*B9)</f>
        <v>0.40579710144927528</v>
      </c>
    </row>
    <row r="15" spans="1:2" x14ac:dyDescent="0.3">
      <c r="A15" t="s">
        <v>193</v>
      </c>
      <c r="B15">
        <f>(B7*B10)/(B5*B8+B6*B9+B7*B10)</f>
        <v>0.23188405797101447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3D27-5C05-4606-8122-5F932AC51FEE}">
  <dimension ref="A1:O28"/>
  <sheetViews>
    <sheetView workbookViewId="0">
      <selection activeCell="N13" sqref="N13"/>
    </sheetView>
  </sheetViews>
  <sheetFormatPr defaultRowHeight="14.4" x14ac:dyDescent="0.3"/>
  <sheetData>
    <row r="1" spans="1:15" x14ac:dyDescent="0.3">
      <c r="A1" t="s">
        <v>166</v>
      </c>
      <c r="M1" t="s">
        <v>167</v>
      </c>
    </row>
    <row r="3" spans="1:15" x14ac:dyDescent="0.3">
      <c r="A3" t="s">
        <v>162</v>
      </c>
      <c r="B3" t="s">
        <v>163</v>
      </c>
      <c r="C3" t="s">
        <v>160</v>
      </c>
      <c r="D3" t="s">
        <v>164</v>
      </c>
      <c r="E3" t="s">
        <v>165</v>
      </c>
      <c r="G3" t="s">
        <v>39</v>
      </c>
      <c r="K3" t="s">
        <v>162</v>
      </c>
      <c r="L3" t="s">
        <v>163</v>
      </c>
      <c r="M3" t="s">
        <v>160</v>
      </c>
      <c r="N3" t="s">
        <v>164</v>
      </c>
      <c r="O3" t="s">
        <v>165</v>
      </c>
    </row>
    <row r="4" spans="1:15" x14ac:dyDescent="0.3">
      <c r="A4">
        <v>0</v>
      </c>
      <c r="B4">
        <v>20</v>
      </c>
      <c r="C4">
        <f>BINOMDIST(A4,B14,B16,FALSE)</f>
        <v>3.5647366467153915E-3</v>
      </c>
      <c r="D4">
        <f>B13*C4</f>
        <v>5.6429781117504652</v>
      </c>
      <c r="E4">
        <f>ROUND(D4,0)</f>
        <v>6</v>
      </c>
      <c r="G4">
        <f>A4*B4</f>
        <v>0</v>
      </c>
      <c r="K4">
        <v>0</v>
      </c>
      <c r="L4">
        <v>20</v>
      </c>
      <c r="M4">
        <f>_xlfn.POISSON.DIST(K4,4.045483,FALSE)</f>
        <v>1.7501249510527481E-2</v>
      </c>
      <c r="N4">
        <f>B13*M4</f>
        <v>27.704477975165002</v>
      </c>
      <c r="O4">
        <f>ROUND(N4,0)</f>
        <v>28</v>
      </c>
    </row>
    <row r="5" spans="1:15" x14ac:dyDescent="0.3">
      <c r="A5">
        <v>1</v>
      </c>
      <c r="B5">
        <v>100</v>
      </c>
      <c r="C5">
        <f>BINOMDIST(A5,B14,B16,FALSE)</f>
        <v>2.9173895828198564E-2</v>
      </c>
      <c r="D5">
        <f>B13*C5</f>
        <v>46.182277096038327</v>
      </c>
      <c r="E5">
        <f t="shared" ref="E5:E12" si="0">ROUND(D5,0)</f>
        <v>46</v>
      </c>
      <c r="G5">
        <f t="shared" ref="G5:G12" si="1">A5*B5</f>
        <v>100</v>
      </c>
      <c r="K5">
        <v>1</v>
      </c>
      <c r="L5">
        <v>100</v>
      </c>
      <c r="M5">
        <f t="shared" ref="M5:M12" si="2">_xlfn.POISSON.DIST(K5,4.045483,FALSE)</f>
        <v>7.0801007373597249E-2</v>
      </c>
      <c r="N5">
        <f t="shared" ref="N5:N12" si="3">M5*1583</f>
        <v>112.07799467240444</v>
      </c>
      <c r="O5">
        <f t="shared" ref="O5:O12" si="4">ROUND(N5,0)</f>
        <v>112</v>
      </c>
    </row>
    <row r="6" spans="1:15" x14ac:dyDescent="0.3">
      <c r="A6">
        <v>2</v>
      </c>
      <c r="B6">
        <v>190</v>
      </c>
      <c r="C6">
        <f>BINOMDIST(A6,B14,B16,FALSE)</f>
        <v>0.10445746023853716</v>
      </c>
      <c r="D6">
        <f>1583*C6</f>
        <v>165.35615955760434</v>
      </c>
      <c r="E6">
        <f t="shared" si="0"/>
        <v>165</v>
      </c>
      <c r="G6">
        <f t="shared" si="1"/>
        <v>380</v>
      </c>
      <c r="K6">
        <v>2</v>
      </c>
      <c r="L6">
        <v>190</v>
      </c>
      <c r="M6">
        <f t="shared" si="2"/>
        <v>0.14321213585638118</v>
      </c>
      <c r="N6">
        <f t="shared" si="3"/>
        <v>226.70481106065139</v>
      </c>
      <c r="O6">
        <f t="shared" si="4"/>
        <v>227</v>
      </c>
    </row>
    <row r="7" spans="1:15" x14ac:dyDescent="0.3">
      <c r="A7">
        <v>3</v>
      </c>
      <c r="B7">
        <v>280</v>
      </c>
      <c r="C7">
        <f>BINOMDIST(A7,B14,B16,FALSE)</f>
        <v>0.2137206311078568</v>
      </c>
      <c r="D7">
        <f t="shared" ref="D7:D12" si="5">1583*C7</f>
        <v>338.31975904373729</v>
      </c>
      <c r="E7">
        <f t="shared" si="0"/>
        <v>338</v>
      </c>
      <c r="G7">
        <f t="shared" si="1"/>
        <v>840</v>
      </c>
      <c r="K7">
        <v>3</v>
      </c>
      <c r="L7">
        <v>280</v>
      </c>
      <c r="M7">
        <f t="shared" si="2"/>
        <v>0.19312075366689349</v>
      </c>
      <c r="N7">
        <f t="shared" si="3"/>
        <v>305.7101530546924</v>
      </c>
      <c r="O7">
        <f t="shared" si="4"/>
        <v>306</v>
      </c>
    </row>
    <row r="8" spans="1:15" x14ac:dyDescent="0.3">
      <c r="A8">
        <v>4</v>
      </c>
      <c r="B8">
        <v>350</v>
      </c>
      <c r="C8">
        <f>BINOMDIST(A8,B14,B16,FALSE)</f>
        <v>0.27329611054606928</v>
      </c>
      <c r="D8">
        <f t="shared" si="5"/>
        <v>432.62774299442765</v>
      </c>
      <c r="E8">
        <f t="shared" si="0"/>
        <v>433</v>
      </c>
      <c r="G8">
        <f t="shared" si="1"/>
        <v>1400</v>
      </c>
      <c r="K8">
        <v>4</v>
      </c>
      <c r="L8">
        <v>350</v>
      </c>
      <c r="M8">
        <f t="shared" si="2"/>
        <v>0.19531668147665132</v>
      </c>
      <c r="N8">
        <f t="shared" si="3"/>
        <v>309.18630677753902</v>
      </c>
      <c r="O8">
        <f t="shared" si="4"/>
        <v>309</v>
      </c>
    </row>
    <row r="9" spans="1:15" x14ac:dyDescent="0.3">
      <c r="A9">
        <v>5</v>
      </c>
      <c r="B9">
        <v>300</v>
      </c>
      <c r="C9">
        <f>BINOMDIST(A9,B14,B16,FALSE)</f>
        <v>0.22366623539131336</v>
      </c>
      <c r="D9">
        <f t="shared" si="5"/>
        <v>354.06365062444905</v>
      </c>
      <c r="E9">
        <f t="shared" si="0"/>
        <v>354</v>
      </c>
      <c r="G9">
        <f t="shared" si="1"/>
        <v>1500</v>
      </c>
      <c r="K9">
        <v>5</v>
      </c>
      <c r="L9">
        <v>300</v>
      </c>
      <c r="M9">
        <f t="shared" si="2"/>
        <v>0.15803006290604152</v>
      </c>
      <c r="N9">
        <f t="shared" si="3"/>
        <v>250.16158958026372</v>
      </c>
      <c r="O9">
        <f t="shared" si="4"/>
        <v>250</v>
      </c>
    </row>
    <row r="10" spans="1:15" x14ac:dyDescent="0.3">
      <c r="A10">
        <v>6</v>
      </c>
      <c r="B10">
        <v>220</v>
      </c>
      <c r="C10">
        <f>BINOMDIST(A10,B14,B16,FALSE)</f>
        <v>0.11440563669696253</v>
      </c>
      <c r="D10">
        <f t="shared" si="5"/>
        <v>181.10412289129169</v>
      </c>
      <c r="E10">
        <f t="shared" si="0"/>
        <v>181</v>
      </c>
      <c r="G10">
        <f t="shared" si="1"/>
        <v>1320</v>
      </c>
      <c r="K10">
        <v>6</v>
      </c>
      <c r="L10">
        <v>220</v>
      </c>
      <c r="M10">
        <f t="shared" si="2"/>
        <v>0.1065513221625536</v>
      </c>
      <c r="N10">
        <f t="shared" si="3"/>
        <v>168.67074298332236</v>
      </c>
      <c r="O10">
        <f t="shared" si="4"/>
        <v>169</v>
      </c>
    </row>
    <row r="11" spans="1:15" x14ac:dyDescent="0.3">
      <c r="A11">
        <v>7</v>
      </c>
      <c r="B11">
        <v>120</v>
      </c>
      <c r="C11">
        <f>BINOMDIST(A11,B14,B16,FALSE)</f>
        <v>3.3439237672631135E-2</v>
      </c>
      <c r="D11">
        <f t="shared" si="5"/>
        <v>52.934313235775086</v>
      </c>
      <c r="E11">
        <f t="shared" si="0"/>
        <v>53</v>
      </c>
      <c r="G11">
        <f t="shared" si="1"/>
        <v>840</v>
      </c>
      <c r="K11">
        <v>7</v>
      </c>
      <c r="L11">
        <v>120</v>
      </c>
      <c r="M11">
        <f t="shared" si="2"/>
        <v>6.1578794633733391E-2</v>
      </c>
      <c r="N11">
        <f t="shared" si="3"/>
        <v>97.479231905199953</v>
      </c>
      <c r="O11">
        <f t="shared" si="4"/>
        <v>97</v>
      </c>
    </row>
    <row r="12" spans="1:15" x14ac:dyDescent="0.3">
      <c r="A12">
        <v>8</v>
      </c>
      <c r="B12">
        <v>3</v>
      </c>
      <c r="C12">
        <f>BINOMDIST(A12,B14,B16,FALSE)</f>
        <v>4.2760558717158479E-3</v>
      </c>
      <c r="D12">
        <f t="shared" si="5"/>
        <v>6.768996444926187</v>
      </c>
      <c r="E12">
        <f t="shared" si="0"/>
        <v>7</v>
      </c>
      <c r="G12">
        <f t="shared" si="1"/>
        <v>24</v>
      </c>
      <c r="K12">
        <v>8</v>
      </c>
      <c r="L12">
        <v>3</v>
      </c>
      <c r="M12">
        <f t="shared" si="2"/>
        <v>3.1139495856407455E-2</v>
      </c>
      <c r="N12">
        <f t="shared" si="3"/>
        <v>49.293821940693</v>
      </c>
      <c r="O12">
        <f t="shared" si="4"/>
        <v>49</v>
      </c>
    </row>
    <row r="13" spans="1:15" x14ac:dyDescent="0.3">
      <c r="A13" t="s">
        <v>120</v>
      </c>
      <c r="B13">
        <f>SUM(B4:B12)</f>
        <v>1583</v>
      </c>
      <c r="E13">
        <f>SUM(E4:E12)</f>
        <v>1583</v>
      </c>
      <c r="G13">
        <f>SUM(G4:G12)</f>
        <v>6404</v>
      </c>
    </row>
    <row r="14" spans="1:15" x14ac:dyDescent="0.3">
      <c r="A14" t="s">
        <v>3</v>
      </c>
      <c r="B14">
        <v>8</v>
      </c>
      <c r="F14" t="s">
        <v>43</v>
      </c>
      <c r="G14">
        <f>G13/B13</f>
        <v>4.045483259633607</v>
      </c>
    </row>
    <row r="15" spans="1:15" x14ac:dyDescent="0.3">
      <c r="A15" t="s">
        <v>43</v>
      </c>
      <c r="B15">
        <f>G14</f>
        <v>4.045483259633607</v>
      </c>
    </row>
    <row r="16" spans="1:15" x14ac:dyDescent="0.3">
      <c r="A16" t="s">
        <v>157</v>
      </c>
      <c r="B16">
        <f>G14/B14</f>
        <v>0.50568540745420087</v>
      </c>
    </row>
    <row r="17" spans="1:13" x14ac:dyDescent="0.3">
      <c r="A17" t="s">
        <v>158</v>
      </c>
      <c r="B17">
        <f>1-B16</f>
        <v>0.49431459254579913</v>
      </c>
    </row>
    <row r="19" spans="1:13" x14ac:dyDescent="0.3">
      <c r="A19" t="s">
        <v>162</v>
      </c>
      <c r="B19" t="s">
        <v>163</v>
      </c>
      <c r="C19" t="s">
        <v>164</v>
      </c>
      <c r="D19" t="s">
        <v>165</v>
      </c>
      <c r="K19" t="s">
        <v>162</v>
      </c>
      <c r="L19" t="s">
        <v>163</v>
      </c>
      <c r="M19" t="s">
        <v>164</v>
      </c>
    </row>
    <row r="20" spans="1:13" x14ac:dyDescent="0.3">
      <c r="A20">
        <v>0</v>
      </c>
      <c r="B20">
        <v>20</v>
      </c>
      <c r="C20">
        <v>5.6429</v>
      </c>
      <c r="D20">
        <f>ROUND(C20,0)</f>
        <v>6</v>
      </c>
      <c r="K20">
        <v>0</v>
      </c>
      <c r="L20">
        <v>20</v>
      </c>
      <c r="M20">
        <v>28</v>
      </c>
    </row>
    <row r="21" spans="1:13" x14ac:dyDescent="0.3">
      <c r="A21">
        <v>1</v>
      </c>
      <c r="B21">
        <v>100</v>
      </c>
      <c r="C21">
        <v>46.182200000000002</v>
      </c>
      <c r="D21">
        <f t="shared" ref="D21:D28" si="6">ROUND(C21,0)</f>
        <v>46</v>
      </c>
      <c r="K21">
        <v>1</v>
      </c>
      <c r="L21">
        <v>100</v>
      </c>
      <c r="M21">
        <v>112</v>
      </c>
    </row>
    <row r="22" spans="1:13" x14ac:dyDescent="0.3">
      <c r="A22">
        <v>2</v>
      </c>
      <c r="B22">
        <v>190</v>
      </c>
      <c r="C22">
        <v>165.3562</v>
      </c>
      <c r="D22">
        <f t="shared" si="6"/>
        <v>165</v>
      </c>
      <c r="K22">
        <v>2</v>
      </c>
      <c r="L22">
        <v>190</v>
      </c>
      <c r="M22">
        <v>227</v>
      </c>
    </row>
    <row r="23" spans="1:13" x14ac:dyDescent="0.3">
      <c r="A23">
        <v>3</v>
      </c>
      <c r="B23">
        <v>280</v>
      </c>
      <c r="C23">
        <v>338.31979999999999</v>
      </c>
      <c r="D23">
        <f t="shared" si="6"/>
        <v>338</v>
      </c>
      <c r="K23">
        <v>3</v>
      </c>
      <c r="L23">
        <v>280</v>
      </c>
      <c r="M23">
        <v>306</v>
      </c>
    </row>
    <row r="24" spans="1:13" x14ac:dyDescent="0.3">
      <c r="A24">
        <v>4</v>
      </c>
      <c r="B24">
        <v>350</v>
      </c>
      <c r="C24">
        <v>432.6277</v>
      </c>
      <c r="D24">
        <f t="shared" si="6"/>
        <v>433</v>
      </c>
      <c r="K24">
        <v>4</v>
      </c>
      <c r="L24">
        <v>350</v>
      </c>
      <c r="M24">
        <v>309</v>
      </c>
    </row>
    <row r="25" spans="1:13" x14ac:dyDescent="0.3">
      <c r="A25">
        <v>5</v>
      </c>
      <c r="B25">
        <v>300</v>
      </c>
      <c r="C25">
        <v>5.6429780000000003</v>
      </c>
      <c r="D25">
        <f t="shared" si="6"/>
        <v>6</v>
      </c>
      <c r="K25">
        <v>5</v>
      </c>
      <c r="L25">
        <v>300</v>
      </c>
      <c r="M25">
        <v>250</v>
      </c>
    </row>
    <row r="26" spans="1:13" x14ac:dyDescent="0.3">
      <c r="A26">
        <v>6</v>
      </c>
      <c r="B26">
        <v>220</v>
      </c>
      <c r="C26">
        <v>181.10409999999999</v>
      </c>
      <c r="D26">
        <f t="shared" si="6"/>
        <v>181</v>
      </c>
      <c r="K26">
        <v>6</v>
      </c>
      <c r="L26">
        <v>220</v>
      </c>
      <c r="M26">
        <v>169</v>
      </c>
    </row>
    <row r="27" spans="1:13" x14ac:dyDescent="0.3">
      <c r="A27">
        <v>7</v>
      </c>
      <c r="B27">
        <v>120</v>
      </c>
      <c r="C27">
        <v>52.934310000000004</v>
      </c>
      <c r="D27">
        <f t="shared" si="6"/>
        <v>53</v>
      </c>
      <c r="K27">
        <v>7</v>
      </c>
      <c r="L27">
        <v>120</v>
      </c>
      <c r="M27">
        <v>97</v>
      </c>
    </row>
    <row r="28" spans="1:13" x14ac:dyDescent="0.3">
      <c r="A28">
        <v>8</v>
      </c>
      <c r="B28">
        <v>3</v>
      </c>
      <c r="C28">
        <v>6.7689959999999996</v>
      </c>
      <c r="D28">
        <f t="shared" si="6"/>
        <v>7</v>
      </c>
      <c r="K28">
        <v>8</v>
      </c>
      <c r="L28">
        <v>3</v>
      </c>
      <c r="M28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37DD-DEC9-4C94-9172-557F626BB474}">
  <dimension ref="A1:I17"/>
  <sheetViews>
    <sheetView tabSelected="1" workbookViewId="0">
      <selection activeCell="I6" sqref="I6"/>
    </sheetView>
  </sheetViews>
  <sheetFormatPr defaultRowHeight="14.4" x14ac:dyDescent="0.3"/>
  <sheetData>
    <row r="1" spans="1:9" x14ac:dyDescent="0.3">
      <c r="A1" t="s">
        <v>19</v>
      </c>
    </row>
    <row r="2" spans="1:9" x14ac:dyDescent="0.3">
      <c r="A2" t="s">
        <v>20</v>
      </c>
      <c r="C2" t="s">
        <v>2</v>
      </c>
      <c r="I2" t="s">
        <v>25</v>
      </c>
    </row>
    <row r="3" spans="1:9" x14ac:dyDescent="0.3">
      <c r="A3">
        <v>9</v>
      </c>
      <c r="C3" t="s">
        <v>21</v>
      </c>
      <c r="D3">
        <f>MIN(A3:A17)</f>
        <v>9</v>
      </c>
      <c r="F3">
        <v>0</v>
      </c>
      <c r="G3" t="s">
        <v>21</v>
      </c>
      <c r="H3">
        <v>9</v>
      </c>
      <c r="I3">
        <f>H3-H2</f>
        <v>9</v>
      </c>
    </row>
    <row r="4" spans="1:9" x14ac:dyDescent="0.3">
      <c r="A4">
        <v>33</v>
      </c>
      <c r="C4" t="s">
        <v>22</v>
      </c>
      <c r="D4">
        <f>MAX(A3:A17)</f>
        <v>50</v>
      </c>
      <c r="F4">
        <v>1</v>
      </c>
      <c r="G4" t="s">
        <v>9</v>
      </c>
      <c r="H4">
        <v>16</v>
      </c>
      <c r="I4">
        <f>H4-H3</f>
        <v>7</v>
      </c>
    </row>
    <row r="5" spans="1:9" x14ac:dyDescent="0.3">
      <c r="A5">
        <v>47</v>
      </c>
      <c r="C5" t="s">
        <v>9</v>
      </c>
      <c r="D5">
        <f>QUARTILE(A3:A17,1)</f>
        <v>16</v>
      </c>
      <c r="F5">
        <v>2</v>
      </c>
      <c r="G5" t="s">
        <v>23</v>
      </c>
      <c r="H5">
        <v>25</v>
      </c>
      <c r="I5">
        <f t="shared" ref="I5:I7" si="0">H5-H4</f>
        <v>9</v>
      </c>
    </row>
    <row r="6" spans="1:9" x14ac:dyDescent="0.3">
      <c r="A6">
        <v>15</v>
      </c>
      <c r="C6" t="s">
        <v>10</v>
      </c>
      <c r="D6">
        <f>QUARTILE(A3:A17,3)</f>
        <v>30</v>
      </c>
      <c r="F6">
        <v>3</v>
      </c>
      <c r="G6" t="s">
        <v>24</v>
      </c>
      <c r="H6">
        <v>30</v>
      </c>
      <c r="I6">
        <f t="shared" si="0"/>
        <v>5</v>
      </c>
    </row>
    <row r="7" spans="1:9" x14ac:dyDescent="0.3">
      <c r="A7">
        <v>22</v>
      </c>
      <c r="C7" t="s">
        <v>23</v>
      </c>
      <c r="D7">
        <f>MEDIAN(A3:A17)</f>
        <v>25</v>
      </c>
      <c r="F7">
        <v>4</v>
      </c>
      <c r="G7" t="s">
        <v>22</v>
      </c>
      <c r="H7">
        <v>50</v>
      </c>
      <c r="I7">
        <f t="shared" si="0"/>
        <v>20</v>
      </c>
    </row>
    <row r="8" spans="1:9" x14ac:dyDescent="0.3">
      <c r="A8">
        <v>17</v>
      </c>
    </row>
    <row r="9" spans="1:9" x14ac:dyDescent="0.3">
      <c r="A9">
        <v>18</v>
      </c>
    </row>
    <row r="10" spans="1:9" x14ac:dyDescent="0.3">
      <c r="A10">
        <v>45</v>
      </c>
    </row>
    <row r="11" spans="1:9" x14ac:dyDescent="0.3">
      <c r="A11">
        <v>50</v>
      </c>
    </row>
    <row r="12" spans="1:9" x14ac:dyDescent="0.3">
      <c r="A12">
        <v>26</v>
      </c>
    </row>
    <row r="13" spans="1:9" x14ac:dyDescent="0.3">
      <c r="A13">
        <v>25</v>
      </c>
    </row>
    <row r="14" spans="1:9" x14ac:dyDescent="0.3">
      <c r="A14">
        <v>27</v>
      </c>
    </row>
    <row r="15" spans="1:9" x14ac:dyDescent="0.3">
      <c r="A15">
        <v>9</v>
      </c>
    </row>
    <row r="16" spans="1:9" x14ac:dyDescent="0.3">
      <c r="A16">
        <v>27</v>
      </c>
    </row>
    <row r="17" spans="1:1" x14ac:dyDescent="0.3">
      <c r="A17">
        <v>10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0327-A3D8-4004-8389-ACD3F2D6D95E}">
  <dimension ref="A1:Q18"/>
  <sheetViews>
    <sheetView workbookViewId="0">
      <selection activeCell="L19" sqref="L19"/>
    </sheetView>
  </sheetViews>
  <sheetFormatPr defaultRowHeight="14.4" x14ac:dyDescent="0.3"/>
  <sheetData>
    <row r="1" spans="1:17" x14ac:dyDescent="0.3">
      <c r="A1" t="s">
        <v>26</v>
      </c>
    </row>
    <row r="2" spans="1:17" x14ac:dyDescent="0.3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</row>
    <row r="3" spans="1:17" x14ac:dyDescent="0.3">
      <c r="A3" t="s">
        <v>34</v>
      </c>
      <c r="B3">
        <v>12</v>
      </c>
      <c r="C3">
        <v>27</v>
      </c>
      <c r="D3">
        <v>34</v>
      </c>
      <c r="E3">
        <v>24</v>
      </c>
      <c r="F3">
        <v>15</v>
      </c>
      <c r="G3">
        <v>8</v>
      </c>
    </row>
    <row r="4" spans="1:17" x14ac:dyDescent="0.3">
      <c r="A4" t="s">
        <v>35</v>
      </c>
    </row>
    <row r="7" spans="1:17" ht="16.2" x14ac:dyDescent="0.3">
      <c r="A7" t="s">
        <v>36</v>
      </c>
      <c r="B7" t="s">
        <v>37</v>
      </c>
      <c r="C7" t="s">
        <v>38</v>
      </c>
      <c r="D7" t="s">
        <v>34</v>
      </c>
      <c r="E7" t="s">
        <v>39</v>
      </c>
      <c r="F7" t="s">
        <v>40</v>
      </c>
      <c r="G7" t="s">
        <v>41</v>
      </c>
      <c r="H7" t="s">
        <v>42</v>
      </c>
      <c r="K7" t="s">
        <v>43</v>
      </c>
      <c r="L7">
        <f>E14/D14</f>
        <v>454</v>
      </c>
      <c r="P7" t="s">
        <v>46</v>
      </c>
      <c r="Q7">
        <f>34-27</f>
        <v>7</v>
      </c>
    </row>
    <row r="8" spans="1:17" x14ac:dyDescent="0.3">
      <c r="A8">
        <v>399.5</v>
      </c>
      <c r="B8">
        <v>419.5</v>
      </c>
      <c r="C8">
        <f>SUM(A8,B8)/2</f>
        <v>409.5</v>
      </c>
      <c r="D8">
        <v>12</v>
      </c>
      <c r="E8">
        <f>D8*C8</f>
        <v>4914</v>
      </c>
      <c r="F8">
        <f>D8</f>
        <v>12</v>
      </c>
      <c r="G8">
        <f>C8*C8</f>
        <v>167690.25</v>
      </c>
      <c r="H8">
        <f>D8*G8</f>
        <v>2012283</v>
      </c>
      <c r="K8" t="s">
        <v>6</v>
      </c>
      <c r="L8">
        <f>D14/2</f>
        <v>60</v>
      </c>
      <c r="M8">
        <f>(L8-F9)/D10</f>
        <v>0.61764705882352944</v>
      </c>
      <c r="N8">
        <f>A10+(M8*20)</f>
        <v>451.85294117647061</v>
      </c>
      <c r="P8" t="s">
        <v>47</v>
      </c>
      <c r="Q8">
        <f>D10-D11</f>
        <v>10</v>
      </c>
    </row>
    <row r="9" spans="1:17" x14ac:dyDescent="0.3">
      <c r="A9">
        <v>419.5</v>
      </c>
      <c r="B9">
        <v>439.5</v>
      </c>
      <c r="C9">
        <f t="shared" ref="C9:C13" si="0">SUM(A9,B9)/2</f>
        <v>429.5</v>
      </c>
      <c r="D9">
        <v>27</v>
      </c>
      <c r="E9">
        <f t="shared" ref="E9:E13" si="1">D9*C9</f>
        <v>11596.5</v>
      </c>
      <c r="F9">
        <f>F8+D9</f>
        <v>39</v>
      </c>
      <c r="G9">
        <f t="shared" ref="G9:G13" si="2">C9*C9</f>
        <v>184470.25</v>
      </c>
      <c r="H9">
        <f t="shared" ref="H9:H13" si="3">D9*G9</f>
        <v>4980696.75</v>
      </c>
      <c r="K9" t="s">
        <v>7</v>
      </c>
      <c r="L9">
        <f>A10+Q7/(Q7+Q8)*20</f>
        <v>447.73529411764707</v>
      </c>
      <c r="P9" t="s">
        <v>9</v>
      </c>
      <c r="Q9">
        <f>D14/4</f>
        <v>30</v>
      </c>
    </row>
    <row r="10" spans="1:17" x14ac:dyDescent="0.3">
      <c r="A10">
        <v>439.5</v>
      </c>
      <c r="B10">
        <v>459.5</v>
      </c>
      <c r="C10">
        <f t="shared" si="0"/>
        <v>449.5</v>
      </c>
      <c r="D10">
        <v>34</v>
      </c>
      <c r="E10">
        <f t="shared" si="1"/>
        <v>15283</v>
      </c>
      <c r="F10">
        <f t="shared" ref="F10:F13" si="4">F9+D10</f>
        <v>73</v>
      </c>
      <c r="G10">
        <f t="shared" si="2"/>
        <v>202050.25</v>
      </c>
      <c r="H10">
        <f t="shared" si="3"/>
        <v>6869708.5</v>
      </c>
      <c r="K10" t="s">
        <v>44</v>
      </c>
      <c r="P10" t="s">
        <v>10</v>
      </c>
      <c r="Q10">
        <f>Q9*3</f>
        <v>90</v>
      </c>
    </row>
    <row r="11" spans="1:17" x14ac:dyDescent="0.3">
      <c r="A11">
        <v>459.5</v>
      </c>
      <c r="B11">
        <v>479.5</v>
      </c>
      <c r="C11">
        <f t="shared" si="0"/>
        <v>469.5</v>
      </c>
      <c r="D11">
        <v>24</v>
      </c>
      <c r="E11">
        <f t="shared" si="1"/>
        <v>11268</v>
      </c>
      <c r="F11">
        <f t="shared" si="4"/>
        <v>97</v>
      </c>
      <c r="G11">
        <f t="shared" si="2"/>
        <v>220430.25</v>
      </c>
      <c r="H11">
        <f t="shared" si="3"/>
        <v>5290326</v>
      </c>
      <c r="P11" t="s">
        <v>48</v>
      </c>
      <c r="Q11">
        <f>90*(D14/100)</f>
        <v>108</v>
      </c>
    </row>
    <row r="12" spans="1:17" x14ac:dyDescent="0.3">
      <c r="A12">
        <v>479.5</v>
      </c>
      <c r="B12">
        <v>499.5</v>
      </c>
      <c r="C12">
        <f t="shared" si="0"/>
        <v>489.5</v>
      </c>
      <c r="D12">
        <v>15</v>
      </c>
      <c r="E12">
        <f t="shared" si="1"/>
        <v>7342.5</v>
      </c>
      <c r="F12">
        <f t="shared" si="4"/>
        <v>112</v>
      </c>
      <c r="G12">
        <f t="shared" si="2"/>
        <v>239610.25</v>
      </c>
      <c r="H12">
        <f t="shared" si="3"/>
        <v>3594153.75</v>
      </c>
      <c r="P12" t="s">
        <v>49</v>
      </c>
      <c r="Q12">
        <f>10*(D14/100)</f>
        <v>12</v>
      </c>
    </row>
    <row r="13" spans="1:17" x14ac:dyDescent="0.3">
      <c r="A13">
        <v>499.5</v>
      </c>
      <c r="B13">
        <v>519.5</v>
      </c>
      <c r="C13">
        <f t="shared" si="0"/>
        <v>509.5</v>
      </c>
      <c r="D13">
        <v>8</v>
      </c>
      <c r="E13">
        <f t="shared" si="1"/>
        <v>4076</v>
      </c>
      <c r="F13">
        <f t="shared" si="4"/>
        <v>120</v>
      </c>
      <c r="G13">
        <f t="shared" si="2"/>
        <v>259590.25</v>
      </c>
      <c r="H13">
        <f t="shared" si="3"/>
        <v>2076722</v>
      </c>
      <c r="K13" t="s">
        <v>45</v>
      </c>
      <c r="L13">
        <f>25*D14/100</f>
        <v>30</v>
      </c>
    </row>
    <row r="14" spans="1:17" x14ac:dyDescent="0.3">
      <c r="D14">
        <f>SUM(D8:D13)</f>
        <v>120</v>
      </c>
      <c r="E14">
        <f>SUM(E8:E13)</f>
        <v>54480</v>
      </c>
      <c r="F14">
        <f>F13</f>
        <v>120</v>
      </c>
      <c r="G14">
        <f>SUM(G8:G13)</f>
        <v>1273841.5</v>
      </c>
      <c r="H14">
        <f>SUM(H8:H13)</f>
        <v>24823890</v>
      </c>
      <c r="L14">
        <f>A9+(L13-F8)/D9*20</f>
        <v>432.83333333333331</v>
      </c>
    </row>
    <row r="17" spans="11:12" x14ac:dyDescent="0.3">
      <c r="K17" t="s">
        <v>9</v>
      </c>
      <c r="L17">
        <f>A9+(Q9-F8)/D9*20</f>
        <v>432.83333333333331</v>
      </c>
    </row>
    <row r="18" spans="11:12" x14ac:dyDescent="0.3">
      <c r="K18" t="s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8B4EE-01FB-4476-9447-3E325D615402}">
  <dimension ref="A1:U49"/>
  <sheetViews>
    <sheetView topLeftCell="A11" workbookViewId="0">
      <selection activeCell="M6" sqref="M6"/>
    </sheetView>
  </sheetViews>
  <sheetFormatPr defaultRowHeight="14.4" x14ac:dyDescent="0.3"/>
  <cols>
    <col min="1" max="1" width="14.88671875" customWidth="1"/>
    <col min="2" max="2" width="17.88671875" customWidth="1"/>
  </cols>
  <sheetData>
    <row r="1" spans="1:21" x14ac:dyDescent="0.3">
      <c r="A1" t="s">
        <v>50</v>
      </c>
    </row>
    <row r="2" spans="1:21" ht="16.2" x14ac:dyDescent="0.3">
      <c r="A2" t="s">
        <v>51</v>
      </c>
      <c r="B2" t="s">
        <v>52</v>
      </c>
      <c r="C2" t="s">
        <v>53</v>
      </c>
      <c r="D2" t="s">
        <v>41</v>
      </c>
      <c r="E2" t="s">
        <v>54</v>
      </c>
    </row>
    <row r="3" spans="1:21" x14ac:dyDescent="0.3">
      <c r="A3">
        <v>4.0999999999999996</v>
      </c>
      <c r="B3">
        <v>122</v>
      </c>
      <c r="C3">
        <f>A3*B3</f>
        <v>500.19999999999993</v>
      </c>
      <c r="D3">
        <f>A3*A3</f>
        <v>16.809999999999999</v>
      </c>
      <c r="E3">
        <f>B3*B3</f>
        <v>14884</v>
      </c>
    </row>
    <row r="4" spans="1:21" x14ac:dyDescent="0.3">
      <c r="A4">
        <v>4.3</v>
      </c>
      <c r="B4">
        <v>117</v>
      </c>
      <c r="C4">
        <f t="shared" ref="C4:C11" si="0">A4*B4</f>
        <v>503.09999999999997</v>
      </c>
      <c r="D4">
        <f t="shared" ref="D4:D11" si="1">A4*A4</f>
        <v>18.489999999999998</v>
      </c>
      <c r="E4">
        <f t="shared" ref="E4:E11" si="2">B4*B4</f>
        <v>13689</v>
      </c>
      <c r="H4" t="s">
        <v>3</v>
      </c>
      <c r="I4">
        <f>COUNT(A3:A11)</f>
        <v>9</v>
      </c>
      <c r="K4" t="s">
        <v>63</v>
      </c>
      <c r="L4">
        <f>SQRT(I9-I10)</f>
        <v>85.07643622061282</v>
      </c>
    </row>
    <row r="5" spans="1:21" x14ac:dyDescent="0.3">
      <c r="A5">
        <v>5.7</v>
      </c>
      <c r="B5">
        <v>112</v>
      </c>
      <c r="C5">
        <f t="shared" si="0"/>
        <v>638.4</v>
      </c>
      <c r="D5">
        <f t="shared" si="1"/>
        <v>32.49</v>
      </c>
      <c r="E5">
        <f t="shared" si="2"/>
        <v>12544</v>
      </c>
      <c r="H5" t="s">
        <v>56</v>
      </c>
      <c r="I5">
        <f>I4*C12</f>
        <v>44609.399999999994</v>
      </c>
      <c r="K5" s="1" t="s">
        <v>62</v>
      </c>
      <c r="L5">
        <f>SQRT(I7-I8)</f>
        <v>13.165864954495028</v>
      </c>
    </row>
    <row r="6" spans="1:21" x14ac:dyDescent="0.3">
      <c r="A6">
        <v>5.4</v>
      </c>
      <c r="B6">
        <v>114</v>
      </c>
      <c r="C6">
        <f t="shared" si="0"/>
        <v>615.6</v>
      </c>
      <c r="D6">
        <f t="shared" si="1"/>
        <v>29.160000000000004</v>
      </c>
      <c r="E6">
        <f t="shared" si="2"/>
        <v>12996</v>
      </c>
      <c r="H6" t="s">
        <v>57</v>
      </c>
      <c r="I6">
        <f>A12*B12</f>
        <v>45705.599999999999</v>
      </c>
      <c r="K6" t="s">
        <v>55</v>
      </c>
      <c r="L6">
        <f>(I5-I6)/(L4*L5)</f>
        <v>-0.97865836429372344</v>
      </c>
      <c r="T6" t="s">
        <v>100</v>
      </c>
      <c r="U6" t="s">
        <v>101</v>
      </c>
    </row>
    <row r="7" spans="1:21" ht="16.2" x14ac:dyDescent="0.3">
      <c r="A7">
        <v>5.9</v>
      </c>
      <c r="B7">
        <v>110</v>
      </c>
      <c r="C7">
        <f t="shared" si="0"/>
        <v>649</v>
      </c>
      <c r="D7">
        <f t="shared" si="1"/>
        <v>34.81</v>
      </c>
      <c r="E7">
        <f t="shared" si="2"/>
        <v>12100</v>
      </c>
      <c r="H7" t="s">
        <v>58</v>
      </c>
      <c r="I7">
        <f>I4*D12</f>
        <v>2039.58</v>
      </c>
      <c r="K7" t="s">
        <v>64</v>
      </c>
      <c r="L7">
        <f>(1-L6*L6)/SQRT(I4)</f>
        <v>1.4075935332644582E-2</v>
      </c>
      <c r="S7" t="s">
        <v>100</v>
      </c>
      <c r="T7">
        <v>1</v>
      </c>
    </row>
    <row r="8" spans="1:21" ht="16.2" x14ac:dyDescent="0.3">
      <c r="A8">
        <v>5</v>
      </c>
      <c r="B8">
        <v>114</v>
      </c>
      <c r="C8">
        <f t="shared" si="0"/>
        <v>570</v>
      </c>
      <c r="D8">
        <f t="shared" si="1"/>
        <v>25</v>
      </c>
      <c r="E8">
        <f t="shared" si="2"/>
        <v>12996</v>
      </c>
      <c r="H8" t="s">
        <v>59</v>
      </c>
      <c r="I8">
        <f>A12*A12</f>
        <v>1866.2399999999996</v>
      </c>
      <c r="K8" t="s">
        <v>65</v>
      </c>
      <c r="L8">
        <f>SLOPE(B3:B11,A3:A11)</f>
        <v>-6.32398753894081</v>
      </c>
      <c r="S8" t="s">
        <v>101</v>
      </c>
      <c r="T8">
        <v>0.98860176381134168</v>
      </c>
      <c r="U8">
        <v>1</v>
      </c>
    </row>
    <row r="9" spans="1:21" x14ac:dyDescent="0.3">
      <c r="A9">
        <v>3.6</v>
      </c>
      <c r="B9">
        <v>128</v>
      </c>
      <c r="C9">
        <f t="shared" si="0"/>
        <v>460.8</v>
      </c>
      <c r="D9">
        <f t="shared" si="1"/>
        <v>12.96</v>
      </c>
      <c r="E9">
        <f t="shared" si="2"/>
        <v>16384</v>
      </c>
      <c r="H9" t="s">
        <v>60</v>
      </c>
      <c r="I9">
        <f>I4*E12</f>
        <v>1126602</v>
      </c>
      <c r="K9" t="s">
        <v>66</v>
      </c>
      <c r="L9">
        <f>INTERCEPT(B3:B11,A3:A11)</f>
        <v>147.91069574247143</v>
      </c>
    </row>
    <row r="10" spans="1:21" x14ac:dyDescent="0.3">
      <c r="A10">
        <v>1.9</v>
      </c>
      <c r="B10">
        <v>137</v>
      </c>
      <c r="C10">
        <f t="shared" si="0"/>
        <v>260.3</v>
      </c>
      <c r="D10">
        <f t="shared" si="1"/>
        <v>3.61</v>
      </c>
      <c r="E10">
        <f t="shared" si="2"/>
        <v>18769</v>
      </c>
      <c r="H10" t="s">
        <v>61</v>
      </c>
      <c r="I10">
        <f>B12*B12</f>
        <v>1119364</v>
      </c>
      <c r="K10" t="s">
        <v>67</v>
      </c>
    </row>
    <row r="11" spans="1:21" x14ac:dyDescent="0.3">
      <c r="A11">
        <v>7.3</v>
      </c>
      <c r="B11">
        <v>104</v>
      </c>
      <c r="C11">
        <f t="shared" si="0"/>
        <v>759.19999999999993</v>
      </c>
      <c r="D11">
        <f t="shared" si="1"/>
        <v>53.29</v>
      </c>
      <c r="E11">
        <f t="shared" si="2"/>
        <v>10816</v>
      </c>
    </row>
    <row r="12" spans="1:21" x14ac:dyDescent="0.3">
      <c r="A12">
        <f>SUM(A3:A11)</f>
        <v>43.199999999999996</v>
      </c>
      <c r="B12">
        <f>SUM(B3:B11)</f>
        <v>1058</v>
      </c>
      <c r="C12">
        <f>SUM(C3:C11)</f>
        <v>4956.5999999999995</v>
      </c>
      <c r="D12">
        <f>SUM(D3:D11)</f>
        <v>226.62</v>
      </c>
      <c r="E12">
        <f>SUM(E3:E11)</f>
        <v>125178</v>
      </c>
    </row>
    <row r="17" spans="2:10" x14ac:dyDescent="0.3">
      <c r="B17" t="s">
        <v>68</v>
      </c>
    </row>
    <row r="18" spans="2:10" ht="15" thickBot="1" x14ac:dyDescent="0.35"/>
    <row r="19" spans="2:10" x14ac:dyDescent="0.3">
      <c r="B19" s="4" t="s">
        <v>69</v>
      </c>
      <c r="C19" s="4"/>
    </row>
    <row r="20" spans="2:10" x14ac:dyDescent="0.3">
      <c r="B20" t="s">
        <v>70</v>
      </c>
      <c r="C20">
        <v>0.97865836429372055</v>
      </c>
    </row>
    <row r="21" spans="2:10" x14ac:dyDescent="0.3">
      <c r="B21" t="s">
        <v>71</v>
      </c>
      <c r="C21">
        <v>0.95777219400206071</v>
      </c>
    </row>
    <row r="22" spans="2:10" x14ac:dyDescent="0.3">
      <c r="B22" t="s">
        <v>72</v>
      </c>
      <c r="C22">
        <v>0.95173965028806939</v>
      </c>
    </row>
    <row r="23" spans="2:10" x14ac:dyDescent="0.3">
      <c r="B23" t="s">
        <v>73</v>
      </c>
      <c r="C23">
        <v>2.202613382171005</v>
      </c>
    </row>
    <row r="24" spans="2:10" ht="15" thickBot="1" x14ac:dyDescent="0.35">
      <c r="B24" s="2" t="s">
        <v>74</v>
      </c>
      <c r="C24" s="2">
        <v>9</v>
      </c>
    </row>
    <row r="26" spans="2:10" ht="15" thickBot="1" x14ac:dyDescent="0.35">
      <c r="B26" t="s">
        <v>75</v>
      </c>
    </row>
    <row r="27" spans="2:10" x14ac:dyDescent="0.3">
      <c r="B27" s="3"/>
      <c r="C27" s="3" t="s">
        <v>80</v>
      </c>
      <c r="D27" s="3" t="s">
        <v>81</v>
      </c>
      <c r="E27" s="3" t="s">
        <v>82</v>
      </c>
      <c r="F27" s="3" t="s">
        <v>83</v>
      </c>
      <c r="G27" s="3" t="s">
        <v>84</v>
      </c>
    </row>
    <row r="28" spans="2:10" x14ac:dyDescent="0.3">
      <c r="B28" t="s">
        <v>76</v>
      </c>
      <c r="C28">
        <v>1</v>
      </c>
      <c r="D28">
        <v>770.26168224299056</v>
      </c>
      <c r="E28">
        <v>770.26168224299056</v>
      </c>
      <c r="F28">
        <v>158.76755136986301</v>
      </c>
      <c r="G28">
        <v>4.5791858625393371E-6</v>
      </c>
    </row>
    <row r="29" spans="2:10" x14ac:dyDescent="0.3">
      <c r="B29" t="s">
        <v>77</v>
      </c>
      <c r="C29">
        <v>7</v>
      </c>
      <c r="D29">
        <v>33.960539979231562</v>
      </c>
      <c r="E29">
        <v>4.8515057113187945</v>
      </c>
    </row>
    <row r="30" spans="2:10" ht="15" thickBot="1" x14ac:dyDescent="0.35">
      <c r="B30" s="2" t="s">
        <v>78</v>
      </c>
      <c r="C30" s="2">
        <v>8</v>
      </c>
      <c r="D30" s="2">
        <v>804.22222222222217</v>
      </c>
      <c r="E30" s="2"/>
      <c r="F30" s="2"/>
      <c r="G30" s="2"/>
    </row>
    <row r="31" spans="2:10" ht="15" thickBot="1" x14ac:dyDescent="0.35"/>
    <row r="32" spans="2:10" x14ac:dyDescent="0.3">
      <c r="B32" s="3"/>
      <c r="C32" s="3" t="s">
        <v>85</v>
      </c>
      <c r="D32" s="3" t="s">
        <v>73</v>
      </c>
      <c r="E32" s="3" t="s">
        <v>86</v>
      </c>
      <c r="F32" s="3" t="s">
        <v>87</v>
      </c>
      <c r="G32" s="3" t="s">
        <v>88</v>
      </c>
      <c r="H32" s="3" t="s">
        <v>89</v>
      </c>
      <c r="I32" s="3" t="s">
        <v>90</v>
      </c>
      <c r="J32" s="3" t="s">
        <v>91</v>
      </c>
    </row>
    <row r="33" spans="2:10" x14ac:dyDescent="0.3">
      <c r="B33" t="s">
        <v>79</v>
      </c>
      <c r="C33">
        <v>147.91069574247143</v>
      </c>
      <c r="D33">
        <v>2.5184770345945644</v>
      </c>
      <c r="E33">
        <v>58.730214217054694</v>
      </c>
      <c r="F33">
        <v>1.0889420875637581E-10</v>
      </c>
      <c r="G33">
        <v>141.95544386938965</v>
      </c>
      <c r="H33">
        <v>153.86594761555321</v>
      </c>
      <c r="I33">
        <v>141.95544386938965</v>
      </c>
      <c r="J33">
        <v>153.86594761555321</v>
      </c>
    </row>
    <row r="34" spans="2:10" ht="15" thickBot="1" x14ac:dyDescent="0.35">
      <c r="B34" s="2" t="s">
        <v>92</v>
      </c>
      <c r="C34" s="2">
        <v>-6.3239875389408091</v>
      </c>
      <c r="D34" s="2">
        <v>0.50189183690943173</v>
      </c>
      <c r="E34" s="2">
        <v>-12.600299653971053</v>
      </c>
      <c r="F34" s="2">
        <v>4.5791858625393371E-6</v>
      </c>
      <c r="G34" s="2">
        <v>-7.5107731481733024</v>
      </c>
      <c r="H34" s="2">
        <v>-5.1372019297083158</v>
      </c>
      <c r="I34" s="2">
        <v>-7.5107731481733024</v>
      </c>
      <c r="J34" s="2">
        <v>-5.1372019297083158</v>
      </c>
    </row>
    <row r="38" spans="2:10" x14ac:dyDescent="0.3">
      <c r="B38" t="s">
        <v>93</v>
      </c>
      <c r="F38" t="s">
        <v>97</v>
      </c>
    </row>
    <row r="39" spans="2:10" ht="15" thickBot="1" x14ac:dyDescent="0.35"/>
    <row r="40" spans="2:10" x14ac:dyDescent="0.3">
      <c r="B40" s="3" t="s">
        <v>94</v>
      </c>
      <c r="C40" s="3" t="s">
        <v>95</v>
      </c>
      <c r="D40" s="3" t="s">
        <v>96</v>
      </c>
      <c r="F40" s="3" t="s">
        <v>98</v>
      </c>
      <c r="G40" s="3" t="s">
        <v>99</v>
      </c>
    </row>
    <row r="41" spans="2:10" x14ac:dyDescent="0.3">
      <c r="B41">
        <v>1</v>
      </c>
      <c r="C41">
        <v>121.98234683281412</v>
      </c>
      <c r="D41">
        <v>1.7653167185883945E-2</v>
      </c>
      <c r="F41">
        <v>5.5555555555555554</v>
      </c>
      <c r="G41">
        <v>104</v>
      </c>
    </row>
    <row r="42" spans="2:10" x14ac:dyDescent="0.3">
      <c r="B42">
        <v>2</v>
      </c>
      <c r="C42">
        <v>120.71754932502596</v>
      </c>
      <c r="D42">
        <v>-3.7175493250259564</v>
      </c>
      <c r="F42">
        <v>16.666666666666664</v>
      </c>
      <c r="G42">
        <v>110</v>
      </c>
    </row>
    <row r="43" spans="2:10" x14ac:dyDescent="0.3">
      <c r="B43">
        <v>3</v>
      </c>
      <c r="C43">
        <v>111.86396677050882</v>
      </c>
      <c r="D43">
        <v>0.13603322949117569</v>
      </c>
      <c r="F43">
        <v>27.777777777777779</v>
      </c>
      <c r="G43">
        <v>112</v>
      </c>
    </row>
    <row r="44" spans="2:10" x14ac:dyDescent="0.3">
      <c r="B44">
        <v>4</v>
      </c>
      <c r="C44">
        <v>113.76116303219106</v>
      </c>
      <c r="D44">
        <v>0.23883696780893615</v>
      </c>
      <c r="F44">
        <v>38.888888888888886</v>
      </c>
      <c r="G44">
        <v>114</v>
      </c>
    </row>
    <row r="45" spans="2:10" x14ac:dyDescent="0.3">
      <c r="B45">
        <v>5</v>
      </c>
      <c r="C45">
        <v>110.59916926272066</v>
      </c>
      <c r="D45">
        <v>-0.59916926272066462</v>
      </c>
      <c r="F45">
        <v>50</v>
      </c>
      <c r="G45">
        <v>114</v>
      </c>
    </row>
    <row r="46" spans="2:10" x14ac:dyDescent="0.3">
      <c r="B46">
        <v>6</v>
      </c>
      <c r="C46">
        <v>116.29075804776738</v>
      </c>
      <c r="D46">
        <v>-2.2907580477673832</v>
      </c>
      <c r="F46">
        <v>61.111111111111114</v>
      </c>
      <c r="G46">
        <v>117</v>
      </c>
    </row>
    <row r="47" spans="2:10" x14ac:dyDescent="0.3">
      <c r="B47">
        <v>7</v>
      </c>
      <c r="C47">
        <v>125.14434060228452</v>
      </c>
      <c r="D47">
        <v>2.8556593977154847</v>
      </c>
      <c r="F47">
        <v>72.222222222222214</v>
      </c>
      <c r="G47">
        <v>122</v>
      </c>
    </row>
    <row r="48" spans="2:10" x14ac:dyDescent="0.3">
      <c r="B48">
        <v>8</v>
      </c>
      <c r="C48">
        <v>135.89511941848389</v>
      </c>
      <c r="D48">
        <v>1.1048805815161131</v>
      </c>
      <c r="F48">
        <v>83.333333333333329</v>
      </c>
      <c r="G48">
        <v>128</v>
      </c>
    </row>
    <row r="49" spans="2:7" ht="15" thickBot="1" x14ac:dyDescent="0.35">
      <c r="B49" s="2">
        <v>9</v>
      </c>
      <c r="C49" s="2">
        <v>101.74558670820352</v>
      </c>
      <c r="D49" s="2">
        <v>2.2544132917964816</v>
      </c>
      <c r="F49" s="2">
        <v>94.444444444444443</v>
      </c>
      <c r="G49" s="2">
        <v>137</v>
      </c>
    </row>
  </sheetData>
  <sortState xmlns:xlrd2="http://schemas.microsoft.com/office/spreadsheetml/2017/richdata2" ref="G41:G49">
    <sortCondition ref="G41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BA497-B9A6-481D-A46B-74388492DAEB}">
  <dimension ref="A1:D27"/>
  <sheetViews>
    <sheetView topLeftCell="A8" workbookViewId="0">
      <selection activeCell="D26" sqref="D26"/>
    </sheetView>
  </sheetViews>
  <sheetFormatPr defaultRowHeight="14.4" x14ac:dyDescent="0.3"/>
  <cols>
    <col min="4" max="4" width="12" bestFit="1" customWidth="1"/>
  </cols>
  <sheetData>
    <row r="1" spans="1:4" x14ac:dyDescent="0.3">
      <c r="A1" t="s">
        <v>194</v>
      </c>
    </row>
    <row r="2" spans="1:4" x14ac:dyDescent="0.3">
      <c r="A2" t="s">
        <v>195</v>
      </c>
    </row>
    <row r="3" spans="1:4" x14ac:dyDescent="0.3">
      <c r="A3" t="s">
        <v>152</v>
      </c>
      <c r="B3" t="s">
        <v>196</v>
      </c>
      <c r="C3" t="s">
        <v>197</v>
      </c>
    </row>
    <row r="4" spans="1:4" x14ac:dyDescent="0.3">
      <c r="A4" t="s">
        <v>5</v>
      </c>
      <c r="B4" s="1" t="s">
        <v>199</v>
      </c>
      <c r="C4">
        <v>2.5</v>
      </c>
    </row>
    <row r="5" spans="1:4" x14ac:dyDescent="0.3">
      <c r="A5" t="s">
        <v>198</v>
      </c>
      <c r="B5" s="1" t="s">
        <v>200</v>
      </c>
      <c r="C5">
        <v>1.5</v>
      </c>
    </row>
    <row r="9" spans="1:4" x14ac:dyDescent="0.3">
      <c r="A9" t="s">
        <v>152</v>
      </c>
      <c r="B9" t="s">
        <v>202</v>
      </c>
      <c r="C9" t="s">
        <v>203</v>
      </c>
      <c r="D9" t="s">
        <v>204</v>
      </c>
    </row>
    <row r="10" spans="1:4" x14ac:dyDescent="0.3">
      <c r="A10" t="s">
        <v>201</v>
      </c>
      <c r="B10">
        <v>1</v>
      </c>
      <c r="C10">
        <v>2</v>
      </c>
      <c r="D10">
        <f>_xlfn.NORM.DIST(C10,C4,C5,TRUE)-_xlfn.NORM.DIST(B10,C4,C5,TRUE)</f>
        <v>0.21078608625030662</v>
      </c>
    </row>
    <row r="11" spans="1:4" x14ac:dyDescent="0.3">
      <c r="A11" t="s">
        <v>154</v>
      </c>
      <c r="C11">
        <v>4</v>
      </c>
      <c r="D11">
        <f>_xlfn.NORM.DIST(C11,C4,C5,TRUE)</f>
        <v>0.84134474606854304</v>
      </c>
    </row>
    <row r="12" spans="1:4" x14ac:dyDescent="0.3">
      <c r="A12" t="s">
        <v>155</v>
      </c>
      <c r="B12">
        <v>3</v>
      </c>
      <c r="D12">
        <f>1-_xlfn.NORM.DIST(B12,C4,C5,TRUE)</f>
        <v>0.36944134018176356</v>
      </c>
    </row>
    <row r="16" spans="1:4" x14ac:dyDescent="0.3">
      <c r="A16" t="s">
        <v>205</v>
      </c>
    </row>
    <row r="17" spans="1:4" x14ac:dyDescent="0.3">
      <c r="A17" t="s">
        <v>206</v>
      </c>
    </row>
    <row r="18" spans="1:4" x14ac:dyDescent="0.3">
      <c r="A18" t="s">
        <v>207</v>
      </c>
    </row>
    <row r="21" spans="1:4" x14ac:dyDescent="0.3">
      <c r="A21" t="s">
        <v>208</v>
      </c>
      <c r="B21">
        <f>_xlfn.NORM.DIST(110,100,5,TRUE)</f>
        <v>0.97724986805182079</v>
      </c>
    </row>
    <row r="22" spans="1:4" x14ac:dyDescent="0.3">
      <c r="A22" t="s">
        <v>209</v>
      </c>
      <c r="B22">
        <f>1-B21</f>
        <v>2.2750131948179209E-2</v>
      </c>
    </row>
    <row r="25" spans="1:4" x14ac:dyDescent="0.3">
      <c r="A25" t="s">
        <v>210</v>
      </c>
      <c r="B25" t="s">
        <v>213</v>
      </c>
      <c r="D25">
        <f>D27-D26</f>
        <v>0.83999484803691293</v>
      </c>
    </row>
    <row r="26" spans="1:4" x14ac:dyDescent="0.3">
      <c r="A26" t="s">
        <v>211</v>
      </c>
      <c r="B26">
        <v>85</v>
      </c>
      <c r="D26">
        <f>_xlfn.NORM.DIST(B26,100,5,TRUE)</f>
        <v>1.3498980316300933E-3</v>
      </c>
    </row>
    <row r="27" spans="1:4" x14ac:dyDescent="0.3">
      <c r="A27" t="s">
        <v>212</v>
      </c>
      <c r="B27">
        <v>105</v>
      </c>
      <c r="D27">
        <f>_xlfn.NORM.DIST(B27,100,5,TRUE)</f>
        <v>0.84134474606854304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55ED-B07B-4B56-B132-C9408C03468A}">
  <dimension ref="A1:I15"/>
  <sheetViews>
    <sheetView workbookViewId="0">
      <selection activeCell="B15" sqref="B15"/>
    </sheetView>
  </sheetViews>
  <sheetFormatPr defaultRowHeight="14.4" x14ac:dyDescent="0.3"/>
  <sheetData>
    <row r="1" spans="1:9" x14ac:dyDescent="0.3">
      <c r="A1" t="s">
        <v>214</v>
      </c>
    </row>
    <row r="2" spans="1:9" x14ac:dyDescent="0.3">
      <c r="A2" t="s">
        <v>20</v>
      </c>
      <c r="B2" t="s">
        <v>216</v>
      </c>
      <c r="C2" t="s">
        <v>215</v>
      </c>
      <c r="D2" t="s">
        <v>217</v>
      </c>
      <c r="H2" t="s">
        <v>20</v>
      </c>
      <c r="I2" t="s">
        <v>216</v>
      </c>
    </row>
    <row r="3" spans="1:9" x14ac:dyDescent="0.3">
      <c r="A3">
        <v>0</v>
      </c>
      <c r="B3">
        <v>0.1</v>
      </c>
      <c r="C3">
        <f>B3*A3</f>
        <v>0</v>
      </c>
      <c r="D3">
        <f>(A3*A3)*B3</f>
        <v>0</v>
      </c>
      <c r="H3">
        <v>0</v>
      </c>
      <c r="I3">
        <v>0.1</v>
      </c>
    </row>
    <row r="4" spans="1:9" x14ac:dyDescent="0.3">
      <c r="A4">
        <v>1</v>
      </c>
      <c r="B4">
        <v>0.2</v>
      </c>
      <c r="C4">
        <f t="shared" ref="C4:C8" si="0">B4*A4</f>
        <v>0.2</v>
      </c>
      <c r="D4">
        <f t="shared" ref="D4:D8" si="1">(A4*A4)*B4</f>
        <v>0.2</v>
      </c>
      <c r="H4">
        <v>1</v>
      </c>
      <c r="I4">
        <v>0.2</v>
      </c>
    </row>
    <row r="5" spans="1:9" x14ac:dyDescent="0.3">
      <c r="A5">
        <v>2</v>
      </c>
      <c r="B5">
        <v>0.45</v>
      </c>
      <c r="C5">
        <f t="shared" si="0"/>
        <v>0.9</v>
      </c>
      <c r="D5">
        <f t="shared" si="1"/>
        <v>1.8</v>
      </c>
      <c r="H5">
        <v>2</v>
      </c>
      <c r="I5">
        <v>0.45</v>
      </c>
    </row>
    <row r="6" spans="1:9" x14ac:dyDescent="0.3">
      <c r="A6">
        <v>3</v>
      </c>
      <c r="B6">
        <v>0.15</v>
      </c>
      <c r="C6">
        <f t="shared" si="0"/>
        <v>0.44999999999999996</v>
      </c>
      <c r="D6">
        <f t="shared" si="1"/>
        <v>1.3499999999999999</v>
      </c>
      <c r="H6">
        <v>3</v>
      </c>
      <c r="I6">
        <v>0.15</v>
      </c>
    </row>
    <row r="7" spans="1:9" x14ac:dyDescent="0.3">
      <c r="A7">
        <v>4</v>
      </c>
      <c r="B7">
        <v>0.05</v>
      </c>
      <c r="C7">
        <f t="shared" si="0"/>
        <v>0.2</v>
      </c>
      <c r="D7">
        <f t="shared" si="1"/>
        <v>0.8</v>
      </c>
      <c r="H7">
        <v>4</v>
      </c>
      <c r="I7">
        <v>0.05</v>
      </c>
    </row>
    <row r="8" spans="1:9" x14ac:dyDescent="0.3">
      <c r="A8">
        <v>5</v>
      </c>
      <c r="B8">
        <v>0.05</v>
      </c>
      <c r="C8">
        <f t="shared" si="0"/>
        <v>0.25</v>
      </c>
      <c r="D8">
        <f t="shared" si="1"/>
        <v>1.25</v>
      </c>
      <c r="H8">
        <v>5</v>
      </c>
      <c r="I8">
        <v>0.05</v>
      </c>
    </row>
    <row r="9" spans="1:9" x14ac:dyDescent="0.3">
      <c r="A9">
        <f>SUM(A3:A8)</f>
        <v>15</v>
      </c>
      <c r="B9">
        <f>SUM(B3:B8)</f>
        <v>1</v>
      </c>
      <c r="C9">
        <f>SUM(C3:C8)</f>
        <v>2</v>
      </c>
      <c r="D9">
        <f>SUM(D3:D8)</f>
        <v>5.3999999999999995</v>
      </c>
      <c r="H9">
        <f>SUM(H3:H8)</f>
        <v>15</v>
      </c>
      <c r="I9">
        <f>SUM(I3:I8)</f>
        <v>1</v>
      </c>
    </row>
    <row r="11" spans="1:9" x14ac:dyDescent="0.3">
      <c r="A11" t="s">
        <v>218</v>
      </c>
      <c r="B11" t="s">
        <v>219</v>
      </c>
      <c r="C11">
        <f>A9*1</f>
        <v>15</v>
      </c>
    </row>
    <row r="12" spans="1:9" x14ac:dyDescent="0.3">
      <c r="A12" t="s">
        <v>220</v>
      </c>
      <c r="B12">
        <f>D9</f>
        <v>5.3999999999999995</v>
      </c>
    </row>
    <row r="13" spans="1:9" x14ac:dyDescent="0.3">
      <c r="A13" t="s">
        <v>221</v>
      </c>
      <c r="B13">
        <f>B12-(C9*C9)</f>
        <v>1.3999999999999995</v>
      </c>
    </row>
    <row r="14" spans="1:9" x14ac:dyDescent="0.3">
      <c r="A14" t="s">
        <v>222</v>
      </c>
      <c r="B14">
        <f>4*C9+7</f>
        <v>15</v>
      </c>
    </row>
    <row r="15" spans="1:9" x14ac:dyDescent="0.3">
      <c r="A15" t="s">
        <v>223</v>
      </c>
      <c r="B15">
        <f>16*B13</f>
        <v>22.399999999999991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C52E-0869-44C9-96FE-1E96D401B2E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CC06-AB97-4869-A3BE-E0DE55FA3CED}">
  <dimension ref="A1:M46"/>
  <sheetViews>
    <sheetView workbookViewId="0">
      <selection activeCell="B47" sqref="B47"/>
    </sheetView>
  </sheetViews>
  <sheetFormatPr defaultRowHeight="14.4" x14ac:dyDescent="0.3"/>
  <sheetData>
    <row r="1" spans="1:13" x14ac:dyDescent="0.3">
      <c r="A1" t="s">
        <v>102</v>
      </c>
    </row>
    <row r="2" spans="1:13" ht="16.2" x14ac:dyDescent="0.3">
      <c r="A2" t="s">
        <v>103</v>
      </c>
      <c r="B2" t="s">
        <v>104</v>
      </c>
      <c r="C2" t="s">
        <v>105</v>
      </c>
      <c r="D2" t="s">
        <v>106</v>
      </c>
      <c r="E2" t="s">
        <v>107</v>
      </c>
      <c r="F2" t="s">
        <v>108</v>
      </c>
    </row>
    <row r="3" spans="1:13" x14ac:dyDescent="0.3">
      <c r="A3">
        <v>67</v>
      </c>
      <c r="B3">
        <v>31</v>
      </c>
      <c r="C3">
        <v>9</v>
      </c>
      <c r="D3">
        <v>5</v>
      </c>
      <c r="E3">
        <f>C3-D3</f>
        <v>4</v>
      </c>
      <c r="F3">
        <f>E3*E3</f>
        <v>16</v>
      </c>
      <c r="L3" t="s">
        <v>169</v>
      </c>
      <c r="M3">
        <f>10*(100-1)</f>
        <v>990</v>
      </c>
    </row>
    <row r="4" spans="1:13" ht="16.2" x14ac:dyDescent="0.3">
      <c r="A4">
        <v>41</v>
      </c>
      <c r="B4">
        <v>29</v>
      </c>
      <c r="C4">
        <v>2</v>
      </c>
      <c r="D4">
        <v>4</v>
      </c>
      <c r="E4">
        <f t="shared" ref="E4:E12" si="0">C4-D4</f>
        <v>-2</v>
      </c>
      <c r="F4">
        <f t="shared" ref="F4:F12" si="1">E4*E4</f>
        <v>4</v>
      </c>
      <c r="I4" t="s">
        <v>168</v>
      </c>
    </row>
    <row r="5" spans="1:13" x14ac:dyDescent="0.3">
      <c r="A5">
        <v>52</v>
      </c>
      <c r="B5">
        <v>70</v>
      </c>
      <c r="C5">
        <v>4</v>
      </c>
      <c r="D5">
        <v>9</v>
      </c>
      <c r="E5">
        <f t="shared" si="0"/>
        <v>-5</v>
      </c>
      <c r="F5">
        <f t="shared" si="1"/>
        <v>25</v>
      </c>
    </row>
    <row r="6" spans="1:13" x14ac:dyDescent="0.3">
      <c r="A6">
        <v>60</v>
      </c>
      <c r="B6">
        <v>79</v>
      </c>
      <c r="C6">
        <v>7</v>
      </c>
      <c r="D6">
        <v>10</v>
      </c>
      <c r="E6">
        <f t="shared" si="0"/>
        <v>-3</v>
      </c>
      <c r="F6">
        <f t="shared" si="1"/>
        <v>9</v>
      </c>
      <c r="I6">
        <f>1-(6*F13)/M3</f>
        <v>0.36969696969696975</v>
      </c>
    </row>
    <row r="7" spans="1:13" x14ac:dyDescent="0.3">
      <c r="A7">
        <v>42</v>
      </c>
      <c r="B7">
        <v>21</v>
      </c>
      <c r="C7">
        <v>3</v>
      </c>
      <c r="D7">
        <v>2</v>
      </c>
      <c r="E7">
        <f t="shared" si="0"/>
        <v>1</v>
      </c>
      <c r="F7">
        <f t="shared" si="1"/>
        <v>1</v>
      </c>
    </row>
    <row r="8" spans="1:13" x14ac:dyDescent="0.3">
      <c r="A8">
        <v>39</v>
      </c>
      <c r="B8">
        <v>19</v>
      </c>
      <c r="C8">
        <v>1</v>
      </c>
      <c r="D8">
        <v>1</v>
      </c>
      <c r="E8">
        <f t="shared" si="0"/>
        <v>0</v>
      </c>
      <c r="F8">
        <f t="shared" si="1"/>
        <v>0</v>
      </c>
    </row>
    <row r="9" spans="1:13" x14ac:dyDescent="0.3">
      <c r="A9">
        <v>56</v>
      </c>
      <c r="B9">
        <v>68</v>
      </c>
      <c r="C9">
        <v>6</v>
      </c>
      <c r="D9">
        <v>8</v>
      </c>
      <c r="E9">
        <f t="shared" si="0"/>
        <v>-2</v>
      </c>
      <c r="F9">
        <f t="shared" si="1"/>
        <v>4</v>
      </c>
    </row>
    <row r="10" spans="1:13" x14ac:dyDescent="0.3">
      <c r="A10">
        <v>61</v>
      </c>
      <c r="B10">
        <v>25</v>
      </c>
      <c r="C10">
        <v>8</v>
      </c>
      <c r="D10">
        <v>3</v>
      </c>
      <c r="E10">
        <f t="shared" si="0"/>
        <v>5</v>
      </c>
      <c r="F10">
        <f t="shared" si="1"/>
        <v>25</v>
      </c>
    </row>
    <row r="11" spans="1:13" x14ac:dyDescent="0.3">
      <c r="A11">
        <v>53</v>
      </c>
      <c r="B11">
        <v>40</v>
      </c>
      <c r="C11">
        <v>5</v>
      </c>
      <c r="D11">
        <v>7</v>
      </c>
      <c r="E11">
        <f t="shared" si="0"/>
        <v>-2</v>
      </c>
      <c r="F11">
        <f t="shared" si="1"/>
        <v>4</v>
      </c>
    </row>
    <row r="12" spans="1:13" x14ac:dyDescent="0.3">
      <c r="A12">
        <v>69</v>
      </c>
      <c r="B12">
        <v>37</v>
      </c>
      <c r="C12">
        <v>10</v>
      </c>
      <c r="D12">
        <v>6</v>
      </c>
      <c r="E12">
        <f t="shared" si="0"/>
        <v>4</v>
      </c>
      <c r="F12">
        <f t="shared" si="1"/>
        <v>16</v>
      </c>
    </row>
    <row r="13" spans="1:13" x14ac:dyDescent="0.3">
      <c r="A13" t="s">
        <v>109</v>
      </c>
      <c r="F13">
        <f>SUM(F3:F12)</f>
        <v>104</v>
      </c>
    </row>
    <row r="19" spans="1:9" x14ac:dyDescent="0.3">
      <c r="A19" t="s">
        <v>170</v>
      </c>
      <c r="B19">
        <v>6</v>
      </c>
      <c r="C19">
        <v>7</v>
      </c>
      <c r="D19">
        <v>5</v>
      </c>
      <c r="E19">
        <v>21</v>
      </c>
      <c r="F19">
        <v>13</v>
      </c>
      <c r="G19">
        <v>5</v>
      </c>
      <c r="H19">
        <v>13</v>
      </c>
      <c r="I19">
        <v>14</v>
      </c>
    </row>
    <row r="20" spans="1:9" x14ac:dyDescent="0.3">
      <c r="A20" t="s">
        <v>171</v>
      </c>
      <c r="B20">
        <v>30</v>
      </c>
      <c r="C20">
        <v>23</v>
      </c>
      <c r="D20">
        <v>29</v>
      </c>
      <c r="E20">
        <v>22</v>
      </c>
      <c r="F20">
        <v>19</v>
      </c>
      <c r="G20">
        <v>19</v>
      </c>
      <c r="H20">
        <v>28</v>
      </c>
      <c r="I20">
        <v>19</v>
      </c>
    </row>
    <row r="25" spans="1:9" x14ac:dyDescent="0.3">
      <c r="A25" t="s">
        <v>170</v>
      </c>
      <c r="B25" t="s">
        <v>171</v>
      </c>
      <c r="C25" t="s">
        <v>172</v>
      </c>
      <c r="D25" t="s">
        <v>173</v>
      </c>
      <c r="E25" t="s">
        <v>107</v>
      </c>
      <c r="F25" t="s">
        <v>174</v>
      </c>
    </row>
    <row r="26" spans="1:9" x14ac:dyDescent="0.3">
      <c r="A26">
        <v>6</v>
      </c>
      <c r="B26">
        <v>30</v>
      </c>
      <c r="C26">
        <v>6</v>
      </c>
      <c r="D26">
        <v>1</v>
      </c>
      <c r="E26">
        <f>C26-D26</f>
        <v>5</v>
      </c>
      <c r="F26">
        <f>E26*E26</f>
        <v>25</v>
      </c>
    </row>
    <row r="27" spans="1:9" x14ac:dyDescent="0.3">
      <c r="A27">
        <v>7</v>
      </c>
      <c r="B27">
        <v>23</v>
      </c>
      <c r="C27">
        <v>5</v>
      </c>
      <c r="D27">
        <v>4</v>
      </c>
      <c r="E27">
        <f t="shared" ref="E27:E33" si="2">C27-D27</f>
        <v>1</v>
      </c>
      <c r="F27">
        <f t="shared" ref="F27:F33" si="3">E27*E27</f>
        <v>1</v>
      </c>
    </row>
    <row r="28" spans="1:9" x14ac:dyDescent="0.3">
      <c r="A28">
        <v>5</v>
      </c>
      <c r="B28">
        <v>29</v>
      </c>
      <c r="C28">
        <v>7.5</v>
      </c>
      <c r="D28">
        <v>2</v>
      </c>
      <c r="E28">
        <f t="shared" si="2"/>
        <v>5.5</v>
      </c>
      <c r="F28">
        <f t="shared" si="3"/>
        <v>30.25</v>
      </c>
    </row>
    <row r="29" spans="1:9" x14ac:dyDescent="0.3">
      <c r="A29">
        <v>21</v>
      </c>
      <c r="B29">
        <v>22</v>
      </c>
      <c r="C29">
        <v>1</v>
      </c>
      <c r="D29">
        <v>5</v>
      </c>
      <c r="E29">
        <f t="shared" si="2"/>
        <v>-4</v>
      </c>
      <c r="F29">
        <f t="shared" si="3"/>
        <v>16</v>
      </c>
    </row>
    <row r="30" spans="1:9" x14ac:dyDescent="0.3">
      <c r="A30">
        <v>13</v>
      </c>
      <c r="B30">
        <v>19</v>
      </c>
      <c r="C30">
        <v>3.5</v>
      </c>
      <c r="D30">
        <v>7</v>
      </c>
      <c r="E30">
        <f t="shared" si="2"/>
        <v>-3.5</v>
      </c>
      <c r="F30">
        <f t="shared" si="3"/>
        <v>12.25</v>
      </c>
    </row>
    <row r="31" spans="1:9" x14ac:dyDescent="0.3">
      <c r="A31">
        <v>5</v>
      </c>
      <c r="B31">
        <v>19</v>
      </c>
      <c r="C31">
        <v>7.5</v>
      </c>
      <c r="D31">
        <v>7</v>
      </c>
      <c r="E31">
        <f t="shared" si="2"/>
        <v>0.5</v>
      </c>
      <c r="F31">
        <f t="shared" si="3"/>
        <v>0.25</v>
      </c>
    </row>
    <row r="32" spans="1:9" x14ac:dyDescent="0.3">
      <c r="A32">
        <v>13</v>
      </c>
      <c r="B32">
        <v>28</v>
      </c>
      <c r="C32">
        <v>3.5</v>
      </c>
      <c r="D32">
        <v>3</v>
      </c>
      <c r="E32">
        <f t="shared" si="2"/>
        <v>0.5</v>
      </c>
      <c r="F32">
        <f t="shared" si="3"/>
        <v>0.25</v>
      </c>
    </row>
    <row r="33" spans="1:10" x14ac:dyDescent="0.3">
      <c r="A33">
        <v>14</v>
      </c>
      <c r="B33">
        <v>19</v>
      </c>
      <c r="C33">
        <v>2</v>
      </c>
      <c r="D33">
        <v>7</v>
      </c>
      <c r="E33">
        <f t="shared" si="2"/>
        <v>-5</v>
      </c>
      <c r="F33">
        <f t="shared" si="3"/>
        <v>25</v>
      </c>
    </row>
    <row r="34" spans="1:10" x14ac:dyDescent="0.3">
      <c r="F34">
        <f>SUM(F26:F33)</f>
        <v>110</v>
      </c>
    </row>
    <row r="37" spans="1:10" x14ac:dyDescent="0.3">
      <c r="B37" t="s">
        <v>175</v>
      </c>
      <c r="D37" t="s">
        <v>178</v>
      </c>
      <c r="E37">
        <v>2</v>
      </c>
      <c r="F37">
        <f>E37*(E37*E37-1)/12</f>
        <v>0.5</v>
      </c>
      <c r="I37" t="s">
        <v>181</v>
      </c>
      <c r="J37">
        <f>8*(64-1)</f>
        <v>504</v>
      </c>
    </row>
    <row r="38" spans="1:10" x14ac:dyDescent="0.3">
      <c r="B38" t="s">
        <v>176</v>
      </c>
      <c r="D38" t="s">
        <v>179</v>
      </c>
      <c r="E38">
        <v>2</v>
      </c>
      <c r="F38">
        <f t="shared" ref="F38:F39" si="4">E38*(E38*E38-1)/12</f>
        <v>0.5</v>
      </c>
    </row>
    <row r="39" spans="1:10" x14ac:dyDescent="0.3">
      <c r="B39" t="s">
        <v>177</v>
      </c>
      <c r="D39" t="s">
        <v>180</v>
      </c>
      <c r="E39">
        <v>3</v>
      </c>
      <c r="F39">
        <f t="shared" si="4"/>
        <v>2</v>
      </c>
    </row>
    <row r="42" spans="1:10" x14ac:dyDescent="0.3">
      <c r="F42" t="s">
        <v>114</v>
      </c>
      <c r="G42">
        <f>1-(6*(F34+F37+F38+F39)/J37)</f>
        <v>-0.34523809523809534</v>
      </c>
    </row>
    <row r="46" spans="1:10" x14ac:dyDescent="0.3">
      <c r="B46" t="s">
        <v>182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1E0C1-8343-4583-8CF5-2D33E9EF794E}">
  <dimension ref="A1:I42"/>
  <sheetViews>
    <sheetView topLeftCell="A22" workbookViewId="0">
      <selection activeCell="B49" sqref="B49"/>
    </sheetView>
  </sheetViews>
  <sheetFormatPr defaultRowHeight="14.4" x14ac:dyDescent="0.3"/>
  <sheetData>
    <row r="1" spans="1:9" x14ac:dyDescent="0.3">
      <c r="A1" t="s">
        <v>116</v>
      </c>
    </row>
    <row r="2" spans="1:9" x14ac:dyDescent="0.3">
      <c r="A2" t="s">
        <v>117</v>
      </c>
      <c r="B2" t="s">
        <v>121</v>
      </c>
    </row>
    <row r="3" spans="1:9" x14ac:dyDescent="0.3">
      <c r="A3" t="s">
        <v>118</v>
      </c>
      <c r="B3">
        <v>26</v>
      </c>
      <c r="C3">
        <f>B3/B5</f>
        <v>0.5</v>
      </c>
    </row>
    <row r="4" spans="1:9" x14ac:dyDescent="0.3">
      <c r="A4" t="s">
        <v>119</v>
      </c>
      <c r="B4">
        <v>26</v>
      </c>
      <c r="C4">
        <f>B4/52</f>
        <v>0.5</v>
      </c>
    </row>
    <row r="5" spans="1:9" x14ac:dyDescent="0.3">
      <c r="A5" t="s">
        <v>120</v>
      </c>
      <c r="B5">
        <v>52</v>
      </c>
      <c r="C5">
        <f>B5/52</f>
        <v>1</v>
      </c>
    </row>
    <row r="8" spans="1:9" x14ac:dyDescent="0.3">
      <c r="A8" t="s">
        <v>122</v>
      </c>
    </row>
    <row r="9" spans="1:9" x14ac:dyDescent="0.3">
      <c r="A9" t="s">
        <v>123</v>
      </c>
      <c r="B9" t="s">
        <v>124</v>
      </c>
      <c r="C9" t="s">
        <v>125</v>
      </c>
      <c r="D9" t="s">
        <v>126</v>
      </c>
      <c r="E9" t="s">
        <v>127</v>
      </c>
      <c r="F9" t="s">
        <v>128</v>
      </c>
      <c r="G9" t="s">
        <v>129</v>
      </c>
      <c r="H9" t="s">
        <v>130</v>
      </c>
      <c r="I9" t="s">
        <v>131</v>
      </c>
    </row>
    <row r="10" spans="1:9" x14ac:dyDescent="0.3">
      <c r="A10" t="s">
        <v>132</v>
      </c>
      <c r="B10">
        <v>150</v>
      </c>
      <c r="C10">
        <v>250</v>
      </c>
      <c r="D10">
        <v>300</v>
      </c>
      <c r="E10">
        <v>100</v>
      </c>
      <c r="F10">
        <v>80</v>
      </c>
      <c r="G10">
        <v>70</v>
      </c>
      <c r="H10">
        <v>50</v>
      </c>
      <c r="I10">
        <f>SUM(B10:H10)</f>
        <v>1000</v>
      </c>
    </row>
    <row r="13" spans="1:9" x14ac:dyDescent="0.3">
      <c r="A13" t="s">
        <v>133</v>
      </c>
      <c r="B13" t="s">
        <v>132</v>
      </c>
      <c r="C13" t="s">
        <v>134</v>
      </c>
      <c r="G13" t="s">
        <v>135</v>
      </c>
    </row>
    <row r="14" spans="1:9" x14ac:dyDescent="0.3">
      <c r="A14" t="s">
        <v>124</v>
      </c>
      <c r="B14">
        <v>150</v>
      </c>
      <c r="C14">
        <f>B14/1000</f>
        <v>0.15</v>
      </c>
      <c r="G14">
        <f>SUM(C14:C17)</f>
        <v>0.79999999999999993</v>
      </c>
    </row>
    <row r="15" spans="1:9" x14ac:dyDescent="0.3">
      <c r="A15" t="s">
        <v>125</v>
      </c>
      <c r="B15">
        <v>250</v>
      </c>
      <c r="C15">
        <f t="shared" ref="C15:C20" si="0">B15/1000</f>
        <v>0.25</v>
      </c>
      <c r="G15" t="s">
        <v>136</v>
      </c>
    </row>
    <row r="16" spans="1:9" x14ac:dyDescent="0.3">
      <c r="A16" t="s">
        <v>126</v>
      </c>
      <c r="B16">
        <v>300</v>
      </c>
      <c r="C16">
        <f t="shared" si="0"/>
        <v>0.3</v>
      </c>
      <c r="G16">
        <f>SUM(C18:C20)</f>
        <v>0.2</v>
      </c>
    </row>
    <row r="17" spans="1:4" x14ac:dyDescent="0.3">
      <c r="A17" t="s">
        <v>127</v>
      </c>
      <c r="B17">
        <v>100</v>
      </c>
      <c r="C17">
        <f t="shared" si="0"/>
        <v>0.1</v>
      </c>
    </row>
    <row r="18" spans="1:4" x14ac:dyDescent="0.3">
      <c r="A18" t="s">
        <v>128</v>
      </c>
      <c r="B18">
        <v>80</v>
      </c>
      <c r="C18">
        <f t="shared" si="0"/>
        <v>0.08</v>
      </c>
    </row>
    <row r="19" spans="1:4" x14ac:dyDescent="0.3">
      <c r="A19" t="s">
        <v>129</v>
      </c>
      <c r="B19">
        <v>70</v>
      </c>
      <c r="C19">
        <f t="shared" si="0"/>
        <v>7.0000000000000007E-2</v>
      </c>
    </row>
    <row r="20" spans="1:4" x14ac:dyDescent="0.3">
      <c r="A20" t="s">
        <v>130</v>
      </c>
      <c r="B20">
        <v>50</v>
      </c>
      <c r="C20">
        <f t="shared" si="0"/>
        <v>0.05</v>
      </c>
    </row>
    <row r="23" spans="1:4" x14ac:dyDescent="0.3">
      <c r="A23" t="s">
        <v>137</v>
      </c>
    </row>
    <row r="25" spans="1:4" x14ac:dyDescent="0.3">
      <c r="B25" t="s">
        <v>138</v>
      </c>
    </row>
    <row r="26" spans="1:4" x14ac:dyDescent="0.3">
      <c r="A26" t="s">
        <v>139</v>
      </c>
      <c r="B26" t="s">
        <v>138</v>
      </c>
      <c r="C26" t="s">
        <v>142</v>
      </c>
      <c r="D26" t="s">
        <v>149</v>
      </c>
    </row>
    <row r="27" spans="1:4" x14ac:dyDescent="0.3">
      <c r="A27" t="s">
        <v>140</v>
      </c>
      <c r="B27">
        <v>83</v>
      </c>
      <c r="C27">
        <v>28</v>
      </c>
      <c r="D27">
        <f>SUM(B27+C27)</f>
        <v>111</v>
      </c>
    </row>
    <row r="28" spans="1:4" x14ac:dyDescent="0.3">
      <c r="A28" t="s">
        <v>141</v>
      </c>
      <c r="B28">
        <v>64</v>
      </c>
      <c r="C28">
        <v>34</v>
      </c>
      <c r="D28">
        <f>SUM(B28:C28)</f>
        <v>98</v>
      </c>
    </row>
    <row r="29" spans="1:4" x14ac:dyDescent="0.3">
      <c r="B29">
        <f>SUM(B27:B28)</f>
        <v>147</v>
      </c>
      <c r="C29">
        <f>SUM(C27:C28)</f>
        <v>62</v>
      </c>
      <c r="D29">
        <f>SUM(D27:D28)</f>
        <v>209</v>
      </c>
    </row>
    <row r="30" spans="1:4" x14ac:dyDescent="0.3">
      <c r="A30" t="s">
        <v>143</v>
      </c>
    </row>
    <row r="31" spans="1:4" x14ac:dyDescent="0.3">
      <c r="A31" t="s">
        <v>144</v>
      </c>
    </row>
    <row r="32" spans="1:4" x14ac:dyDescent="0.3">
      <c r="A32" t="s">
        <v>145</v>
      </c>
    </row>
    <row r="33" spans="1:4" x14ac:dyDescent="0.3">
      <c r="A33" t="s">
        <v>146</v>
      </c>
    </row>
    <row r="34" spans="1:4" x14ac:dyDescent="0.3">
      <c r="A34" t="s">
        <v>147</v>
      </c>
    </row>
    <row r="37" spans="1:4" x14ac:dyDescent="0.3">
      <c r="D37" t="s">
        <v>148</v>
      </c>
    </row>
    <row r="39" spans="1:4" x14ac:dyDescent="0.3">
      <c r="A39" t="s">
        <v>66</v>
      </c>
      <c r="B39">
        <f>B29/D29</f>
        <v>0.70334928229665072</v>
      </c>
    </row>
    <row r="40" spans="1:4" x14ac:dyDescent="0.3">
      <c r="A40" t="s">
        <v>65</v>
      </c>
      <c r="B40" s="5">
        <f>B28/D29</f>
        <v>0.30622009569377989</v>
      </c>
    </row>
    <row r="41" spans="1:4" x14ac:dyDescent="0.3">
      <c r="A41" t="s">
        <v>150</v>
      </c>
      <c r="B41">
        <f>B29/D29+C29/D29-B28/D28</f>
        <v>0.34693877551020413</v>
      </c>
    </row>
    <row r="42" spans="1:4" x14ac:dyDescent="0.3">
      <c r="A42" t="s">
        <v>107</v>
      </c>
      <c r="B42">
        <f>B28/B29</f>
        <v>0.43537414965986393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Sheet11</vt:lpstr>
      <vt:lpstr>Sheet12</vt:lpstr>
      <vt:lpstr>Sheet13</vt:lpstr>
      <vt:lpstr>Sheet5</vt:lpstr>
      <vt:lpstr>Sheet7</vt:lpstr>
      <vt:lpstr>Sheet8</vt:lpstr>
      <vt:lpstr>Sheet6</vt:lpstr>
      <vt:lpstr>Sheet10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manalika shrestha</dc:creator>
  <cp:lastModifiedBy>manalika shrestha</cp:lastModifiedBy>
  <cp:lastPrinted>2023-09-13T05:28:26Z</cp:lastPrinted>
  <dcterms:created xsi:type="dcterms:W3CDTF">2023-09-10T21:16:12Z</dcterms:created>
  <dcterms:modified xsi:type="dcterms:W3CDTF">2023-10-10T20:29:02Z</dcterms:modified>
</cp:coreProperties>
</file>