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skar\dev\test\Документация\"/>
    </mc:Choice>
  </mc:AlternateContent>
  <xr:revisionPtr revIDLastSave="0" documentId="13_ncr:1_{E43F7F21-38AE-4BD8-9AC4-2E5F075E5BB1}" xr6:coauthVersionLast="45" xr6:coauthVersionMax="45" xr10:uidLastSave="{00000000-0000-0000-0000-000000000000}"/>
  <bookViews>
    <workbookView xWindow="5340" yWindow="3885" windowWidth="14400" windowHeight="11475" activeTab="1" xr2:uid="{00000000-000D-0000-FFFF-FFFF00000000}"/>
  </bookViews>
  <sheets>
    <sheet name="Лист1" sheetId="4" r:id="rId1"/>
    <sheet name="Автоматизированный расчет" sheetId="3" r:id="rId2"/>
    <sheet name="Соответствие профилю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2" l="1"/>
  <c r="G33" i="2"/>
  <c r="I33" i="2" s="1"/>
  <c r="G32" i="2"/>
  <c r="I32" i="2" s="1"/>
  <c r="G31" i="2"/>
  <c r="I31" i="2" s="1"/>
  <c r="G30" i="2"/>
  <c r="G29" i="2"/>
  <c r="I29" i="2" s="1"/>
  <c r="G28" i="2"/>
  <c r="G27" i="2"/>
  <c r="I27" i="2" s="1"/>
  <c r="I28" i="2"/>
  <c r="H47" i="2"/>
  <c r="H46" i="2"/>
  <c r="I34" i="2" l="1"/>
  <c r="I30" i="2"/>
  <c r="H99" i="2"/>
  <c r="H98" i="2"/>
  <c r="H97" i="2"/>
  <c r="H96" i="2"/>
  <c r="H95" i="2"/>
  <c r="H94" i="2"/>
  <c r="H93" i="2"/>
  <c r="H92" i="2"/>
  <c r="G99" i="2"/>
  <c r="G98" i="2"/>
  <c r="G97" i="2"/>
  <c r="G96" i="2"/>
  <c r="I96" i="2" s="1"/>
  <c r="G95" i="2"/>
  <c r="G94" i="2"/>
  <c r="G93" i="2"/>
  <c r="G92" i="2"/>
  <c r="H86" i="2"/>
  <c r="H85" i="2"/>
  <c r="H84" i="2"/>
  <c r="H83" i="2"/>
  <c r="H82" i="2"/>
  <c r="H81" i="2"/>
  <c r="H80" i="2"/>
  <c r="H79" i="2"/>
  <c r="G86" i="2"/>
  <c r="G85" i="2"/>
  <c r="I85" i="2" s="1"/>
  <c r="G84" i="2"/>
  <c r="G83" i="2"/>
  <c r="G82" i="2"/>
  <c r="G81" i="2"/>
  <c r="G80" i="2"/>
  <c r="I80" i="2" s="1"/>
  <c r="G79" i="2"/>
  <c r="I79" i="2" s="1"/>
  <c r="H73" i="2"/>
  <c r="H72" i="2"/>
  <c r="H71" i="2"/>
  <c r="H70" i="2"/>
  <c r="H69" i="2"/>
  <c r="H68" i="2"/>
  <c r="H67" i="2"/>
  <c r="H66" i="2"/>
  <c r="G73" i="2"/>
  <c r="G72" i="2"/>
  <c r="G71" i="2"/>
  <c r="I71" i="2" s="1"/>
  <c r="G70" i="2"/>
  <c r="G69" i="2"/>
  <c r="G68" i="2"/>
  <c r="G67" i="2"/>
  <c r="G66" i="2"/>
  <c r="H60" i="2"/>
  <c r="H59" i="2"/>
  <c r="H58" i="2"/>
  <c r="I58" i="2" s="1"/>
  <c r="H57" i="2"/>
  <c r="H56" i="2"/>
  <c r="H55" i="2"/>
  <c r="H54" i="2"/>
  <c r="H53" i="2"/>
  <c r="H40" i="2"/>
  <c r="G60" i="2"/>
  <c r="G59" i="2"/>
  <c r="I59" i="2" s="1"/>
  <c r="G58" i="2"/>
  <c r="G57" i="2"/>
  <c r="I57" i="2" s="1"/>
  <c r="G56" i="2"/>
  <c r="I56" i="2" s="1"/>
  <c r="G55" i="2"/>
  <c r="I55" i="2" s="1"/>
  <c r="G54" i="2"/>
  <c r="G53" i="2"/>
  <c r="H45" i="2"/>
  <c r="H44" i="2"/>
  <c r="H43" i="2"/>
  <c r="H42" i="2"/>
  <c r="H41" i="2"/>
  <c r="I99" i="2"/>
  <c r="I95" i="2"/>
  <c r="I93" i="2"/>
  <c r="I92" i="2"/>
  <c r="I86" i="2"/>
  <c r="I70" i="2"/>
  <c r="I67" i="2"/>
  <c r="I66" i="2"/>
  <c r="I53" i="2"/>
  <c r="G47" i="2"/>
  <c r="I72" i="2" l="1"/>
  <c r="I97" i="2"/>
  <c r="I69" i="2"/>
  <c r="I73" i="2"/>
  <c r="I81" i="2"/>
  <c r="I84" i="2"/>
  <c r="I54" i="2"/>
  <c r="I83" i="2"/>
  <c r="I98" i="2"/>
  <c r="I94" i="2"/>
  <c r="I82" i="2"/>
  <c r="I68" i="2"/>
  <c r="I60" i="2"/>
  <c r="I47" i="2" l="1"/>
  <c r="G46" i="2"/>
  <c r="G45" i="2"/>
  <c r="G44" i="2"/>
  <c r="I44" i="2" s="1"/>
  <c r="G43" i="2"/>
  <c r="G42" i="2"/>
  <c r="G41" i="2"/>
  <c r="G40" i="2"/>
  <c r="I40" i="2" s="1"/>
  <c r="I43" i="2"/>
  <c r="I42" i="2" l="1"/>
  <c r="I46" i="2"/>
  <c r="I45" i="2"/>
  <c r="I41" i="2"/>
  <c r="J48" i="3"/>
  <c r="J47" i="3"/>
  <c r="J46" i="3"/>
  <c r="J45" i="3"/>
  <c r="K45" i="3" s="1"/>
  <c r="J44" i="3"/>
  <c r="J43" i="3"/>
  <c r="J42" i="3"/>
  <c r="J41" i="3"/>
  <c r="K48" i="3"/>
  <c r="I48" i="3"/>
  <c r="I47" i="3"/>
  <c r="K47" i="3" s="1"/>
  <c r="I46" i="3"/>
  <c r="I45" i="3"/>
  <c r="K44" i="3"/>
  <c r="I44" i="3"/>
  <c r="I43" i="3"/>
  <c r="K43" i="3" s="1"/>
  <c r="I42" i="3"/>
  <c r="K42" i="3" s="1"/>
  <c r="K41" i="3"/>
  <c r="I41" i="3"/>
  <c r="D48" i="3"/>
  <c r="C48" i="3"/>
  <c r="E48" i="3" s="1"/>
  <c r="E47" i="3"/>
  <c r="D47" i="3"/>
  <c r="C47" i="3"/>
  <c r="D46" i="3"/>
  <c r="E46" i="3" s="1"/>
  <c r="C46" i="3"/>
  <c r="D45" i="3"/>
  <c r="C45" i="3"/>
  <c r="E45" i="3" s="1"/>
  <c r="D44" i="3"/>
  <c r="C44" i="3"/>
  <c r="E44" i="3" s="1"/>
  <c r="E43" i="3"/>
  <c r="D43" i="3"/>
  <c r="C43" i="3"/>
  <c r="D42" i="3"/>
  <c r="E42" i="3" s="1"/>
  <c r="C42" i="3"/>
  <c r="D41" i="3"/>
  <c r="C41" i="3"/>
  <c r="E41" i="3" s="1"/>
  <c r="K46" i="3" l="1"/>
  <c r="H19" i="2" l="1"/>
  <c r="I19" i="2" s="1"/>
  <c r="G34" i="3" l="1"/>
  <c r="I34" i="3" s="1"/>
  <c r="S7" i="3"/>
  <c r="E22" i="3" l="1"/>
  <c r="F22" i="3" s="1"/>
  <c r="D22" i="3"/>
  <c r="E23" i="3"/>
  <c r="F23" i="3" s="1"/>
  <c r="D23" i="3"/>
  <c r="E8" i="3"/>
  <c r="F8" i="3" s="1"/>
  <c r="H8" i="3" s="1"/>
  <c r="E19" i="3"/>
  <c r="F19" i="3" s="1"/>
  <c r="D19" i="3"/>
  <c r="E15" i="3"/>
  <c r="F15" i="3" s="1"/>
  <c r="D15" i="3"/>
  <c r="E14" i="3"/>
  <c r="F14" i="3" s="1"/>
  <c r="D14" i="3"/>
  <c r="E17" i="3"/>
  <c r="F17" i="3" s="1"/>
  <c r="D17" i="3"/>
  <c r="E11" i="3"/>
  <c r="F11" i="3" s="1"/>
  <c r="D11" i="3"/>
  <c r="E10" i="3"/>
  <c r="F10" i="3" s="1"/>
  <c r="D10" i="3"/>
  <c r="E13" i="3"/>
  <c r="F13" i="3" s="1"/>
  <c r="D13" i="3"/>
  <c r="E7" i="3"/>
  <c r="F7" i="3" s="1"/>
  <c r="D7" i="3"/>
  <c r="E6" i="3"/>
  <c r="F6" i="3" s="1"/>
  <c r="D6" i="3"/>
  <c r="H19" i="3" l="1"/>
  <c r="H10" i="3"/>
  <c r="H23" i="3"/>
  <c r="H22" i="3"/>
  <c r="H6" i="3"/>
  <c r="H15" i="3"/>
  <c r="H14" i="3"/>
  <c r="H17" i="3"/>
  <c r="H11" i="3"/>
  <c r="H13" i="3"/>
  <c r="H7" i="3"/>
  <c r="E2" i="3"/>
  <c r="P2" i="3" l="1"/>
  <c r="P3" i="3"/>
  <c r="P4" i="3"/>
  <c r="P5" i="3"/>
  <c r="P6" i="3"/>
  <c r="D20" i="3"/>
  <c r="D2" i="3"/>
  <c r="W2" i="3"/>
  <c r="V2" i="3" s="1"/>
  <c r="S2" i="3"/>
  <c r="S6" i="3"/>
  <c r="S5" i="3"/>
  <c r="S4" i="3"/>
  <c r="S3" i="3"/>
  <c r="C27" i="3"/>
  <c r="C29" i="3"/>
  <c r="C30" i="3"/>
  <c r="C31" i="3"/>
  <c r="C28" i="3"/>
  <c r="C32" i="3"/>
  <c r="C26" i="3"/>
  <c r="U6" i="3" l="1"/>
  <c r="X6" i="3"/>
  <c r="U5" i="3"/>
  <c r="D16" i="3" s="1"/>
  <c r="X5" i="3"/>
  <c r="U4" i="3"/>
  <c r="D12" i="3" s="1"/>
  <c r="X4" i="3"/>
  <c r="U3" i="3"/>
  <c r="X3" i="3"/>
  <c r="D4" i="3"/>
  <c r="X2" i="3"/>
  <c r="G32" i="3"/>
  <c r="I32" i="3" s="1"/>
  <c r="G30" i="3"/>
  <c r="I30" i="3" s="1"/>
  <c r="G28" i="3"/>
  <c r="I28" i="3" s="1"/>
  <c r="G31" i="3"/>
  <c r="I31" i="3" s="1"/>
  <c r="G26" i="3"/>
  <c r="I26" i="3" s="1"/>
  <c r="G29" i="3"/>
  <c r="I29" i="3" s="1"/>
  <c r="G27" i="3"/>
  <c r="I27" i="3" s="1"/>
  <c r="U2" i="3"/>
  <c r="E18" i="3"/>
  <c r="F18" i="3" s="1"/>
  <c r="D3" i="3"/>
  <c r="D18" i="3"/>
  <c r="D21" i="3"/>
  <c r="D9" i="3"/>
  <c r="D5" i="3"/>
  <c r="E21" i="3"/>
  <c r="F21" i="3" s="1"/>
  <c r="E9" i="3"/>
  <c r="F9" i="3" s="1"/>
  <c r="E5" i="3"/>
  <c r="F5" i="3" s="1"/>
  <c r="E16" i="3"/>
  <c r="F16" i="3" s="1"/>
  <c r="E12" i="3"/>
  <c r="F12" i="3" s="1"/>
  <c r="H12" i="3" s="1"/>
  <c r="E4" i="3"/>
  <c r="F4" i="3" s="1"/>
  <c r="F2" i="3"/>
  <c r="H2" i="3" s="1"/>
  <c r="E20" i="3"/>
  <c r="F20" i="3" s="1"/>
  <c r="H20" i="3" s="1"/>
  <c r="E3" i="3"/>
  <c r="F3" i="3" s="1"/>
  <c r="D29" i="3"/>
  <c r="D30" i="3"/>
  <c r="D27" i="3"/>
  <c r="D32" i="3"/>
  <c r="D28" i="3"/>
  <c r="D31" i="3"/>
  <c r="V4" i="3"/>
  <c r="V3" i="3"/>
  <c r="V6" i="3"/>
  <c r="V5" i="3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/>
  <c r="H16" i="3" l="1"/>
  <c r="H4" i="3"/>
  <c r="U7" i="3"/>
  <c r="H21" i="3"/>
  <c r="H3" i="3"/>
  <c r="H18" i="3"/>
  <c r="H9" i="3"/>
  <c r="H5" i="3"/>
  <c r="V7" i="3"/>
  <c r="C33" i="3" l="1"/>
  <c r="D33" i="3" s="1"/>
  <c r="D26" i="3"/>
</calcChain>
</file>

<file path=xl/sharedStrings.xml><?xml version="1.0" encoding="utf-8"?>
<sst xmlns="http://schemas.openxmlformats.org/spreadsheetml/2006/main" count="268" uniqueCount="63">
  <si>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</si>
  <si>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</si>
  <si>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</si>
  <si>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</si>
  <si>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</si>
  <si>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</si>
  <si>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</si>
  <si>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</si>
  <si>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</si>
  <si>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</si>
  <si>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</si>
  <si>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</si>
  <si>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</si>
  <si>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</si>
  <si>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</si>
  <si>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</si>
  <si>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Просмотр квитанции</t>
  </si>
  <si>
    <t>login</t>
  </si>
  <si>
    <t>logout</t>
  </si>
  <si>
    <t>Поиск максимума 3 ступень</t>
  </si>
  <si>
    <t>Подтверждение максимума</t>
  </si>
  <si>
    <t>Профиль для 5 пользаков</t>
  </si>
  <si>
    <t>Script name</t>
  </si>
  <si>
    <t>transaction rq</t>
  </si>
  <si>
    <t>count</t>
  </si>
  <si>
    <t>Названия строк</t>
  </si>
  <si>
    <t>Общий итог</t>
  </si>
  <si>
    <t>Статистика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</si>
  <si>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</si>
  <si>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</si>
  <si>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</si>
  <si>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</si>
  <si>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</si>
  <si>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</si>
  <si>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</si>
  <si>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</si>
  <si>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</si>
  <si>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</si>
  <si>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</si>
  <si>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Запросов в час</t>
  </si>
  <si>
    <t>pacing</t>
  </si>
  <si>
    <t>одним пользователем в минуту</t>
  </si>
  <si>
    <t>Длительность ступени</t>
  </si>
  <si>
    <t>Duration + Thin_time</t>
  </si>
  <si>
    <t>Соотвествие профилю</t>
  </si>
  <si>
    <t>script name</t>
  </si>
  <si>
    <t>choose_flight</t>
  </si>
  <si>
    <t>00000000-0000-0000-0000-000000000000</t>
  </si>
  <si>
    <t>click_cancel</t>
  </si>
  <si>
    <t>click_find_flight</t>
  </si>
  <si>
    <t>click_flight</t>
  </si>
  <si>
    <t>click_itinerary</t>
  </si>
  <si>
    <t>fill_pay_info</t>
  </si>
  <si>
    <t>click_signup</t>
  </si>
  <si>
    <t>Регистрация</t>
  </si>
  <si>
    <t>Поиск максимума 5 ступень</t>
  </si>
  <si>
    <t>Поиск максимума 4 ступень</t>
  </si>
  <si>
    <t>click_find</t>
  </si>
  <si>
    <t>sign up</t>
  </si>
  <si>
    <t>Поиск пика 4 ступень</t>
  </si>
  <si>
    <t>Поиск максимума 1 ступень</t>
  </si>
  <si>
    <t>Поиск максимума 2 ступень</t>
  </si>
  <si>
    <t xml:space="preserve">Регистрация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</si>
</sst>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85">
    <xf numFmtId="0" fontId="0" fillId="0" borderId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4" fillId="0" borderId="0"/>
    <xf numFmtId="0" fontId="15" fillId="0" borderId="0" applyNumberFormat="0" applyFill="0" applyBorder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8" fillId="0" borderId="0" applyNumberFormat="0" applyFill="0" applyBorder="0" applyAlignment="0" applyProtection="0"/>
    <xf numFmtId="0" fontId="19" fillId="6" borderId="8" applyNumberFormat="0" applyAlignment="0" applyProtection="0"/>
    <xf numFmtId="0" fontId="20" fillId="7" borderId="9" applyNumberFormat="0" applyAlignment="0" applyProtection="0"/>
    <xf numFmtId="0" fontId="21" fillId="7" borderId="8" applyNumberFormat="0" applyAlignment="0" applyProtection="0"/>
    <xf numFmtId="0" fontId="22" fillId="0" borderId="10" applyNumberFormat="0" applyFill="0" applyAlignment="0" applyProtection="0"/>
    <xf numFmtId="0" fontId="23" fillId="8" borderId="11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1" fillId="0" borderId="13" applyNumberFormat="0" applyFill="0" applyAlignment="0" applyProtection="0"/>
    <xf numFmtId="0" fontId="26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26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26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26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26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26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9" borderId="12" applyNumberFormat="0" applyFont="0" applyAlignment="0" applyProtection="0"/>
    <xf numFmtId="9" fontId="27" fillId="0" borderId="0" applyFont="0" applyFill="0" applyBorder="0" applyAlignment="0" applyProtection="0"/>
    <xf numFmtId="0" fontId="2" fillId="0" borderId="0"/>
    <xf numFmtId="0" fontId="2" fillId="9" borderId="12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" fillId="0" borderId="0"/>
    <xf numFmtId="0" fontId="1" fillId="9" borderId="12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43">
    <xf numFmtId="0" fontId="0" fillId="0" borderId="0" xfId="0"/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12" fillId="5" borderId="3" xfId="0" applyFont="1" applyFill="1" applyBorder="1" applyAlignment="1">
      <alignment horizontal="center" vertical="top" wrapText="1"/>
    </xf>
    <xf numFmtId="0" fontId="13" fillId="0" borderId="4" xfId="0" applyFont="1" applyBorder="1" applyAlignment="1">
      <alignment horizontal="left" vertical="top" wrapText="1"/>
    </xf>
    <xf numFmtId="0" fontId="11" fillId="0" borderId="4" xfId="4" applyFont="1" applyBorder="1" applyAlignment="1">
      <alignment horizontal="center" vertical="top"/>
    </xf>
    <xf numFmtId="0" fontId="12" fillId="0" borderId="4" xfId="0" applyFont="1" applyBorder="1" applyAlignment="1">
      <alignment horizontal="center" vertical="top"/>
    </xf>
    <xf numFmtId="10" fontId="12" fillId="0" borderId="4" xfId="0" applyNumberFormat="1" applyFont="1" applyBorder="1" applyAlignment="1">
      <alignment horizontal="center" vertical="top"/>
    </xf>
    <xf numFmtId="10" fontId="14" fillId="0" borderId="4" xfId="0" applyNumberFormat="1" applyFont="1" applyBorder="1" applyAlignment="1">
      <alignment horizontal="center" vertical="top"/>
    </xf>
    <xf numFmtId="10" fontId="14" fillId="0" borderId="4" xfId="0" applyNumberFormat="1" applyFont="1" applyBorder="1" applyAlignment="1">
      <alignment horizontal="left" vertical="top"/>
    </xf>
    <xf numFmtId="0" fontId="12" fillId="5" borderId="4" xfId="0" applyFont="1" applyFill="1" applyBorder="1" applyAlignment="1">
      <alignment horizontal="left" vertical="top"/>
    </xf>
    <xf numFmtId="0" fontId="3" fillId="0" borderId="4" xfId="42" applyBorder="1"/>
    <xf numFmtId="0" fontId="12" fillId="0" borderId="4" xfId="0" applyFont="1" applyBorder="1" applyAlignment="1">
      <alignment horizontal="left" vertical="top"/>
    </xf>
    <xf numFmtId="10" fontId="12" fillId="0" borderId="4" xfId="0" applyNumberFormat="1" applyFont="1" applyBorder="1" applyAlignment="1">
      <alignment horizontal="left" vertical="top"/>
    </xf>
    <xf numFmtId="0" fontId="11" fillId="0" borderId="4" xfId="4" applyFont="1" applyBorder="1" applyAlignment="1">
      <alignment horizontal="left" vertical="top"/>
    </xf>
    <xf numFmtId="0" fontId="13" fillId="0" borderId="4" xfId="0" applyFont="1" applyBorder="1" applyAlignment="1">
      <alignment horizontal="left" vertical="top"/>
    </xf>
    <xf numFmtId="0" fontId="3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4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9" fontId="0" fillId="0" borderId="0" xfId="44" applyFont="1"/>
    <xf numFmtId="1" fontId="5" fillId="0" borderId="0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1" xfId="0" applyBorder="1"/>
    <xf numFmtId="0" fontId="28" fillId="0" borderId="0" xfId="0" applyFont="1"/>
    <xf numFmtId="1" fontId="28" fillId="0" borderId="0" xfId="0" applyNumberFormat="1" applyFont="1"/>
    <xf numFmtId="9" fontId="28" fillId="0" borderId="0" xfId="0" applyNumberFormat="1" applyFont="1"/>
    <xf numFmtId="0" fontId="0" fillId="36" borderId="4" xfId="0" applyFill="1" applyBorder="1"/>
    <xf numFmtId="0" fontId="7" fillId="0" borderId="0" xfId="0" applyFont="1"/>
    <xf numFmtId="0" fontId="0" fillId="35" borderId="16" xfId="0" applyFill="1" applyBorder="1"/>
    <xf numFmtId="0" fontId="2" fillId="0" borderId="0" xfId="45"/>
    <xf numFmtId="0" fontId="5" fillId="0" borderId="17" xfId="0" applyFont="1" applyFill="1" applyBorder="1" applyAlignment="1">
      <alignment horizontal="left" vertical="center" wrapText="1"/>
    </xf>
    <xf numFmtId="0" fontId="5" fillId="0" borderId="17" xfId="0" applyFont="1" applyFill="1" applyBorder="1" applyAlignment="1">
      <alignment horizontal="center" vertical="center" wrapText="1"/>
    </xf>
    <xf numFmtId="10" fontId="0" fillId="0" borderId="0" xfId="0" applyNumberFormat="1"/>
    <xf numFmtId="0" fontId="11" fillId="0" borderId="0" xfId="0" applyFont="1"/>
    <xf numFmtId="0" fontId="5" fillId="0" borderId="0" xfId="0" applyFont="1" applyBorder="1" applyAlignment="1">
      <alignment horizontal="left" vertical="center" wrapText="1"/>
    </xf>
    <xf numFmtId="0" fontId="0" fillId="34" borderId="0" xfId="0" applyFill="1" applyAlignment="1">
      <alignment horizontal="center"/>
    </xf>
  </cellXfs>
  <cellStyles count="85">
    <cellStyle name="20% — акцент1" xfId="19" builtinId="30" customBuiltin="1"/>
    <cellStyle name="20% — акцент1 2" xfId="47" xr:uid="{F8483938-4FB1-4A59-9FDB-8B613392E158}"/>
    <cellStyle name="20% — акцент1 3" xfId="67" xr:uid="{FF61F2AF-BFAD-4447-9609-504CFDD05E63}"/>
    <cellStyle name="20% — акцент2" xfId="23" builtinId="34" customBuiltin="1"/>
    <cellStyle name="20% — акцент2 2" xfId="50" xr:uid="{5A2203EE-35DA-4B85-ADD7-8B0E08EBA230}"/>
    <cellStyle name="20% — акцент2 3" xfId="70" xr:uid="{A3B3E66C-51FC-4446-ABB8-AE197623A959}"/>
    <cellStyle name="20% — акцент3" xfId="27" builtinId="38" customBuiltin="1"/>
    <cellStyle name="20% — акцент3 2" xfId="53" xr:uid="{46BA4FCD-719E-4930-BA5A-4FE206C267D0}"/>
    <cellStyle name="20% — акцент3 3" xfId="73" xr:uid="{A6A29F92-3802-4BE4-BD81-E95A9175A0A2}"/>
    <cellStyle name="20% — акцент4" xfId="31" builtinId="42" customBuiltin="1"/>
    <cellStyle name="20% — акцент4 2" xfId="56" xr:uid="{B0F25549-634E-4BC3-A2AE-9201D55F3930}"/>
    <cellStyle name="20% — акцент4 3" xfId="76" xr:uid="{66791217-7D51-4971-B64C-8E6572549048}"/>
    <cellStyle name="20% — акцент5" xfId="35" builtinId="46" customBuiltin="1"/>
    <cellStyle name="20% — акцент5 2" xfId="59" xr:uid="{BFB7C480-5150-4F79-9E18-FA635B8BA8C8}"/>
    <cellStyle name="20% — акцент5 3" xfId="79" xr:uid="{06DFA92F-9155-4021-BD46-9A76D272469F}"/>
    <cellStyle name="20% — акцент6" xfId="39" builtinId="50" customBuiltin="1"/>
    <cellStyle name="20% — акцент6 2" xfId="62" xr:uid="{6387C7AF-AB8F-4264-992B-4D5200DA2299}"/>
    <cellStyle name="20% — акцент6 3" xfId="82" xr:uid="{BC09CD77-1B36-441C-A380-945AA485C603}"/>
    <cellStyle name="40% — акцент1" xfId="20" builtinId="31" customBuiltin="1"/>
    <cellStyle name="40% — акцент1 2" xfId="48" xr:uid="{DE254366-4681-4869-9666-DC9070EED88F}"/>
    <cellStyle name="40% — акцент1 3" xfId="68" xr:uid="{B28C684F-66C2-4161-9ACB-2B0F61343899}"/>
    <cellStyle name="40% — акцент2" xfId="24" builtinId="35" customBuiltin="1"/>
    <cellStyle name="40% — акцент2 2" xfId="51" xr:uid="{C8F3574A-A16E-47C3-A742-155D1A1F7DD8}"/>
    <cellStyle name="40% — акцент2 3" xfId="71" xr:uid="{1DC6856F-7D5D-47A8-8480-D32375B17785}"/>
    <cellStyle name="40% — акцент3" xfId="28" builtinId="39" customBuiltin="1"/>
    <cellStyle name="40% — акцент3 2" xfId="54" xr:uid="{3232005E-9994-418D-88C7-0127F297B366}"/>
    <cellStyle name="40% — акцент3 3" xfId="74" xr:uid="{286135B4-6676-40ED-9DA7-94F6C898AF82}"/>
    <cellStyle name="40% — акцент4" xfId="32" builtinId="43" customBuiltin="1"/>
    <cellStyle name="40% — акцент4 2" xfId="57" xr:uid="{A5BB81AC-1317-4DA3-817B-39BE31A7897D}"/>
    <cellStyle name="40% — акцент4 3" xfId="77" xr:uid="{077D8C61-61D1-4EC2-A920-2DBADB74D6C1}"/>
    <cellStyle name="40% — акцент5" xfId="36" builtinId="47" customBuiltin="1"/>
    <cellStyle name="40% — акцент5 2" xfId="60" xr:uid="{503E9B2B-5DD1-4689-8105-B9315FD48595}"/>
    <cellStyle name="40% — акцент5 3" xfId="80" xr:uid="{4D6F9693-C832-4443-B959-67DEDAF19C2C}"/>
    <cellStyle name="40% — акцент6" xfId="40" builtinId="51" customBuiltin="1"/>
    <cellStyle name="40% — акцент6 2" xfId="63" xr:uid="{FE1390CF-50EA-4495-9619-06FAF31DF169}"/>
    <cellStyle name="40% — акцент6 3" xfId="83" xr:uid="{D93E70EE-79CD-41D5-8E48-3634BFA751D4}"/>
    <cellStyle name="60% — акцент1" xfId="21" builtinId="32" customBuiltin="1"/>
    <cellStyle name="60% — акцент1 2" xfId="49" xr:uid="{F150E239-72F5-46C6-98B6-21A67E7961C7}"/>
    <cellStyle name="60% — акцент1 3" xfId="69" xr:uid="{5D67891B-03D7-465B-A88A-71F8E7FD6754}"/>
    <cellStyle name="60% — акцент2" xfId="25" builtinId="36" customBuiltin="1"/>
    <cellStyle name="60% — акцент2 2" xfId="52" xr:uid="{10C381C1-A958-4CCF-8891-51BD601A9E20}"/>
    <cellStyle name="60% — акцент2 3" xfId="72" xr:uid="{7DC7FCDF-0CA1-4190-B288-B147581A2A5C}"/>
    <cellStyle name="60% — акцент3" xfId="29" builtinId="40" customBuiltin="1"/>
    <cellStyle name="60% — акцент3 2" xfId="55" xr:uid="{9344C440-C421-4D66-A15B-3059B7D191F2}"/>
    <cellStyle name="60% — акцент3 3" xfId="75" xr:uid="{04230A30-2359-48DA-8FE6-048E3FC6D1C4}"/>
    <cellStyle name="60% — акцент4" xfId="33" builtinId="44" customBuiltin="1"/>
    <cellStyle name="60% — акцент4 2" xfId="58" xr:uid="{5FF36E48-0B75-46B4-A52E-B992692ACF99}"/>
    <cellStyle name="60% — акцент4 3" xfId="78" xr:uid="{0C1D15C0-FF41-4917-A8AF-0308AE974E63}"/>
    <cellStyle name="60% — акцент5" xfId="37" builtinId="48" customBuiltin="1"/>
    <cellStyle name="60% — акцент5 2" xfId="61" xr:uid="{6DFE6F1A-3931-4415-B8E6-EB766B721053}"/>
    <cellStyle name="60% — акцент5 3" xfId="81" xr:uid="{2E8170F3-E09C-479E-A3CE-39F6E3D9A61B}"/>
    <cellStyle name="60% — акцент6" xfId="41" builtinId="52" customBuiltin="1"/>
    <cellStyle name="60% — акцент6 2" xfId="64" xr:uid="{15B6100C-E71E-4CB7-AF51-6E629E812F5E}"/>
    <cellStyle name="60% — акцент6 3" xfId="84" xr:uid="{56AF5461-B44F-4000-B51A-FDE163A8833A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 xr:uid="{D0B2F1B7-AACC-435D-9754-3ABECF1F1E3C}"/>
    <cellStyle name="Обычный 3" xfId="42" xr:uid="{38AB8912-B8DB-4975-BF95-24BAE8E9314A}"/>
    <cellStyle name="Обычный 4" xfId="45" xr:uid="{B542EE69-A6C3-448D-A348-14BEDB3E65B7}"/>
    <cellStyle name="Обычный 5" xfId="65" xr:uid="{A82ACA51-0AEE-4571-8A5B-2835C9DC5B73}"/>
    <cellStyle name="Плохой" xfId="2" builtinId="27" customBuiltin="1"/>
    <cellStyle name="Пояснение" xfId="16" builtinId="53" customBuiltin="1"/>
    <cellStyle name="Примечание 2" xfId="43" xr:uid="{5DB8A108-6C29-4BDB-BF02-7C9BE96B190C}"/>
    <cellStyle name="Примечание 3" xfId="46" xr:uid="{A9D4C66F-80FC-4954-B040-F72D53485B4B}"/>
    <cellStyle name="Примечание 4" xfId="66" xr:uid="{CD3FEC85-E356-4427-8DDB-26BD105941EC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 as" refreshedDate="44100.910249768516" createdVersion="6" refreshedVersion="6" minRefreshableVersion="3" recordCount="22" xr:uid="{849ED774-79A0-8640-B03A-801DA7FF34DA}">
  <cacheSource type="worksheet">
    <worksheetSource ref="A1:H23" sheet="Автоматизированный расчет"/>
  </cacheSource>
  <cacheFields count="8">
    <cacheField name="script name" numFmtId="0">
      <sharedItems containsSemiMixedTypes="0" containsString="0" containsNumber="1" containsInteger="1" minValue="1" maxValue="5"/>
    </cacheField>
    <cacheField name="transaction rq" numFmtId="0">
      <sharedItems count="7">
        <s v="Вход в систему"/>
        <s v="Заполнение полей для поиска билета "/>
        <s v="Выбор рейса из найденных "/>
        <s v="Оплата билета"/>
        <s v="Просмотр квитанций"/>
        <s v="Отмена бронирования "/>
        <s v="Выход из системы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2"/>
    </cacheField>
    <cacheField name="pacing" numFmtId="0">
      <sharedItems containsSemiMixedTypes="0" containsString="0" containsNumber="1" containsInteger="1" minValue="47" maxValue="67"/>
    </cacheField>
    <cacheField name="одним пользователем в минуту" numFmtId="2">
      <sharedItems containsSemiMixedTypes="0" containsString="0" containsNumber="1" minValue="0.89552238805970152" maxValue="1.2765957446808511"/>
    </cacheField>
    <cacheField name="Длительность ступени" numFmtId="0">
      <sharedItems containsSemiMixedTypes="0" containsString="0" containsNumber="1" containsInteger="1" minValue="60" maxValue="60"/>
    </cacheField>
    <cacheField name="Итого" numFmtId="1">
      <sharedItems containsSemiMixedTypes="0" containsString="0" containsNumber="1" minValue="76.59574468085107" maxValue="1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"/>
    <x v="0"/>
    <n v="1"/>
    <n v="2"/>
    <n v="67"/>
    <n v="0.89552238805970152"/>
    <n v="60"/>
    <n v="107.46268656716418"/>
  </r>
  <r>
    <n v="1"/>
    <x v="1"/>
    <n v="1"/>
    <n v="2"/>
    <n v="67"/>
    <n v="0.89552238805970152"/>
    <n v="60"/>
    <n v="107.46268656716418"/>
  </r>
  <r>
    <n v="1"/>
    <x v="2"/>
    <n v="1"/>
    <n v="2"/>
    <n v="67"/>
    <n v="0.89552238805970152"/>
    <n v="60"/>
    <n v="107.46268656716418"/>
  </r>
  <r>
    <n v="1"/>
    <x v="3"/>
    <n v="1"/>
    <n v="2"/>
    <n v="67"/>
    <n v="0.89552238805970152"/>
    <n v="60"/>
    <n v="107.46268656716418"/>
  </r>
  <r>
    <n v="1"/>
    <x v="4"/>
    <n v="1"/>
    <n v="2"/>
    <n v="67"/>
    <n v="0.89552238805970152"/>
    <n v="60"/>
    <n v="107.46268656716418"/>
  </r>
  <r>
    <n v="1"/>
    <x v="5"/>
    <n v="1"/>
    <n v="2"/>
    <n v="67"/>
    <n v="0.89552238805970152"/>
    <n v="60"/>
    <n v="107.46268656716418"/>
  </r>
  <r>
    <n v="1"/>
    <x v="6"/>
    <n v="1"/>
    <n v="2"/>
    <n v="67"/>
    <n v="0.89552238805970152"/>
    <n v="60"/>
    <n v="107.46268656716418"/>
  </r>
  <r>
    <n v="2"/>
    <x v="0"/>
    <n v="1"/>
    <n v="2"/>
    <n v="50"/>
    <n v="1.2"/>
    <n v="60"/>
    <n v="144"/>
  </r>
  <r>
    <n v="2"/>
    <x v="1"/>
    <n v="1"/>
    <n v="2"/>
    <n v="50"/>
    <n v="1.2"/>
    <n v="60"/>
    <n v="144"/>
  </r>
  <r>
    <n v="2"/>
    <x v="2"/>
    <n v="1"/>
    <n v="2"/>
    <n v="50"/>
    <n v="1.2"/>
    <n v="60"/>
    <n v="144"/>
  </r>
  <r>
    <n v="2"/>
    <x v="3"/>
    <n v="1"/>
    <n v="2"/>
    <n v="50"/>
    <n v="1.2"/>
    <n v="60"/>
    <n v="144"/>
  </r>
  <r>
    <n v="2"/>
    <x v="6"/>
    <n v="1"/>
    <n v="2"/>
    <n v="50"/>
    <n v="1.2"/>
    <n v="60"/>
    <n v="144"/>
  </r>
  <r>
    <n v="3"/>
    <x v="0"/>
    <n v="1"/>
    <n v="2"/>
    <n v="64"/>
    <n v="0.9375"/>
    <n v="60"/>
    <n v="112.5"/>
  </r>
  <r>
    <n v="3"/>
    <x v="1"/>
    <n v="1"/>
    <n v="2"/>
    <n v="64"/>
    <n v="0.9375"/>
    <n v="60"/>
    <n v="112.5"/>
  </r>
  <r>
    <n v="3"/>
    <x v="2"/>
    <n v="1"/>
    <n v="2"/>
    <n v="64"/>
    <n v="0.9375"/>
    <n v="60"/>
    <n v="112.5"/>
  </r>
  <r>
    <n v="3"/>
    <x v="6"/>
    <n v="1"/>
    <n v="2"/>
    <n v="64"/>
    <n v="0.9375"/>
    <n v="60"/>
    <n v="112.5"/>
  </r>
  <r>
    <n v="4"/>
    <x v="0"/>
    <n v="1"/>
    <n v="1"/>
    <n v="47"/>
    <n v="1.2765957446808511"/>
    <n v="60"/>
    <n v="76.59574468085107"/>
  </r>
  <r>
    <n v="4"/>
    <x v="1"/>
    <n v="1"/>
    <n v="1"/>
    <n v="47"/>
    <n v="1.2765957446808511"/>
    <n v="60"/>
    <n v="76.59574468085107"/>
  </r>
  <r>
    <n v="4"/>
    <x v="6"/>
    <n v="1"/>
    <n v="1"/>
    <n v="47"/>
    <n v="1.2765957446808511"/>
    <n v="60"/>
    <n v="76.59574468085107"/>
  </r>
  <r>
    <n v="5"/>
    <x v="0"/>
    <n v="1"/>
    <n v="2"/>
    <n v="60"/>
    <n v="1"/>
    <n v="60"/>
    <n v="120"/>
  </r>
  <r>
    <n v="5"/>
    <x v="4"/>
    <n v="1"/>
    <n v="2"/>
    <n v="60"/>
    <n v="1"/>
    <n v="60"/>
    <n v="120"/>
  </r>
  <r>
    <n v="5"/>
    <x v="6"/>
    <n v="1"/>
    <n v="2"/>
    <n v="60"/>
    <n v="1"/>
    <n v="60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1B8241-71E6-3F4A-ACE2-C3E8BA417ED7}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9" firstHeaderRow="1" firstDataRow="1" firstDataCol="1"/>
  <pivotFields count="8">
    <pivotField showAll="0"/>
    <pivotField axis="axisRow" showAll="0">
      <items count="8">
        <item x="0"/>
        <item x="2"/>
        <item x="6"/>
        <item x="1"/>
        <item x="3"/>
        <item x="5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8D5544-E766-4BDA-A476-582CE5CAC241}" name="Таблица1" displayName="Таблица1" ref="A1:H4" totalsRowShown="0">
  <autoFilter ref="A1:H4" xr:uid="{D860418E-6CD1-4DEE-B344-B4FFF1ADF768}"/>
  <tableColumns count="8">
    <tableColumn id="1" xr3:uid="{FE3BCB61-C1B7-4689-AF9C-012575D4A679}" name="Script name"/>
    <tableColumn id="2" xr3:uid="{71961FBB-B632-4580-80A4-3A55088F9B71}" name="transaction rq"/>
    <tableColumn id="3" xr3:uid="{F919CB0E-2743-4A9D-BED1-D733503AFB3F}" name="count"/>
    <tableColumn id="4" xr3:uid="{0FDE9B75-FA39-4568-A63A-DE8CD508CF3B}" name="VU"/>
    <tableColumn id="5" xr3:uid="{BD1CDF16-1661-4062-A7BD-B5AC3C4735F0}" name="pacing"/>
    <tableColumn id="6" xr3:uid="{A79EAD15-5BD8-4C75-A12D-6EAE11395665}" name="одним пользователем в минуту"/>
    <tableColumn id="7" xr3:uid="{CC0CE972-6FBB-4B45-980F-E3CED1101FC7}" name="Длительность ступени"/>
    <tableColumn id="8" xr3:uid="{8CBB980D-965C-4FD3-A693-DAB7BB599CC2}" name="Итого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C6D2E-9FF6-4E30-B323-4EB2983D9AEF}">
  <dimension ref="A1:H4"/>
  <sheetViews>
    <sheetView workbookViewId="0">
      <selection activeCell="H3" sqref="H3"/>
    </sheetView>
  </sheetViews>
  <sheetFormatPr defaultRowHeight="15" x14ac:dyDescent="0.25"/>
  <cols>
    <col min="1" max="1" width="13.5703125" customWidth="1"/>
    <col min="2" max="2" width="15.28515625" customWidth="1"/>
    <col min="6" max="6" width="32.7109375" customWidth="1"/>
    <col min="7" max="7" width="23.7109375" customWidth="1"/>
  </cols>
  <sheetData>
    <row r="1" spans="1:8" x14ac:dyDescent="0.25">
      <c r="A1" t="s">
        <v>22</v>
      </c>
      <c r="B1" t="s">
        <v>23</v>
      </c>
      <c r="C1" t="s">
        <v>24</v>
      </c>
      <c r="D1" t="s">
        <v>29</v>
      </c>
      <c r="E1" t="s">
        <v>40</v>
      </c>
      <c r="F1" t="s">
        <v>41</v>
      </c>
      <c r="G1" t="s">
        <v>42</v>
      </c>
      <c r="H1" t="s">
        <v>7</v>
      </c>
    </row>
    <row r="2" spans="1:8" x14ac:dyDescent="0.25">
      <c r="A2">
        <v>3</v>
      </c>
      <c r="B2" t="s">
        <v>9</v>
      </c>
      <c r="C2">
        <v>1</v>
      </c>
      <c r="D2">
        <v>1</v>
      </c>
      <c r="E2">
        <v>80</v>
      </c>
      <c r="F2">
        <v>0.75</v>
      </c>
      <c r="G2">
        <v>60</v>
      </c>
      <c r="H2">
        <v>45</v>
      </c>
    </row>
    <row r="3" spans="1:8" x14ac:dyDescent="0.25">
      <c r="A3">
        <v>2</v>
      </c>
      <c r="B3" t="s">
        <v>9</v>
      </c>
      <c r="C3">
        <v>1</v>
      </c>
      <c r="D3">
        <v>2</v>
      </c>
      <c r="E3">
        <v>85</v>
      </c>
      <c r="F3">
        <v>0.70588235294117652</v>
      </c>
      <c r="G3">
        <v>60</v>
      </c>
      <c r="H3">
        <v>84.705882352941188</v>
      </c>
    </row>
    <row r="4" spans="1:8" x14ac:dyDescent="0.25">
      <c r="A4">
        <v>1</v>
      </c>
      <c r="B4" t="s">
        <v>9</v>
      </c>
      <c r="C4">
        <v>1</v>
      </c>
      <c r="D4">
        <v>2</v>
      </c>
      <c r="E4">
        <v>105</v>
      </c>
      <c r="F4">
        <v>0.5714285714285714</v>
      </c>
      <c r="G4">
        <v>60</v>
      </c>
      <c r="H4">
        <v>68.571428571428569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73EA1-9683-764A-B533-D46D1B03E170}">
  <dimension ref="A1:X48"/>
  <sheetViews>
    <sheetView tabSelected="1" topLeftCell="A22" zoomScale="70" zoomScaleNormal="70" workbookViewId="0">
      <selection activeCell="Q2" sqref="Q2"/>
    </sheetView>
  </sheetViews>
  <sheetFormatPr defaultColWidth="11.42578125" defaultRowHeight="15" x14ac:dyDescent="0.25"/>
  <cols>
    <col min="1" max="1" width="22.7109375" customWidth="1"/>
    <col min="9" max="9" width="36.85546875" bestFit="1" customWidth="1"/>
    <col min="10" max="10" width="21.5703125" bestFit="1" customWidth="1"/>
    <col min="11" max="11" width="18.7109375" customWidth="1"/>
    <col min="12" max="12" width="27.42578125" bestFit="1" customWidth="1"/>
    <col min="13" max="13" width="35.85546875" bestFit="1" customWidth="1"/>
    <col min="19" max="19" width="44" bestFit="1" customWidth="1"/>
  </cols>
  <sheetData>
    <row r="1" spans="1:24" ht="15.75" thickBot="1" x14ac:dyDescent="0.3">
      <c r="A1" t="s">
        <v>45</v>
      </c>
      <c r="B1" t="s">
        <v>23</v>
      </c>
      <c r="C1" t="s">
        <v>24</v>
      </c>
      <c r="D1" t="s">
        <v>29</v>
      </c>
      <c r="E1" t="s">
        <v>40</v>
      </c>
      <c r="F1" t="s">
        <v>41</v>
      </c>
      <c r="G1" t="s">
        <v>42</v>
      </c>
      <c r="H1" t="s">
        <v>7</v>
      </c>
      <c r="I1" s="19" t="s">
        <v>25</v>
      </c>
      <c r="J1" t="s">
        <v>38</v>
      </c>
      <c r="M1" t="s">
        <v>28</v>
      </c>
      <c r="N1" t="s">
        <v>30</v>
      </c>
      <c r="O1" t="s">
        <v>31</v>
      </c>
      <c r="P1" t="s">
        <v>43</v>
      </c>
      <c r="Q1" t="s">
        <v>32</v>
      </c>
      <c r="R1" t="s">
        <v>29</v>
      </c>
      <c r="S1" t="s">
        <v>33</v>
      </c>
      <c r="T1" s="30" t="s">
        <v>34</v>
      </c>
      <c r="U1" s="30" t="s">
        <v>35</v>
      </c>
      <c r="V1" s="30" t="s">
        <v>36</v>
      </c>
      <c r="X1" t="s">
        <v>37</v>
      </c>
    </row>
    <row r="2" spans="1:24" x14ac:dyDescent="0.25">
      <c r="A2">
        <v>1</v>
      </c>
      <c r="B2" s="20" t="s">
        <v>0</v>
      </c>
      <c r="C2">
        <v>1</v>
      </c>
      <c r="D2" s="27">
        <f t="shared" ref="D2:D21" si="0">VLOOKUP(A2,$M$1:$W$8,6,FALSE)</f>
        <v>2</v>
      </c>
      <c r="E2">
        <f>VLOOKUP(A2,$M$1:$W$8,5,FALSE)</f>
        <v>67</v>
      </c>
      <c r="F2" s="24">
        <f>60/E2</f>
        <v>0.89552238805970152</v>
      </c>
      <c r="G2">
        <v>60</v>
      </c>
      <c r="H2" s="23">
        <f>D2*F2*G2</f>
        <v>107.46268656716418</v>
      </c>
      <c r="I2" s="20" t="s">
        <v>0</v>
      </c>
      <c r="J2" s="18">
        <v>560.55843124801527</v>
      </c>
      <c r="K2" s="18"/>
      <c r="M2">
        <v>1</v>
      </c>
      <c r="N2">
        <v>5.6154999999999999</v>
      </c>
      <c r="O2">
        <v>35.003500000000003</v>
      </c>
      <c r="P2">
        <f>N2+O2</f>
        <v>40.619</v>
      </c>
      <c r="Q2" s="21">
        <v>67</v>
      </c>
      <c r="R2" s="21">
        <v>2</v>
      </c>
      <c r="S2" s="22">
        <f>60/(Q2)</f>
        <v>0.89552238805970152</v>
      </c>
      <c r="T2" s="30">
        <v>20</v>
      </c>
      <c r="U2" s="31">
        <f>ROUND(R2*S2*T2,0)</f>
        <v>36</v>
      </c>
      <c r="V2" s="32">
        <f>R2/W$2</f>
        <v>0.22222222222222221</v>
      </c>
      <c r="W2">
        <f>SUM(R2:R6)</f>
        <v>9</v>
      </c>
      <c r="X2">
        <f>R2*S2*T2</f>
        <v>35.820895522388064</v>
      </c>
    </row>
    <row r="3" spans="1:24" x14ac:dyDescent="0.25">
      <c r="A3">
        <v>1</v>
      </c>
      <c r="B3" t="s">
        <v>8</v>
      </c>
      <c r="C3">
        <v>1</v>
      </c>
      <c r="D3" s="28">
        <f t="shared" si="0"/>
        <v>2</v>
      </c>
      <c r="E3">
        <f t="shared" ref="E3:E21" si="1">VLOOKUP(A3,$M$1:$W$8,5,FALSE)</f>
        <v>67</v>
      </c>
      <c r="F3" s="24">
        <f t="shared" ref="F3:F21" si="2">60/E3</f>
        <v>0.89552238805970152</v>
      </c>
      <c r="G3">
        <v>60</v>
      </c>
      <c r="H3" s="23">
        <f t="shared" ref="H3:H18" si="3">D3*F3*G3</f>
        <v>107.46268656716418</v>
      </c>
      <c r="I3" s="20" t="s">
        <v>9</v>
      </c>
      <c r="J3" s="18">
        <v>363.96268656716416</v>
      </c>
      <c r="K3" s="18"/>
      <c r="M3">
        <v>2</v>
      </c>
      <c r="N3">
        <v>3.1109</v>
      </c>
      <c r="O3">
        <v>20.0014</v>
      </c>
      <c r="P3">
        <f t="shared" ref="P3:P6" si="4">N3+O3</f>
        <v>23.112300000000001</v>
      </c>
      <c r="Q3" s="21">
        <v>50</v>
      </c>
      <c r="R3" s="21">
        <v>2</v>
      </c>
      <c r="S3" s="22">
        <f t="shared" ref="S3:S7" si="5">60/(Q3)</f>
        <v>1.2</v>
      </c>
      <c r="T3" s="30">
        <v>20</v>
      </c>
      <c r="U3" s="31">
        <f t="shared" ref="U3:U6" si="6">ROUND(R3*S3*T3,0)</f>
        <v>48</v>
      </c>
      <c r="V3" s="32">
        <f t="shared" ref="V3:V6" si="7">R3/W$2</f>
        <v>0.22222222222222221</v>
      </c>
      <c r="X3">
        <f>R3*S3*T3</f>
        <v>48</v>
      </c>
    </row>
    <row r="4" spans="1:24" x14ac:dyDescent="0.25">
      <c r="A4">
        <v>1</v>
      </c>
      <c r="B4" t="s">
        <v>9</v>
      </c>
      <c r="C4">
        <v>1</v>
      </c>
      <c r="D4" s="28">
        <f t="shared" si="0"/>
        <v>2</v>
      </c>
      <c r="E4">
        <f t="shared" si="1"/>
        <v>67</v>
      </c>
      <c r="F4" s="24">
        <f t="shared" si="2"/>
        <v>0.89552238805970152</v>
      </c>
      <c r="G4">
        <v>60</v>
      </c>
      <c r="H4" s="23">
        <f t="shared" si="3"/>
        <v>107.46268656716418</v>
      </c>
      <c r="I4" s="20" t="s">
        <v>6</v>
      </c>
      <c r="J4" s="18">
        <v>560.55843124801527</v>
      </c>
      <c r="K4" s="18"/>
      <c r="M4">
        <v>3</v>
      </c>
      <c r="N4">
        <v>4.5355999999999996</v>
      </c>
      <c r="O4">
        <v>30.001799999999999</v>
      </c>
      <c r="P4">
        <f t="shared" si="4"/>
        <v>34.537399999999998</v>
      </c>
      <c r="Q4" s="21">
        <v>64</v>
      </c>
      <c r="R4" s="21">
        <v>2</v>
      </c>
      <c r="S4" s="22">
        <f t="shared" si="5"/>
        <v>0.9375</v>
      </c>
      <c r="T4" s="30">
        <v>20</v>
      </c>
      <c r="U4" s="31">
        <f t="shared" si="6"/>
        <v>38</v>
      </c>
      <c r="V4" s="32">
        <f t="shared" si="7"/>
        <v>0.22222222222222221</v>
      </c>
      <c r="X4">
        <f>R4*S4*T4</f>
        <v>37.5</v>
      </c>
    </row>
    <row r="5" spans="1:24" x14ac:dyDescent="0.25">
      <c r="A5">
        <v>1</v>
      </c>
      <c r="B5" t="s">
        <v>3</v>
      </c>
      <c r="C5">
        <v>1</v>
      </c>
      <c r="D5" s="28">
        <f t="shared" si="0"/>
        <v>2</v>
      </c>
      <c r="E5">
        <f t="shared" si="1"/>
        <v>67</v>
      </c>
      <c r="F5" s="24">
        <f t="shared" si="2"/>
        <v>0.89552238805970152</v>
      </c>
      <c r="G5">
        <v>60</v>
      </c>
      <c r="H5" s="23">
        <f t="shared" si="3"/>
        <v>107.46268656716418</v>
      </c>
      <c r="I5" s="20" t="s">
        <v>8</v>
      </c>
      <c r="J5" s="18">
        <v>440.55843124801521</v>
      </c>
      <c r="K5" s="18"/>
      <c r="M5">
        <v>4</v>
      </c>
      <c r="N5">
        <v>6.3802000000000003</v>
      </c>
      <c r="O5">
        <v>55.003399999999999</v>
      </c>
      <c r="P5">
        <f t="shared" si="4"/>
        <v>61.383600000000001</v>
      </c>
      <c r="Q5" s="21">
        <v>47</v>
      </c>
      <c r="R5" s="21">
        <v>1</v>
      </c>
      <c r="S5" s="22">
        <f t="shared" si="5"/>
        <v>1.2765957446808511</v>
      </c>
      <c r="T5" s="30">
        <v>20</v>
      </c>
      <c r="U5" s="31">
        <f t="shared" si="6"/>
        <v>26</v>
      </c>
      <c r="V5" s="32">
        <f t="shared" si="7"/>
        <v>0.1111111111111111</v>
      </c>
      <c r="X5">
        <f>R5*S5*T5</f>
        <v>25.531914893617021</v>
      </c>
    </row>
    <row r="6" spans="1:24" x14ac:dyDescent="0.25">
      <c r="A6">
        <v>1</v>
      </c>
      <c r="B6" t="s">
        <v>4</v>
      </c>
      <c r="C6">
        <v>1</v>
      </c>
      <c r="D6" s="28">
        <f t="shared" ref="D6" si="8">VLOOKUP(A6,$M$1:$W$8,6,FALSE)</f>
        <v>2</v>
      </c>
      <c r="E6">
        <f t="shared" ref="E6" si="9">VLOOKUP(A6,$M$1:$W$8,5,FALSE)</f>
        <v>67</v>
      </c>
      <c r="F6" s="24">
        <f t="shared" ref="F6" si="10">60/E6</f>
        <v>0.89552238805970152</v>
      </c>
      <c r="G6">
        <v>60</v>
      </c>
      <c r="H6" s="23">
        <f t="shared" ref="H6" si="11">D6*F6*G6</f>
        <v>107.46268656716418</v>
      </c>
      <c r="I6" s="20" t="s">
        <v>3</v>
      </c>
      <c r="J6" s="18">
        <v>251.46268656716418</v>
      </c>
      <c r="K6" s="18"/>
      <c r="M6">
        <v>5</v>
      </c>
      <c r="N6">
        <v>5.1223000000000001</v>
      </c>
      <c r="O6">
        <v>35.0032</v>
      </c>
      <c r="P6">
        <f t="shared" si="4"/>
        <v>40.125500000000002</v>
      </c>
      <c r="Q6" s="21">
        <v>60</v>
      </c>
      <c r="R6" s="21">
        <v>2</v>
      </c>
      <c r="S6" s="22">
        <f t="shared" si="5"/>
        <v>1</v>
      </c>
      <c r="T6" s="30">
        <v>20</v>
      </c>
      <c r="U6" s="31">
        <f t="shared" si="6"/>
        <v>40</v>
      </c>
      <c r="V6" s="32">
        <f t="shared" si="7"/>
        <v>0.22222222222222221</v>
      </c>
      <c r="X6">
        <f>R6*S6*T6</f>
        <v>40</v>
      </c>
    </row>
    <row r="7" spans="1:24" x14ac:dyDescent="0.25">
      <c r="A7">
        <v>1</v>
      </c>
      <c r="B7" s="20" t="s">
        <v>10</v>
      </c>
      <c r="C7">
        <v>1</v>
      </c>
      <c r="D7" s="28">
        <f t="shared" ref="D7" si="12">VLOOKUP(A7,$M$1:$W$8,6,FALSE)</f>
        <v>2</v>
      </c>
      <c r="E7">
        <f t="shared" ref="E7" si="13">VLOOKUP(A7,$M$1:$W$8,5,FALSE)</f>
        <v>67</v>
      </c>
      <c r="F7" s="24">
        <f t="shared" ref="F7" si="14">60/E7</f>
        <v>0.89552238805970152</v>
      </c>
      <c r="G7">
        <v>60</v>
      </c>
      <c r="H7" s="23">
        <f t="shared" ref="H7" si="15">D7*F7*G7</f>
        <v>107.46268656716418</v>
      </c>
      <c r="I7" s="20" t="s">
        <v>10</v>
      </c>
      <c r="J7" s="18">
        <v>107.46268656716418</v>
      </c>
      <c r="K7" s="18"/>
      <c r="M7">
        <v>6</v>
      </c>
      <c r="Q7" s="35">
        <v>240</v>
      </c>
      <c r="R7" s="35">
        <v>1</v>
      </c>
      <c r="S7" s="22">
        <f t="shared" si="5"/>
        <v>0.25</v>
      </c>
      <c r="T7" s="30"/>
      <c r="U7" s="31">
        <f>SUM(U2:U6)</f>
        <v>188</v>
      </c>
      <c r="V7" s="32">
        <f>SUM(V2:V6)</f>
        <v>0.99999999999999989</v>
      </c>
    </row>
    <row r="8" spans="1:24" ht="15.75" thickBot="1" x14ac:dyDescent="0.3">
      <c r="A8">
        <v>1</v>
      </c>
      <c r="B8" s="20" t="s">
        <v>6</v>
      </c>
      <c r="C8">
        <v>1</v>
      </c>
      <c r="D8" s="29">
        <v>2</v>
      </c>
      <c r="E8">
        <f t="shared" ref="E8" si="16">VLOOKUP(A8,$M$1:$W$8,5,FALSE)</f>
        <v>67</v>
      </c>
      <c r="F8" s="24">
        <f t="shared" ref="F8" si="17">60/E8</f>
        <v>0.89552238805970152</v>
      </c>
      <c r="G8">
        <v>60</v>
      </c>
      <c r="H8" s="23">
        <f t="shared" ref="H8" si="18">D8*F8*G8</f>
        <v>107.46268656716418</v>
      </c>
      <c r="I8" s="20" t="s">
        <v>4</v>
      </c>
      <c r="J8" s="18">
        <v>227.46268656716418</v>
      </c>
      <c r="K8" s="18"/>
    </row>
    <row r="9" spans="1:24" x14ac:dyDescent="0.25">
      <c r="A9">
        <v>2</v>
      </c>
      <c r="B9" s="20" t="s">
        <v>0</v>
      </c>
      <c r="C9">
        <v>1</v>
      </c>
      <c r="D9" s="28">
        <f t="shared" si="0"/>
        <v>2</v>
      </c>
      <c r="E9">
        <f t="shared" si="1"/>
        <v>50</v>
      </c>
      <c r="F9" s="24">
        <f t="shared" si="2"/>
        <v>1.2</v>
      </c>
      <c r="G9">
        <v>60</v>
      </c>
      <c r="H9" s="23">
        <f t="shared" si="3"/>
        <v>144</v>
      </c>
      <c r="I9" s="20" t="s">
        <v>26</v>
      </c>
      <c r="J9" s="18">
        <v>2512.0260400127031</v>
      </c>
      <c r="K9" s="18"/>
    </row>
    <row r="10" spans="1:24" x14ac:dyDescent="0.25">
      <c r="A10">
        <v>2</v>
      </c>
      <c r="B10" s="20" t="s">
        <v>8</v>
      </c>
      <c r="C10">
        <v>1</v>
      </c>
      <c r="D10" s="28">
        <f t="shared" ref="D10:D11" si="19">VLOOKUP(A10,$M$1:$W$8,6,FALSE)</f>
        <v>2</v>
      </c>
      <c r="E10">
        <f t="shared" ref="E10:E11" si="20">VLOOKUP(A10,$M$1:$W$8,5,FALSE)</f>
        <v>50</v>
      </c>
      <c r="F10" s="24">
        <f t="shared" ref="F10:F11" si="21">60/E10</f>
        <v>1.2</v>
      </c>
      <c r="G10">
        <v>60</v>
      </c>
      <c r="H10" s="23">
        <f t="shared" ref="H10:H11" si="22">D10*F10*G10</f>
        <v>144</v>
      </c>
    </row>
    <row r="11" spans="1:24" x14ac:dyDescent="0.25">
      <c r="A11">
        <v>2</v>
      </c>
      <c r="B11" s="20" t="s">
        <v>9</v>
      </c>
      <c r="C11">
        <v>1</v>
      </c>
      <c r="D11" s="28">
        <f t="shared" si="19"/>
        <v>2</v>
      </c>
      <c r="E11">
        <f t="shared" si="20"/>
        <v>50</v>
      </c>
      <c r="F11" s="24">
        <f t="shared" si="21"/>
        <v>1.2</v>
      </c>
      <c r="G11">
        <v>60</v>
      </c>
      <c r="H11" s="23">
        <f t="shared" si="22"/>
        <v>144</v>
      </c>
    </row>
    <row r="12" spans="1:24" x14ac:dyDescent="0.25">
      <c r="A12">
        <v>2</v>
      </c>
      <c r="B12" s="20" t="s">
        <v>3</v>
      </c>
      <c r="C12">
        <v>1</v>
      </c>
      <c r="D12" s="28">
        <f t="shared" si="0"/>
        <v>2</v>
      </c>
      <c r="E12">
        <f t="shared" si="1"/>
        <v>50</v>
      </c>
      <c r="F12" s="24">
        <f t="shared" si="2"/>
        <v>1.2</v>
      </c>
      <c r="G12">
        <v>60</v>
      </c>
      <c r="H12" s="23">
        <f t="shared" si="3"/>
        <v>144</v>
      </c>
    </row>
    <row r="13" spans="1:24" ht="15.75" thickBot="1" x14ac:dyDescent="0.3">
      <c r="A13">
        <v>2</v>
      </c>
      <c r="B13" s="20" t="s">
        <v>6</v>
      </c>
      <c r="C13">
        <v>1</v>
      </c>
      <c r="D13" s="29">
        <f>VLOOKUP(A13,$M$1:$W$8,6,FALSE)</f>
        <v>2</v>
      </c>
      <c r="E13">
        <f>VLOOKUP(A13,$M$1:$W$8,5,FALSE)</f>
        <v>50</v>
      </c>
      <c r="F13" s="24">
        <f>60/E13</f>
        <v>1.2</v>
      </c>
      <c r="G13">
        <v>60</v>
      </c>
      <c r="H13" s="23">
        <f>D13*F13*G13</f>
        <v>144</v>
      </c>
    </row>
    <row r="14" spans="1:24" x14ac:dyDescent="0.25">
      <c r="A14">
        <v>3</v>
      </c>
      <c r="B14" t="s">
        <v>0</v>
      </c>
      <c r="C14">
        <v>1</v>
      </c>
      <c r="D14" s="28">
        <f t="shared" ref="D14:D15" si="23">VLOOKUP(A14,$M$1:$W$8,6,FALSE)</f>
        <v>2</v>
      </c>
      <c r="E14">
        <f t="shared" ref="E14:E15" si="24">VLOOKUP(A14,$M$1:$W$8,5,FALSE)</f>
        <v>64</v>
      </c>
      <c r="F14" s="24">
        <f t="shared" ref="F14:F15" si="25">60/E14</f>
        <v>0.9375</v>
      </c>
      <c r="G14">
        <v>60</v>
      </c>
      <c r="H14" s="23">
        <f t="shared" ref="H14:H15" si="26">D14*F14*G14</f>
        <v>112.5</v>
      </c>
      <c r="N14" s="24"/>
      <c r="P14" s="23"/>
    </row>
    <row r="15" spans="1:24" x14ac:dyDescent="0.25">
      <c r="A15">
        <v>3</v>
      </c>
      <c r="B15" t="s">
        <v>8</v>
      </c>
      <c r="C15">
        <v>1</v>
      </c>
      <c r="D15" s="28">
        <f t="shared" si="23"/>
        <v>2</v>
      </c>
      <c r="E15">
        <f t="shared" si="24"/>
        <v>64</v>
      </c>
      <c r="F15" s="24">
        <f t="shared" si="25"/>
        <v>0.9375</v>
      </c>
      <c r="G15">
        <v>60</v>
      </c>
      <c r="H15" s="23">
        <f t="shared" si="26"/>
        <v>112.5</v>
      </c>
      <c r="O15" s="23"/>
    </row>
    <row r="16" spans="1:24" x14ac:dyDescent="0.25">
      <c r="A16">
        <v>3</v>
      </c>
      <c r="B16" t="s">
        <v>9</v>
      </c>
      <c r="C16">
        <v>1</v>
      </c>
      <c r="D16" s="28">
        <f t="shared" si="0"/>
        <v>2</v>
      </c>
      <c r="E16">
        <f t="shared" si="1"/>
        <v>64</v>
      </c>
      <c r="F16" s="24">
        <f t="shared" si="2"/>
        <v>0.9375</v>
      </c>
      <c r="G16">
        <v>60</v>
      </c>
      <c r="H16" s="23">
        <f t="shared" si="3"/>
        <v>112.5</v>
      </c>
      <c r="N16" s="24"/>
      <c r="P16" s="23"/>
    </row>
    <row r="17" spans="1:16" ht="15.75" thickBot="1" x14ac:dyDescent="0.3">
      <c r="A17">
        <v>3</v>
      </c>
      <c r="B17" s="20" t="s">
        <v>6</v>
      </c>
      <c r="C17">
        <v>1</v>
      </c>
      <c r="D17" s="29">
        <f t="shared" ref="D17" si="27">VLOOKUP(A17,$M$1:$W$8,6,FALSE)</f>
        <v>2</v>
      </c>
      <c r="E17">
        <f t="shared" ref="E17" si="28">VLOOKUP(A17,$M$1:$W$8,5,FALSE)</f>
        <v>64</v>
      </c>
      <c r="F17" s="24">
        <f t="shared" ref="F17" si="29">60/E17</f>
        <v>0.9375</v>
      </c>
      <c r="G17">
        <v>60</v>
      </c>
      <c r="H17" s="23">
        <f t="shared" ref="H17" si="30">D17*F17*G17</f>
        <v>112.5</v>
      </c>
      <c r="N17" s="24"/>
      <c r="P17" s="23"/>
    </row>
    <row r="18" spans="1:16" x14ac:dyDescent="0.25">
      <c r="A18">
        <v>4</v>
      </c>
      <c r="B18" s="20" t="s">
        <v>0</v>
      </c>
      <c r="C18">
        <v>1</v>
      </c>
      <c r="D18" s="28">
        <f t="shared" si="0"/>
        <v>1</v>
      </c>
      <c r="E18">
        <f t="shared" si="1"/>
        <v>47</v>
      </c>
      <c r="F18" s="24">
        <f t="shared" si="2"/>
        <v>1.2765957446808511</v>
      </c>
      <c r="G18">
        <v>60</v>
      </c>
      <c r="H18" s="23">
        <f t="shared" si="3"/>
        <v>76.59574468085107</v>
      </c>
    </row>
    <row r="19" spans="1:16" x14ac:dyDescent="0.25">
      <c r="A19">
        <v>4</v>
      </c>
      <c r="B19" s="20" t="s">
        <v>8</v>
      </c>
      <c r="C19">
        <v>1</v>
      </c>
      <c r="D19" s="28">
        <f t="shared" ref="D19" si="31">VLOOKUP(A19,$M$1:$W$8,6,FALSE)</f>
        <v>1</v>
      </c>
      <c r="E19">
        <f t="shared" ref="E19" si="32">VLOOKUP(A19,$M$1:$W$8,5,FALSE)</f>
        <v>47</v>
      </c>
      <c r="F19" s="24">
        <f t="shared" ref="F19" si="33">60/E19</f>
        <v>1.2765957446808511</v>
      </c>
      <c r="G19">
        <v>60</v>
      </c>
      <c r="H19" s="23">
        <f t="shared" ref="H19" si="34">D19*F19*G19</f>
        <v>76.59574468085107</v>
      </c>
    </row>
    <row r="20" spans="1:16" ht="15.75" thickBot="1" x14ac:dyDescent="0.3">
      <c r="A20">
        <v>4</v>
      </c>
      <c r="B20" t="s">
        <v>6</v>
      </c>
      <c r="C20">
        <v>1</v>
      </c>
      <c r="D20" s="29">
        <f>VLOOKUP(A20,$M$1:$W$8,6,FALSE)</f>
        <v>1</v>
      </c>
      <c r="E20">
        <f>VLOOKUP(A20,$M$1:$W$8,5,FALSE)</f>
        <v>47</v>
      </c>
      <c r="F20" s="24">
        <f>60/E20</f>
        <v>1.2765957446808511</v>
      </c>
      <c r="G20">
        <v>60</v>
      </c>
      <c r="H20" s="23">
        <f>D20*F20*G20</f>
        <v>76.59574468085107</v>
      </c>
    </row>
    <row r="21" spans="1:16" x14ac:dyDescent="0.25">
      <c r="A21">
        <v>5</v>
      </c>
      <c r="B21" s="20" t="s">
        <v>0</v>
      </c>
      <c r="C21">
        <v>1</v>
      </c>
      <c r="D21" s="28">
        <f t="shared" si="0"/>
        <v>2</v>
      </c>
      <c r="E21">
        <f t="shared" si="1"/>
        <v>60</v>
      </c>
      <c r="F21" s="24">
        <f t="shared" si="2"/>
        <v>1</v>
      </c>
      <c r="G21">
        <v>60</v>
      </c>
      <c r="H21" s="23">
        <f>D21*F21*G21</f>
        <v>120</v>
      </c>
    </row>
    <row r="22" spans="1:16" x14ac:dyDescent="0.25">
      <c r="A22">
        <v>5</v>
      </c>
      <c r="B22" s="20" t="s">
        <v>4</v>
      </c>
      <c r="C22">
        <v>1</v>
      </c>
      <c r="D22" s="28">
        <f t="shared" ref="D22" si="35">VLOOKUP(A22,$M$1:$W$8,6,FALSE)</f>
        <v>2</v>
      </c>
      <c r="E22">
        <f t="shared" ref="E22" si="36">VLOOKUP(A22,$M$1:$W$8,5,FALSE)</f>
        <v>60</v>
      </c>
      <c r="F22" s="24">
        <f t="shared" ref="F22" si="37">60/E22</f>
        <v>1</v>
      </c>
      <c r="G22">
        <v>60</v>
      </c>
      <c r="H22" s="23">
        <f>D22*F22*G22</f>
        <v>120</v>
      </c>
    </row>
    <row r="23" spans="1:16" ht="15.75" thickBot="1" x14ac:dyDescent="0.3">
      <c r="A23">
        <v>5</v>
      </c>
      <c r="B23" t="s">
        <v>6</v>
      </c>
      <c r="C23">
        <v>1</v>
      </c>
      <c r="D23" s="29">
        <f>VLOOKUP(A23,$M$1:$W$8,6,FALSE)</f>
        <v>2</v>
      </c>
      <c r="E23">
        <f>VLOOKUP(A23,$M$1:$W$8,5,FALSE)</f>
        <v>60</v>
      </c>
      <c r="F23" s="24">
        <f>60/E23</f>
        <v>1</v>
      </c>
      <c r="G23">
        <v>60</v>
      </c>
      <c r="H23" s="23">
        <f>D22*F22*G22</f>
        <v>120</v>
      </c>
    </row>
    <row r="25" spans="1:16" ht="18.75" x14ac:dyDescent="0.3">
      <c r="A25" s="34" t="s">
        <v>27</v>
      </c>
      <c r="C25" t="s">
        <v>39</v>
      </c>
      <c r="G25" t="s">
        <v>44</v>
      </c>
    </row>
    <row r="26" spans="1:16" ht="19.5" thickBot="1" x14ac:dyDescent="0.3">
      <c r="A26" s="1" t="s">
        <v>0</v>
      </c>
      <c r="B26" s="2">
        <v>368</v>
      </c>
      <c r="C26" s="23">
        <f>GETPIVOTDATA("Итого",$I$1,"transaction rq",A26)</f>
        <v>560.55843124801527</v>
      </c>
      <c r="D26" s="25">
        <f>1-B26/C26</f>
        <v>0.34351179201659188</v>
      </c>
      <c r="G26" s="33">
        <f t="shared" ref="G26:G31" si="38">C26/3</f>
        <v>186.8528104160051</v>
      </c>
      <c r="H26">
        <v>132</v>
      </c>
      <c r="I26" s="25">
        <f>1-G26/H26</f>
        <v>-0.41555159406064468</v>
      </c>
      <c r="K26" t="s">
        <v>46</v>
      </c>
      <c r="L26">
        <v>82</v>
      </c>
      <c r="M26">
        <v>319</v>
      </c>
    </row>
    <row r="27" spans="1:16" ht="57" thickBot="1" x14ac:dyDescent="0.3">
      <c r="A27" s="1" t="s">
        <v>8</v>
      </c>
      <c r="B27" s="2">
        <v>282</v>
      </c>
      <c r="C27" s="23">
        <f t="shared" ref="C27:C32" si="39">GETPIVOTDATA("Итого",$I$1,"transaction rq",A27)</f>
        <v>440.55843124801521</v>
      </c>
      <c r="D27" s="25">
        <f t="shared" ref="D27:D33" si="40">1-B27/C27</f>
        <v>0.35990329545810851</v>
      </c>
      <c r="G27" s="33">
        <f t="shared" si="38"/>
        <v>146.85281041600507</v>
      </c>
      <c r="H27">
        <v>99</v>
      </c>
      <c r="I27" s="25">
        <f t="shared" ref="I27:I32" si="41">1-G27/H27</f>
        <v>-0.48336172137378863</v>
      </c>
      <c r="K27" t="s">
        <v>47</v>
      </c>
      <c r="L27">
        <v>99</v>
      </c>
    </row>
    <row r="28" spans="1:16" ht="38.25" thickBot="1" x14ac:dyDescent="0.3">
      <c r="A28" s="1" t="s">
        <v>9</v>
      </c>
      <c r="B28" s="2">
        <v>251</v>
      </c>
      <c r="C28" s="23">
        <f t="shared" si="39"/>
        <v>363.96268656716416</v>
      </c>
      <c r="D28" s="25">
        <f t="shared" si="40"/>
        <v>0.31036886674458175</v>
      </c>
      <c r="G28" s="33">
        <f t="shared" si="38"/>
        <v>121.32089552238806</v>
      </c>
      <c r="H28">
        <v>82</v>
      </c>
      <c r="I28" s="25">
        <f t="shared" si="41"/>
        <v>-0.47952311612668352</v>
      </c>
      <c r="K28" t="s">
        <v>48</v>
      </c>
      <c r="L28">
        <v>24</v>
      </c>
      <c r="M28">
        <v>91</v>
      </c>
    </row>
    <row r="29" spans="1:16" ht="19.5" thickBot="1" x14ac:dyDescent="0.3">
      <c r="A29" s="1" t="s">
        <v>3</v>
      </c>
      <c r="B29" s="2">
        <v>175</v>
      </c>
      <c r="C29" s="23">
        <f t="shared" si="39"/>
        <v>251.46268656716418</v>
      </c>
      <c r="D29" s="25">
        <f t="shared" si="40"/>
        <v>0.30407169990503324</v>
      </c>
      <c r="G29" s="33">
        <f t="shared" si="38"/>
        <v>83.820895522388057</v>
      </c>
      <c r="H29">
        <v>56</v>
      </c>
      <c r="I29" s="25">
        <f t="shared" si="41"/>
        <v>-0.49680170575692961</v>
      </c>
      <c r="K29" t="s">
        <v>47</v>
      </c>
      <c r="L29">
        <v>30</v>
      </c>
    </row>
    <row r="30" spans="1:16" ht="38.25" thickBot="1" x14ac:dyDescent="0.3">
      <c r="A30" s="1" t="s">
        <v>4</v>
      </c>
      <c r="B30" s="2">
        <v>159</v>
      </c>
      <c r="C30" s="23">
        <f t="shared" si="39"/>
        <v>227.46268656716418</v>
      </c>
      <c r="D30" s="25">
        <f t="shared" si="40"/>
        <v>0.30098425196850398</v>
      </c>
      <c r="G30" s="33">
        <f t="shared" si="38"/>
        <v>75.820895522388057</v>
      </c>
      <c r="H30">
        <v>52</v>
      </c>
      <c r="I30" s="25">
        <f t="shared" si="41"/>
        <v>-0.45809414466130871</v>
      </c>
      <c r="K30" t="s">
        <v>49</v>
      </c>
      <c r="L30">
        <v>99</v>
      </c>
      <c r="M30">
        <v>386</v>
      </c>
    </row>
    <row r="31" spans="1:16" ht="38.25" thickBot="1" x14ac:dyDescent="0.3">
      <c r="A31" s="1" t="s">
        <v>10</v>
      </c>
      <c r="B31" s="2">
        <v>73</v>
      </c>
      <c r="C31" s="23">
        <f t="shared" si="39"/>
        <v>107.46268656716418</v>
      </c>
      <c r="D31" s="25">
        <f t="shared" si="40"/>
        <v>0.3206944444444445</v>
      </c>
      <c r="G31" s="33">
        <f t="shared" si="38"/>
        <v>35.820895522388064</v>
      </c>
      <c r="H31">
        <v>24</v>
      </c>
      <c r="I31" s="25">
        <f t="shared" si="41"/>
        <v>-0.49253731343283591</v>
      </c>
      <c r="K31" t="s">
        <v>47</v>
      </c>
      <c r="L31">
        <v>120</v>
      </c>
    </row>
    <row r="32" spans="1:16" ht="38.25" thickBot="1" x14ac:dyDescent="0.3">
      <c r="A32" s="1" t="s">
        <v>6</v>
      </c>
      <c r="B32" s="2">
        <v>368</v>
      </c>
      <c r="C32" s="23">
        <f t="shared" si="39"/>
        <v>560.55843124801527</v>
      </c>
      <c r="D32" s="25">
        <f t="shared" si="40"/>
        <v>0.34351179201659188</v>
      </c>
      <c r="G32" s="33">
        <f>C32/3</f>
        <v>186.8528104160051</v>
      </c>
      <c r="H32">
        <v>131</v>
      </c>
      <c r="I32" s="25">
        <f t="shared" si="41"/>
        <v>-0.4263573314198863</v>
      </c>
      <c r="K32" t="s">
        <v>50</v>
      </c>
      <c r="L32">
        <v>99</v>
      </c>
    </row>
    <row r="33" spans="1:13" ht="19.5" thickBot="1" x14ac:dyDescent="0.3">
      <c r="A33" s="3" t="s">
        <v>7</v>
      </c>
      <c r="B33" s="2">
        <v>1676</v>
      </c>
      <c r="C33" s="26">
        <f>SUM(C26:C32)</f>
        <v>2512.0260400127027</v>
      </c>
      <c r="D33" s="25">
        <f t="shared" si="40"/>
        <v>0.33280946403265588</v>
      </c>
      <c r="K33" t="s">
        <v>47</v>
      </c>
      <c r="L33">
        <v>120</v>
      </c>
    </row>
    <row r="34" spans="1:13" ht="18.75" x14ac:dyDescent="0.25">
      <c r="A34" s="37" t="s">
        <v>54</v>
      </c>
      <c r="B34" s="38">
        <v>10</v>
      </c>
      <c r="C34">
        <v>10</v>
      </c>
      <c r="G34">
        <f>C34/3</f>
        <v>3.3333333333333335</v>
      </c>
      <c r="H34">
        <v>4</v>
      </c>
      <c r="I34" s="39">
        <f>1-G34/H34</f>
        <v>0.16666666666666663</v>
      </c>
      <c r="K34" t="s">
        <v>51</v>
      </c>
      <c r="L34">
        <v>52</v>
      </c>
      <c r="M34">
        <v>199</v>
      </c>
    </row>
    <row r="35" spans="1:13" x14ac:dyDescent="0.25">
      <c r="K35" t="s">
        <v>47</v>
      </c>
      <c r="L35">
        <v>63</v>
      </c>
    </row>
    <row r="36" spans="1:13" x14ac:dyDescent="0.25">
      <c r="K36" t="s">
        <v>53</v>
      </c>
      <c r="L36">
        <v>4</v>
      </c>
      <c r="M36">
        <v>14</v>
      </c>
    </row>
    <row r="37" spans="1:13" ht="15.75" customHeight="1" x14ac:dyDescent="0.25">
      <c r="K37" t="s">
        <v>47</v>
      </c>
      <c r="L37">
        <v>5</v>
      </c>
    </row>
    <row r="38" spans="1:13" x14ac:dyDescent="0.25">
      <c r="A38" s="42" t="s">
        <v>19</v>
      </c>
      <c r="B38" s="42"/>
      <c r="C38" s="42"/>
      <c r="D38" s="42"/>
      <c r="E38" s="42"/>
      <c r="G38" s="42" t="s">
        <v>59</v>
      </c>
      <c r="H38" s="42"/>
      <c r="I38" s="42"/>
      <c r="J38" s="42"/>
      <c r="K38" s="42"/>
      <c r="L38">
        <v>132</v>
      </c>
    </row>
    <row r="39" spans="1:13" x14ac:dyDescent="0.25">
      <c r="L39">
        <v>158</v>
      </c>
    </row>
    <row r="40" spans="1:13" x14ac:dyDescent="0.25">
      <c r="A40" s="11" t="s">
        <v>11</v>
      </c>
      <c r="B40" s="11" t="s">
        <v>12</v>
      </c>
      <c r="C40" s="11" t="s">
        <v>13</v>
      </c>
      <c r="D40" s="11" t="s">
        <v>14</v>
      </c>
      <c r="E40" s="11" t="s">
        <v>15</v>
      </c>
      <c r="G40" s="11" t="s">
        <v>11</v>
      </c>
      <c r="H40" s="11" t="s">
        <v>12</v>
      </c>
      <c r="I40" s="11" t="s">
        <v>13</v>
      </c>
      <c r="J40" s="11" t="s">
        <v>14</v>
      </c>
      <c r="K40" s="11" t="s">
        <v>15</v>
      </c>
      <c r="L40">
        <v>4</v>
      </c>
    </row>
    <row r="41" spans="1:13" ht="15.75" x14ac:dyDescent="0.25">
      <c r="A41" s="16" t="s">
        <v>17</v>
      </c>
      <c r="B41" s="15">
        <v>1</v>
      </c>
      <c r="C41" s="13">
        <f>3*561</f>
        <v>1683</v>
      </c>
      <c r="D41" s="12">
        <f>550*3</f>
        <v>1650</v>
      </c>
      <c r="E41" s="14">
        <f>1-C41/D41</f>
        <v>-2.0000000000000018E-2</v>
      </c>
      <c r="G41" s="16" t="s">
        <v>17</v>
      </c>
      <c r="H41" s="15">
        <v>1</v>
      </c>
      <c r="I41" s="13">
        <f>3*561</f>
        <v>1683</v>
      </c>
      <c r="J41" s="12">
        <f>627*3</f>
        <v>1881</v>
      </c>
      <c r="K41" s="14">
        <f>1-I41/J41</f>
        <v>0.10526315789473684</v>
      </c>
      <c r="L41">
        <v>5</v>
      </c>
    </row>
    <row r="42" spans="1:13" ht="15.75" x14ac:dyDescent="0.25">
      <c r="A42" s="16" t="s">
        <v>57</v>
      </c>
      <c r="B42" s="15">
        <v>2</v>
      </c>
      <c r="C42" s="13">
        <f>3*441</f>
        <v>1323</v>
      </c>
      <c r="D42" s="12">
        <f>3*421</f>
        <v>1263</v>
      </c>
      <c r="E42" s="14">
        <f t="shared" ref="E42:E48" si="42">1-C42/D42</f>
        <v>-4.7505938242280221E-2</v>
      </c>
      <c r="G42" s="16" t="s">
        <v>57</v>
      </c>
      <c r="H42" s="15">
        <v>2</v>
      </c>
      <c r="I42" s="13">
        <f>3*441</f>
        <v>1323</v>
      </c>
      <c r="J42" s="12">
        <f>3*445</f>
        <v>1335</v>
      </c>
      <c r="K42" s="14">
        <f t="shared" ref="K42:K48" si="43">1-I42/J42</f>
        <v>8.9887640449438644E-3</v>
      </c>
      <c r="L42">
        <v>56</v>
      </c>
      <c r="M42">
        <v>219</v>
      </c>
    </row>
    <row r="43" spans="1:13" ht="15.75" x14ac:dyDescent="0.25">
      <c r="A43" s="16" t="s">
        <v>46</v>
      </c>
      <c r="B43" s="15">
        <v>3</v>
      </c>
      <c r="C43" s="13">
        <f>3*364</f>
        <v>1092</v>
      </c>
      <c r="D43" s="12">
        <f>3*347</f>
        <v>1041</v>
      </c>
      <c r="E43" s="14">
        <f t="shared" si="42"/>
        <v>-4.8991354466858761E-2</v>
      </c>
      <c r="G43" s="16" t="s">
        <v>46</v>
      </c>
      <c r="H43" s="15">
        <v>3</v>
      </c>
      <c r="I43" s="13">
        <f>3*364</f>
        <v>1092</v>
      </c>
      <c r="J43" s="12">
        <f>3*364</f>
        <v>1092</v>
      </c>
      <c r="K43" s="14">
        <f t="shared" si="43"/>
        <v>0</v>
      </c>
      <c r="L43">
        <v>68</v>
      </c>
    </row>
    <row r="44" spans="1:13" ht="15.75" x14ac:dyDescent="0.25">
      <c r="A44" s="16" t="s">
        <v>52</v>
      </c>
      <c r="B44" s="15">
        <v>4</v>
      </c>
      <c r="C44" s="13">
        <f>3*251</f>
        <v>753</v>
      </c>
      <c r="D44" s="12">
        <f>3*238</f>
        <v>714</v>
      </c>
      <c r="E44" s="10">
        <f t="shared" si="42"/>
        <v>-5.4621848739495826E-2</v>
      </c>
      <c r="G44" s="16" t="s">
        <v>52</v>
      </c>
      <c r="H44" s="15">
        <v>4</v>
      </c>
      <c r="I44" s="13">
        <f>3*251</f>
        <v>753</v>
      </c>
      <c r="J44" s="12">
        <f>3*220</f>
        <v>660</v>
      </c>
      <c r="K44" s="10">
        <f t="shared" si="43"/>
        <v>-0.14090909090909087</v>
      </c>
      <c r="L44">
        <v>132</v>
      </c>
      <c r="M44" s="36">
        <v>504</v>
      </c>
    </row>
    <row r="45" spans="1:13" ht="15.75" x14ac:dyDescent="0.25">
      <c r="A45" s="16" t="s">
        <v>51</v>
      </c>
      <c r="B45" s="15">
        <v>5</v>
      </c>
      <c r="C45" s="13">
        <f>3*227</f>
        <v>681</v>
      </c>
      <c r="D45" s="12">
        <f>3*217</f>
        <v>651</v>
      </c>
      <c r="E45" s="14">
        <f t="shared" si="42"/>
        <v>-4.6082949308755783E-2</v>
      </c>
      <c r="G45" s="16" t="s">
        <v>51</v>
      </c>
      <c r="H45" s="15">
        <v>5</v>
      </c>
      <c r="I45" s="13">
        <f>3*227</f>
        <v>681</v>
      </c>
      <c r="J45" s="12">
        <f>3*255</f>
        <v>765</v>
      </c>
      <c r="K45" s="14">
        <f t="shared" si="43"/>
        <v>0.1098039215686275</v>
      </c>
      <c r="L45">
        <v>158</v>
      </c>
      <c r="M45" s="36"/>
    </row>
    <row r="46" spans="1:13" ht="15.75" x14ac:dyDescent="0.25">
      <c r="A46" s="16" t="s">
        <v>48</v>
      </c>
      <c r="B46" s="15">
        <v>6</v>
      </c>
      <c r="C46" s="13">
        <f>3*107</f>
        <v>321</v>
      </c>
      <c r="D46" s="12">
        <f>3*104</f>
        <v>312</v>
      </c>
      <c r="E46" s="14">
        <f t="shared" si="42"/>
        <v>-2.8846153846153744E-2</v>
      </c>
      <c r="G46" s="16" t="s">
        <v>48</v>
      </c>
      <c r="H46" s="15">
        <v>6</v>
      </c>
      <c r="I46" s="13">
        <f>3*107</f>
        <v>321</v>
      </c>
      <c r="J46" s="12">
        <f>3*96</f>
        <v>288</v>
      </c>
      <c r="K46" s="14">
        <f t="shared" si="43"/>
        <v>-0.11458333333333326</v>
      </c>
      <c r="L46">
        <v>131</v>
      </c>
      <c r="M46" s="36">
        <v>504</v>
      </c>
    </row>
    <row r="47" spans="1:13" ht="15.75" x14ac:dyDescent="0.25">
      <c r="A47" s="16" t="s">
        <v>18</v>
      </c>
      <c r="B47" s="15">
        <v>7</v>
      </c>
      <c r="C47" s="13">
        <f>3*561</f>
        <v>1683</v>
      </c>
      <c r="D47" s="12">
        <f>3*548</f>
        <v>1644</v>
      </c>
      <c r="E47" s="14">
        <f t="shared" si="42"/>
        <v>-2.3722627737226221E-2</v>
      </c>
      <c r="G47" s="16" t="s">
        <v>18</v>
      </c>
      <c r="H47" s="15">
        <v>7</v>
      </c>
      <c r="I47" s="13">
        <f>3*561</f>
        <v>1683</v>
      </c>
      <c r="J47" s="12">
        <f>3*624</f>
        <v>1872</v>
      </c>
      <c r="K47" s="14">
        <f t="shared" si="43"/>
        <v>0.10096153846153844</v>
      </c>
      <c r="L47">
        <v>158</v>
      </c>
      <c r="M47" s="36"/>
    </row>
    <row r="48" spans="1:13" ht="15.75" x14ac:dyDescent="0.25">
      <c r="A48" s="16" t="s">
        <v>58</v>
      </c>
      <c r="B48" s="15">
        <v>8</v>
      </c>
      <c r="C48" s="13">
        <f>3*15</f>
        <v>45</v>
      </c>
      <c r="D48" s="12">
        <f>3*15</f>
        <v>45</v>
      </c>
      <c r="E48" s="14">
        <f t="shared" si="42"/>
        <v>0</v>
      </c>
      <c r="G48" s="16" t="s">
        <v>58</v>
      </c>
      <c r="H48" s="15">
        <v>8</v>
      </c>
      <c r="I48" s="13">
        <f>3*15</f>
        <v>45</v>
      </c>
      <c r="J48" s="12">
        <f>3*20</f>
        <v>60</v>
      </c>
      <c r="K48" s="14">
        <f t="shared" si="43"/>
        <v>0.25</v>
      </c>
    </row>
  </sheetData>
  <mergeCells count="2">
    <mergeCell ref="A38:E38"/>
    <mergeCell ref="G38:K38"/>
  </mergeCell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8B1FB-7751-441D-9516-C0058F4407BB}">
  <dimension ref="C9:O99"/>
  <sheetViews>
    <sheetView topLeftCell="A62" zoomScale="85" zoomScaleNormal="85" workbookViewId="0">
      <selection activeCell="E26" sqref="E26:I34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12" x14ac:dyDescent="0.25">
      <c r="E9" s="42" t="s">
        <v>21</v>
      </c>
      <c r="F9" s="42"/>
      <c r="G9" s="42"/>
      <c r="H9" s="42"/>
      <c r="I9" s="42"/>
      <c r="L9" s="40"/>
    </row>
    <row r="11" spans="5:12" ht="28.5" x14ac:dyDescent="0.25">
      <c r="E11" s="4" t="s">
        <v>11</v>
      </c>
      <c r="F11" s="4" t="s">
        <v>12</v>
      </c>
      <c r="G11" s="4" t="s">
        <v>13</v>
      </c>
      <c r="H11" s="4" t="s">
        <v>14</v>
      </c>
      <c r="I11" s="4" t="s">
        <v>15</v>
      </c>
    </row>
    <row r="12" spans="5:12" ht="15.75" x14ac:dyDescent="0.25">
      <c r="E12" s="5" t="s">
        <v>0</v>
      </c>
      <c r="F12" s="6">
        <v>1</v>
      </c>
      <c r="G12" s="7">
        <v>368</v>
      </c>
      <c r="H12" s="6">
        <f>121*3</f>
        <v>363</v>
      </c>
      <c r="I12" s="8">
        <f>1-G12/H12</f>
        <v>-1.377410468319562E-2</v>
      </c>
    </row>
    <row r="13" spans="5:12" ht="47.25" x14ac:dyDescent="0.25">
      <c r="E13" s="5" t="s">
        <v>1</v>
      </c>
      <c r="F13" s="6">
        <v>2</v>
      </c>
      <c r="G13" s="7">
        <v>251</v>
      </c>
      <c r="H13" s="6">
        <f>82*3</f>
        <v>246</v>
      </c>
      <c r="I13" s="8">
        <f t="shared" ref="I13:I18" si="0">1-G13/H13</f>
        <v>-2.0325203252032464E-2</v>
      </c>
    </row>
    <row r="14" spans="5:12" ht="31.5" x14ac:dyDescent="0.25">
      <c r="E14" s="5" t="s">
        <v>2</v>
      </c>
      <c r="F14" s="6">
        <v>3</v>
      </c>
      <c r="G14" s="7">
        <v>251</v>
      </c>
      <c r="H14" s="6">
        <f>82*3</f>
        <v>246</v>
      </c>
      <c r="I14" s="8">
        <f t="shared" si="0"/>
        <v>-2.0325203252032464E-2</v>
      </c>
    </row>
    <row r="15" spans="5:12" ht="15.75" x14ac:dyDescent="0.25">
      <c r="E15" s="5" t="s">
        <v>3</v>
      </c>
      <c r="F15" s="6">
        <v>4</v>
      </c>
      <c r="G15" s="7">
        <v>175</v>
      </c>
      <c r="H15" s="6">
        <f>56*3</f>
        <v>168</v>
      </c>
      <c r="I15" s="9">
        <f t="shared" si="0"/>
        <v>-4.1666666666666741E-2</v>
      </c>
    </row>
    <row r="16" spans="5:12" ht="31.5" x14ac:dyDescent="0.25">
      <c r="E16" s="5" t="s">
        <v>16</v>
      </c>
      <c r="F16" s="6">
        <v>5</v>
      </c>
      <c r="G16" s="7">
        <v>159</v>
      </c>
      <c r="H16" s="7">
        <f>56*3</f>
        <v>168</v>
      </c>
      <c r="I16" s="8">
        <f t="shared" si="0"/>
        <v>5.3571428571428603E-2</v>
      </c>
    </row>
    <row r="17" spans="5:9" ht="47.25" x14ac:dyDescent="0.25">
      <c r="E17" s="5" t="s">
        <v>5</v>
      </c>
      <c r="F17" s="6">
        <v>6</v>
      </c>
      <c r="G17" s="7">
        <v>73</v>
      </c>
      <c r="H17" s="6">
        <f>25*3</f>
        <v>75</v>
      </c>
      <c r="I17" s="8">
        <f t="shared" si="0"/>
        <v>2.6666666666666616E-2</v>
      </c>
    </row>
    <row r="18" spans="5:9" ht="31.5" x14ac:dyDescent="0.25">
      <c r="E18" s="5" t="s">
        <v>6</v>
      </c>
      <c r="F18" s="6">
        <v>7</v>
      </c>
      <c r="G18" s="7">
        <v>326</v>
      </c>
      <c r="H18" s="6">
        <f>104*3</f>
        <v>312</v>
      </c>
      <c r="I18" s="8">
        <f t="shared" si="0"/>
        <v>-4.4871794871794934E-2</v>
      </c>
    </row>
    <row r="19" spans="5:9" ht="31.5" x14ac:dyDescent="0.25">
      <c r="E19" s="5" t="s">
        <v>6</v>
      </c>
      <c r="F19" s="6">
        <v>7</v>
      </c>
      <c r="G19" s="7">
        <v>326</v>
      </c>
      <c r="H19" s="6">
        <f>104*3</f>
        <v>312</v>
      </c>
      <c r="I19" s="8">
        <f t="shared" ref="I19" si="1">1-G19/H19</f>
        <v>-4.4871794871794934E-2</v>
      </c>
    </row>
    <row r="24" spans="5:9" x14ac:dyDescent="0.25">
      <c r="E24" s="42" t="s">
        <v>20</v>
      </c>
      <c r="F24" s="42"/>
      <c r="G24" s="42"/>
      <c r="H24" s="42"/>
      <c r="I24" s="42"/>
    </row>
    <row r="26" spans="5:9" x14ac:dyDescent="0.25">
      <c r="E26" s="11" t="s">
        <v>11</v>
      </c>
      <c r="F26" s="11" t="s">
        <v>12</v>
      </c>
      <c r="G26" s="11" t="s">
        <v>13</v>
      </c>
      <c r="H26" s="11" t="s">
        <v>14</v>
      </c>
      <c r="I26" s="11" t="s">
        <v>15</v>
      </c>
    </row>
    <row r="27" spans="5:9" ht="15.75" x14ac:dyDescent="0.25">
      <c r="E27" s="16" t="s">
        <v>0</v>
      </c>
      <c r="F27" s="15" t="s">
        <v>17</v>
      </c>
      <c r="G27" s="13">
        <f>3*561</f>
        <v>1683</v>
      </c>
      <c r="H27" s="12">
        <v>1736</v>
      </c>
      <c r="I27" s="14">
        <f>1-G27/H27</f>
        <v>3.0529953917050712E-2</v>
      </c>
    </row>
    <row r="28" spans="5:9" ht="15.75" x14ac:dyDescent="0.25">
      <c r="E28" s="16" t="s">
        <v>1</v>
      </c>
      <c r="F28" s="15" t="s">
        <v>50</v>
      </c>
      <c r="G28" s="13">
        <f>3*441</f>
        <v>1323</v>
      </c>
      <c r="H28" s="12">
        <v>1333</v>
      </c>
      <c r="I28" s="14">
        <f t="shared" ref="I28:I34" si="2">1-G28/H28</f>
        <v>7.5018754688672695E-3</v>
      </c>
    </row>
    <row r="29" spans="5:9" ht="15.75" x14ac:dyDescent="0.25">
      <c r="E29" s="16" t="s">
        <v>2</v>
      </c>
      <c r="F29" s="15" t="s">
        <v>46</v>
      </c>
      <c r="G29" s="13">
        <f>3*364</f>
        <v>1092</v>
      </c>
      <c r="H29" s="12">
        <v>1103</v>
      </c>
      <c r="I29" s="14">
        <f t="shared" si="2"/>
        <v>9.9728014505893192E-3</v>
      </c>
    </row>
    <row r="30" spans="5:9" ht="15.75" x14ac:dyDescent="0.25">
      <c r="E30" s="16" t="s">
        <v>3</v>
      </c>
      <c r="F30" s="15" t="s">
        <v>52</v>
      </c>
      <c r="G30" s="13">
        <f>3*251</f>
        <v>753</v>
      </c>
      <c r="H30" s="12">
        <v>759</v>
      </c>
      <c r="I30" s="10">
        <f t="shared" si="2"/>
        <v>7.905138339920903E-3</v>
      </c>
    </row>
    <row r="31" spans="5:9" ht="15.75" x14ac:dyDescent="0.25">
      <c r="E31" s="16" t="s">
        <v>16</v>
      </c>
      <c r="F31" s="15" t="s">
        <v>51</v>
      </c>
      <c r="G31" s="13">
        <f>3*227</f>
        <v>681</v>
      </c>
      <c r="H31" s="12">
        <v>683</v>
      </c>
      <c r="I31" s="14">
        <f t="shared" si="2"/>
        <v>2.9282576866763721E-3</v>
      </c>
    </row>
    <row r="32" spans="5:9" ht="15.75" x14ac:dyDescent="0.25">
      <c r="E32" s="16" t="s">
        <v>5</v>
      </c>
      <c r="F32" s="15" t="s">
        <v>48</v>
      </c>
      <c r="G32" s="13">
        <f>3*107</f>
        <v>321</v>
      </c>
      <c r="H32" s="12">
        <v>326</v>
      </c>
      <c r="I32" s="14">
        <f t="shared" si="2"/>
        <v>1.5337423312883458E-2</v>
      </c>
    </row>
    <row r="33" spans="5:15" ht="15.75" x14ac:dyDescent="0.25">
      <c r="E33" s="16" t="s">
        <v>6</v>
      </c>
      <c r="F33" s="15" t="s">
        <v>18</v>
      </c>
      <c r="G33" s="13">
        <f>3*561</f>
        <v>1683</v>
      </c>
      <c r="H33" s="12">
        <v>1737</v>
      </c>
      <c r="I33" s="14">
        <f t="shared" si="2"/>
        <v>3.1088082901554404E-2</v>
      </c>
    </row>
    <row r="34" spans="5:15" ht="15.75" x14ac:dyDescent="0.25">
      <c r="E34" s="16" t="s">
        <v>54</v>
      </c>
      <c r="F34" s="15" t="s">
        <v>53</v>
      </c>
      <c r="G34" s="13">
        <f>3*15</f>
        <v>45</v>
      </c>
      <c r="H34" s="12">
        <v>47</v>
      </c>
      <c r="I34" s="14">
        <f t="shared" si="2"/>
        <v>4.2553191489361653E-2</v>
      </c>
    </row>
    <row r="37" spans="5:15" x14ac:dyDescent="0.25">
      <c r="E37" s="42" t="s">
        <v>60</v>
      </c>
      <c r="F37" s="42"/>
      <c r="G37" s="42"/>
      <c r="H37" s="42"/>
      <c r="I37" s="42"/>
      <c r="N37" s="17"/>
      <c r="O37" s="17"/>
    </row>
    <row r="38" spans="5:15" x14ac:dyDescent="0.25">
      <c r="N38" s="17"/>
      <c r="O38" s="17"/>
    </row>
    <row r="39" spans="5:15" x14ac:dyDescent="0.25">
      <c r="E39" s="11" t="s">
        <v>11</v>
      </c>
      <c r="F39" s="11" t="s">
        <v>12</v>
      </c>
      <c r="G39" s="11" t="s">
        <v>13</v>
      </c>
      <c r="H39" s="11" t="s">
        <v>14</v>
      </c>
      <c r="I39" s="11" t="s">
        <v>15</v>
      </c>
      <c r="N39" s="17"/>
      <c r="O39" s="17"/>
    </row>
    <row r="40" spans="5:15" ht="15.75" x14ac:dyDescent="0.25">
      <c r="E40" s="16" t="s">
        <v>0</v>
      </c>
      <c r="F40" s="15" t="s">
        <v>17</v>
      </c>
      <c r="G40" s="13">
        <f>1*561</f>
        <v>561</v>
      </c>
      <c r="H40" s="12">
        <f>195*3</f>
        <v>585</v>
      </c>
      <c r="I40" s="14">
        <f>1-G40/H40</f>
        <v>4.1025641025640991E-2</v>
      </c>
      <c r="N40" s="17"/>
      <c r="O40" s="17"/>
    </row>
    <row r="41" spans="5:15" ht="15.75" x14ac:dyDescent="0.25">
      <c r="E41" s="16" t="s">
        <v>1</v>
      </c>
      <c r="F41" s="15" t="s">
        <v>50</v>
      </c>
      <c r="G41" s="13">
        <f>1*441</f>
        <v>441</v>
      </c>
      <c r="H41" s="12">
        <f>3*150</f>
        <v>450</v>
      </c>
      <c r="I41" s="14">
        <f t="shared" ref="I41:I46" si="3">1-G41/H41</f>
        <v>2.0000000000000018E-2</v>
      </c>
      <c r="N41" s="17"/>
      <c r="O41" s="17"/>
    </row>
    <row r="42" spans="5:15" ht="15.75" x14ac:dyDescent="0.25">
      <c r="E42" s="16" t="s">
        <v>2</v>
      </c>
      <c r="F42" s="15" t="s">
        <v>46</v>
      </c>
      <c r="G42" s="13">
        <f>1*364</f>
        <v>364</v>
      </c>
      <c r="H42" s="12">
        <f>3*125</f>
        <v>375</v>
      </c>
      <c r="I42" s="14">
        <f t="shared" si="3"/>
        <v>2.9333333333333322E-2</v>
      </c>
      <c r="N42" s="17"/>
      <c r="O42" s="17"/>
    </row>
    <row r="43" spans="5:15" ht="15.75" x14ac:dyDescent="0.25">
      <c r="E43" s="16" t="s">
        <v>3</v>
      </c>
      <c r="F43" s="15" t="s">
        <v>52</v>
      </c>
      <c r="G43" s="13">
        <f>1*251</f>
        <v>251</v>
      </c>
      <c r="H43" s="12">
        <f>3*85</f>
        <v>255</v>
      </c>
      <c r="I43" s="10">
        <f t="shared" si="3"/>
        <v>1.5686274509803977E-2</v>
      </c>
      <c r="N43" s="17"/>
      <c r="O43" s="17"/>
    </row>
    <row r="44" spans="5:15" ht="15.75" x14ac:dyDescent="0.25">
      <c r="E44" s="16" t="s">
        <v>16</v>
      </c>
      <c r="F44" s="15" t="s">
        <v>51</v>
      </c>
      <c r="G44" s="13">
        <f>1*227</f>
        <v>227</v>
      </c>
      <c r="H44" s="12">
        <f>3*76</f>
        <v>228</v>
      </c>
      <c r="I44" s="14">
        <f t="shared" si="3"/>
        <v>4.3859649122807154E-3</v>
      </c>
      <c r="N44" s="17"/>
      <c r="O44" s="17"/>
    </row>
    <row r="45" spans="5:15" ht="15.75" x14ac:dyDescent="0.25">
      <c r="E45" s="16" t="s">
        <v>5</v>
      </c>
      <c r="F45" s="15" t="s">
        <v>48</v>
      </c>
      <c r="G45" s="13">
        <f>1*107</f>
        <v>107</v>
      </c>
      <c r="H45" s="12">
        <f>3*36</f>
        <v>108</v>
      </c>
      <c r="I45" s="14">
        <f t="shared" si="3"/>
        <v>9.2592592592593004E-3</v>
      </c>
    </row>
    <row r="46" spans="5:15" ht="15.75" x14ac:dyDescent="0.25">
      <c r="E46" s="16" t="s">
        <v>6</v>
      </c>
      <c r="F46" s="15" t="s">
        <v>18</v>
      </c>
      <c r="G46" s="13">
        <f>1*561</f>
        <v>561</v>
      </c>
      <c r="H46" s="12">
        <f>3*194</f>
        <v>582</v>
      </c>
      <c r="I46" s="14">
        <f t="shared" si="3"/>
        <v>3.6082474226804107E-2</v>
      </c>
    </row>
    <row r="47" spans="5:15" ht="15.75" x14ac:dyDescent="0.25">
      <c r="E47" s="16" t="s">
        <v>54</v>
      </c>
      <c r="F47" s="15" t="s">
        <v>53</v>
      </c>
      <c r="G47" s="13">
        <f>1*15</f>
        <v>15</v>
      </c>
      <c r="H47" s="12">
        <f>3*5</f>
        <v>15</v>
      </c>
      <c r="I47" s="14">
        <f t="shared" ref="I47" si="4">1-G47/H47</f>
        <v>0</v>
      </c>
    </row>
    <row r="49" spans="5:13" ht="19.5" thickBot="1" x14ac:dyDescent="0.3">
      <c r="L49" s="1" t="s">
        <v>0</v>
      </c>
      <c r="M49" s="23">
        <v>560.55843124801527</v>
      </c>
    </row>
    <row r="50" spans="5:13" ht="38.25" thickBot="1" x14ac:dyDescent="0.3">
      <c r="E50" s="42" t="s">
        <v>61</v>
      </c>
      <c r="F50" s="42"/>
      <c r="G50" s="42"/>
      <c r="H50" s="42"/>
      <c r="I50" s="42"/>
      <c r="L50" s="1" t="s">
        <v>8</v>
      </c>
      <c r="M50" s="23">
        <v>440.55843124801521</v>
      </c>
    </row>
    <row r="51" spans="5:13" ht="19.5" thickBot="1" x14ac:dyDescent="0.3">
      <c r="L51" s="1" t="s">
        <v>9</v>
      </c>
      <c r="M51" s="23">
        <v>363.96268656716416</v>
      </c>
    </row>
    <row r="52" spans="5:13" ht="19.5" thickBot="1" x14ac:dyDescent="0.3">
      <c r="E52" s="11" t="s">
        <v>11</v>
      </c>
      <c r="F52" s="11" t="s">
        <v>12</v>
      </c>
      <c r="G52" s="11" t="s">
        <v>13</v>
      </c>
      <c r="H52" s="11" t="s">
        <v>14</v>
      </c>
      <c r="I52" s="11" t="s">
        <v>15</v>
      </c>
      <c r="L52" s="1" t="s">
        <v>3</v>
      </c>
      <c r="M52" s="23">
        <v>251.46268656716418</v>
      </c>
    </row>
    <row r="53" spans="5:13" ht="19.5" thickBot="1" x14ac:dyDescent="0.3">
      <c r="E53" s="16" t="s">
        <v>0</v>
      </c>
      <c r="F53" s="15" t="s">
        <v>17</v>
      </c>
      <c r="G53" s="13">
        <f>2*561</f>
        <v>1122</v>
      </c>
      <c r="H53" s="12">
        <f>371*3</f>
        <v>1113</v>
      </c>
      <c r="I53" s="14">
        <f>1-G53/H53</f>
        <v>-8.0862533692722671E-3</v>
      </c>
      <c r="L53" s="1" t="s">
        <v>4</v>
      </c>
      <c r="M53" s="23">
        <v>227.46268656716418</v>
      </c>
    </row>
    <row r="54" spans="5:13" ht="19.5" thickBot="1" x14ac:dyDescent="0.3">
      <c r="E54" s="16" t="s">
        <v>1</v>
      </c>
      <c r="F54" s="15" t="s">
        <v>50</v>
      </c>
      <c r="G54" s="13">
        <f>2*441</f>
        <v>882</v>
      </c>
      <c r="H54" s="12">
        <f>3*283</f>
        <v>849</v>
      </c>
      <c r="I54" s="14">
        <f t="shared" ref="I54:I60" si="5">1-G54/H54</f>
        <v>-3.8869257950530089E-2</v>
      </c>
      <c r="L54" s="1" t="s">
        <v>10</v>
      </c>
      <c r="M54" s="23">
        <v>107.46268656716418</v>
      </c>
    </row>
    <row r="55" spans="5:13" ht="19.5" thickBot="1" x14ac:dyDescent="0.3">
      <c r="E55" s="16" t="s">
        <v>2</v>
      </c>
      <c r="F55" s="15" t="s">
        <v>46</v>
      </c>
      <c r="G55" s="13">
        <f>2*364</f>
        <v>728</v>
      </c>
      <c r="H55" s="12">
        <f>3*234</f>
        <v>702</v>
      </c>
      <c r="I55" s="14">
        <f t="shared" si="5"/>
        <v>-3.7037037037036979E-2</v>
      </c>
      <c r="L55" s="1" t="s">
        <v>6</v>
      </c>
      <c r="M55" s="23">
        <v>560.55843124801527</v>
      </c>
    </row>
    <row r="56" spans="5:13" ht="18.75" x14ac:dyDescent="0.25">
      <c r="E56" s="16" t="s">
        <v>3</v>
      </c>
      <c r="F56" s="15" t="s">
        <v>52</v>
      </c>
      <c r="G56" s="13">
        <f>2*251</f>
        <v>502</v>
      </c>
      <c r="H56" s="12">
        <f>3*162</f>
        <v>486</v>
      </c>
      <c r="I56" s="10">
        <f t="shared" si="5"/>
        <v>-3.292181069958855E-2</v>
      </c>
      <c r="L56" s="41" t="s">
        <v>62</v>
      </c>
      <c r="M56" s="23">
        <v>122</v>
      </c>
    </row>
    <row r="57" spans="5:13" ht="15.75" x14ac:dyDescent="0.25">
      <c r="E57" s="16" t="s">
        <v>16</v>
      </c>
      <c r="F57" s="15" t="s">
        <v>51</v>
      </c>
      <c r="G57" s="13">
        <f>2*227</f>
        <v>454</v>
      </c>
      <c r="H57" s="12">
        <f>3*147</f>
        <v>441</v>
      </c>
      <c r="I57" s="14">
        <f t="shared" si="5"/>
        <v>-2.947845804988658E-2</v>
      </c>
    </row>
    <row r="58" spans="5:13" ht="15.75" x14ac:dyDescent="0.25">
      <c r="E58" s="16" t="s">
        <v>5</v>
      </c>
      <c r="F58" s="15" t="s">
        <v>48</v>
      </c>
      <c r="G58" s="13">
        <f>2*107</f>
        <v>214</v>
      </c>
      <c r="H58" s="12">
        <f>3*69</f>
        <v>207</v>
      </c>
      <c r="I58" s="14">
        <f t="shared" si="5"/>
        <v>-3.3816425120772875E-2</v>
      </c>
    </row>
    <row r="59" spans="5:13" ht="15.75" x14ac:dyDescent="0.25">
      <c r="E59" s="16" t="s">
        <v>6</v>
      </c>
      <c r="F59" s="15" t="s">
        <v>18</v>
      </c>
      <c r="G59" s="13">
        <f>2*561</f>
        <v>1122</v>
      </c>
      <c r="H59" s="12">
        <f>3*369</f>
        <v>1107</v>
      </c>
      <c r="I59" s="14">
        <f t="shared" si="5"/>
        <v>-1.3550135501354976E-2</v>
      </c>
    </row>
    <row r="60" spans="5:13" ht="15.75" x14ac:dyDescent="0.25">
      <c r="E60" s="16" t="s">
        <v>54</v>
      </c>
      <c r="F60" s="15" t="s">
        <v>53</v>
      </c>
      <c r="G60" s="13">
        <f>2*15</f>
        <v>30</v>
      </c>
      <c r="H60" s="12">
        <f>3*9</f>
        <v>27</v>
      </c>
      <c r="I60" s="14">
        <f t="shared" si="5"/>
        <v>-0.11111111111111116</v>
      </c>
    </row>
    <row r="63" spans="5:13" x14ac:dyDescent="0.25">
      <c r="E63" s="42" t="s">
        <v>19</v>
      </c>
      <c r="F63" s="42"/>
      <c r="G63" s="42"/>
      <c r="H63" s="42"/>
      <c r="I63" s="42"/>
    </row>
    <row r="65" spans="5:9" x14ac:dyDescent="0.25">
      <c r="E65" s="11" t="s">
        <v>11</v>
      </c>
      <c r="F65" s="11" t="s">
        <v>12</v>
      </c>
      <c r="G65" s="11" t="s">
        <v>13</v>
      </c>
      <c r="H65" s="11" t="s">
        <v>14</v>
      </c>
      <c r="I65" s="11" t="s">
        <v>15</v>
      </c>
    </row>
    <row r="66" spans="5:9" ht="15.75" x14ac:dyDescent="0.25">
      <c r="E66" s="16" t="s">
        <v>0</v>
      </c>
      <c r="F66" s="15" t="s">
        <v>17</v>
      </c>
      <c r="G66" s="13">
        <f>3*561</f>
        <v>1683</v>
      </c>
      <c r="H66" s="12">
        <f>579*3</f>
        <v>1737</v>
      </c>
      <c r="I66" s="14">
        <f>1-G66/H66</f>
        <v>3.1088082901554404E-2</v>
      </c>
    </row>
    <row r="67" spans="5:9" ht="15.75" x14ac:dyDescent="0.25">
      <c r="E67" s="16" t="s">
        <v>1</v>
      </c>
      <c r="F67" s="15" t="s">
        <v>50</v>
      </c>
      <c r="G67" s="13">
        <f>3*441</f>
        <v>1323</v>
      </c>
      <c r="H67" s="12">
        <f>3*443</f>
        <v>1329</v>
      </c>
      <c r="I67" s="14">
        <f t="shared" ref="I67:I73" si="6">1-G67/H67</f>
        <v>4.5146726862302922E-3</v>
      </c>
    </row>
    <row r="68" spans="5:9" ht="15.75" x14ac:dyDescent="0.25">
      <c r="E68" s="16" t="s">
        <v>2</v>
      </c>
      <c r="F68" s="15" t="s">
        <v>46</v>
      </c>
      <c r="G68" s="13">
        <f>3*364</f>
        <v>1092</v>
      </c>
      <c r="H68" s="12">
        <f>3*365</f>
        <v>1095</v>
      </c>
      <c r="I68" s="14">
        <f t="shared" si="6"/>
        <v>2.739726027397249E-3</v>
      </c>
    </row>
    <row r="69" spans="5:9" ht="15.75" x14ac:dyDescent="0.25">
      <c r="E69" s="16" t="s">
        <v>3</v>
      </c>
      <c r="F69" s="15" t="s">
        <v>52</v>
      </c>
      <c r="G69" s="13">
        <f>3*251</f>
        <v>753</v>
      </c>
      <c r="H69" s="12">
        <f>3*252</f>
        <v>756</v>
      </c>
      <c r="I69" s="10">
        <f t="shared" si="6"/>
        <v>3.9682539682539542E-3</v>
      </c>
    </row>
    <row r="70" spans="5:9" ht="15.75" x14ac:dyDescent="0.25">
      <c r="E70" s="16" t="s">
        <v>16</v>
      </c>
      <c r="F70" s="15" t="s">
        <v>51</v>
      </c>
      <c r="G70" s="13">
        <f>3*227</f>
        <v>681</v>
      </c>
      <c r="H70" s="12">
        <f>3*229</f>
        <v>687</v>
      </c>
      <c r="I70" s="14">
        <f t="shared" si="6"/>
        <v>8.733624454148492E-3</v>
      </c>
    </row>
    <row r="71" spans="5:9" ht="15.75" x14ac:dyDescent="0.25">
      <c r="E71" s="16" t="s">
        <v>5</v>
      </c>
      <c r="F71" s="15" t="s">
        <v>48</v>
      </c>
      <c r="G71" s="13">
        <f>3*107</f>
        <v>321</v>
      </c>
      <c r="H71" s="12">
        <f>3*109</f>
        <v>327</v>
      </c>
      <c r="I71" s="14">
        <f t="shared" si="6"/>
        <v>1.834862385321101E-2</v>
      </c>
    </row>
    <row r="72" spans="5:9" ht="15.75" x14ac:dyDescent="0.25">
      <c r="E72" s="16" t="s">
        <v>6</v>
      </c>
      <c r="F72" s="15" t="s">
        <v>18</v>
      </c>
      <c r="G72" s="13">
        <f>3*561</f>
        <v>1683</v>
      </c>
      <c r="H72" s="12">
        <f>3*577</f>
        <v>1731</v>
      </c>
      <c r="I72" s="14">
        <f t="shared" si="6"/>
        <v>2.7729636048526851E-2</v>
      </c>
    </row>
    <row r="73" spans="5:9" ht="15.75" x14ac:dyDescent="0.25">
      <c r="E73" s="16" t="s">
        <v>54</v>
      </c>
      <c r="F73" s="15" t="s">
        <v>53</v>
      </c>
      <c r="G73" s="13">
        <f>3*15</f>
        <v>45</v>
      </c>
      <c r="H73" s="12">
        <f>3*15</f>
        <v>45</v>
      </c>
      <c r="I73" s="14">
        <f t="shared" si="6"/>
        <v>0</v>
      </c>
    </row>
    <row r="76" spans="5:9" x14ac:dyDescent="0.25">
      <c r="E76" s="42" t="s">
        <v>56</v>
      </c>
      <c r="F76" s="42"/>
      <c r="G76" s="42"/>
      <c r="H76" s="42"/>
      <c r="I76" s="42"/>
    </row>
    <row r="78" spans="5:9" x14ac:dyDescent="0.25">
      <c r="E78" s="11" t="s">
        <v>11</v>
      </c>
      <c r="F78" s="11" t="s">
        <v>12</v>
      </c>
      <c r="G78" s="11" t="s">
        <v>13</v>
      </c>
      <c r="H78" s="11" t="s">
        <v>14</v>
      </c>
      <c r="I78" s="11" t="s">
        <v>15</v>
      </c>
    </row>
    <row r="79" spans="5:9" ht="15.75" x14ac:dyDescent="0.25">
      <c r="E79" s="16" t="s">
        <v>0</v>
      </c>
      <c r="F79" s="15" t="s">
        <v>17</v>
      </c>
      <c r="G79" s="13">
        <f>4*561</f>
        <v>2244</v>
      </c>
      <c r="H79" s="12">
        <f>626*3</f>
        <v>1878</v>
      </c>
      <c r="I79" s="14">
        <f>1-G79/H79</f>
        <v>-0.194888178913738</v>
      </c>
    </row>
    <row r="80" spans="5:9" ht="15.75" x14ac:dyDescent="0.25">
      <c r="E80" s="16" t="s">
        <v>1</v>
      </c>
      <c r="F80" s="15" t="s">
        <v>50</v>
      </c>
      <c r="G80" s="13">
        <f>4*441</f>
        <v>1764</v>
      </c>
      <c r="H80" s="12">
        <f>3*444</f>
        <v>1332</v>
      </c>
      <c r="I80" s="14">
        <f t="shared" ref="I80:I86" si="7">1-G80/H80</f>
        <v>-0.32432432432432434</v>
      </c>
    </row>
    <row r="81" spans="5:9" ht="15.75" x14ac:dyDescent="0.25">
      <c r="E81" s="16" t="s">
        <v>2</v>
      </c>
      <c r="F81" s="15" t="s">
        <v>46</v>
      </c>
      <c r="G81" s="13">
        <f>4*364</f>
        <v>1456</v>
      </c>
      <c r="H81" s="12">
        <f>3*365</f>
        <v>1095</v>
      </c>
      <c r="I81" s="14">
        <f t="shared" si="7"/>
        <v>-0.32968036529680367</v>
      </c>
    </row>
    <row r="82" spans="5:9" ht="15.75" x14ac:dyDescent="0.25">
      <c r="E82" s="16" t="s">
        <v>3</v>
      </c>
      <c r="F82" s="15" t="s">
        <v>52</v>
      </c>
      <c r="G82" s="13">
        <f>4*251</f>
        <v>1004</v>
      </c>
      <c r="H82" s="12">
        <f>3*223</f>
        <v>669</v>
      </c>
      <c r="I82" s="10">
        <f t="shared" si="7"/>
        <v>-0.50074738415545594</v>
      </c>
    </row>
    <row r="83" spans="5:9" ht="15.75" x14ac:dyDescent="0.25">
      <c r="E83" s="16" t="s">
        <v>16</v>
      </c>
      <c r="F83" s="15" t="s">
        <v>51</v>
      </c>
      <c r="G83" s="13">
        <f>4*227</f>
        <v>908</v>
      </c>
      <c r="H83" s="12">
        <f>3*252</f>
        <v>756</v>
      </c>
      <c r="I83" s="14">
        <f t="shared" si="7"/>
        <v>-0.20105820105820116</v>
      </c>
    </row>
    <row r="84" spans="5:9" ht="15.75" x14ac:dyDescent="0.25">
      <c r="E84" s="16" t="s">
        <v>5</v>
      </c>
      <c r="F84" s="15" t="s">
        <v>48</v>
      </c>
      <c r="G84" s="13">
        <f>4*107</f>
        <v>428</v>
      </c>
      <c r="H84" s="12">
        <f>3*95</f>
        <v>285</v>
      </c>
      <c r="I84" s="14">
        <f t="shared" si="7"/>
        <v>-0.50175438596491229</v>
      </c>
    </row>
    <row r="85" spans="5:9" ht="15.75" x14ac:dyDescent="0.25">
      <c r="E85" s="16" t="s">
        <v>6</v>
      </c>
      <c r="F85" s="15" t="s">
        <v>18</v>
      </c>
      <c r="G85" s="13">
        <f>4*561</f>
        <v>2244</v>
      </c>
      <c r="H85" s="12">
        <f>3*617</f>
        <v>1851</v>
      </c>
      <c r="I85" s="14">
        <f t="shared" si="7"/>
        <v>-0.21231766612641811</v>
      </c>
    </row>
    <row r="86" spans="5:9" ht="15.75" x14ac:dyDescent="0.25">
      <c r="E86" s="16" t="s">
        <v>54</v>
      </c>
      <c r="F86" s="15" t="s">
        <v>53</v>
      </c>
      <c r="G86" s="13">
        <f>4*15</f>
        <v>60</v>
      </c>
      <c r="H86" s="12">
        <f>3*20</f>
        <v>60</v>
      </c>
      <c r="I86" s="14">
        <f t="shared" si="7"/>
        <v>0</v>
      </c>
    </row>
    <row r="89" spans="5:9" x14ac:dyDescent="0.25">
      <c r="E89" s="42" t="s">
        <v>55</v>
      </c>
      <c r="F89" s="42"/>
      <c r="G89" s="42"/>
      <c r="H89" s="42"/>
      <c r="I89" s="42"/>
    </row>
    <row r="91" spans="5:9" x14ac:dyDescent="0.25">
      <c r="E91" s="11" t="s">
        <v>11</v>
      </c>
      <c r="F91" s="11" t="s">
        <v>12</v>
      </c>
      <c r="G91" s="11" t="s">
        <v>13</v>
      </c>
      <c r="H91" s="11" t="s">
        <v>14</v>
      </c>
      <c r="I91" s="11" t="s">
        <v>15</v>
      </c>
    </row>
    <row r="92" spans="5:9" ht="15.75" x14ac:dyDescent="0.25">
      <c r="E92" s="16" t="s">
        <v>0</v>
      </c>
      <c r="F92" s="15" t="s">
        <v>17</v>
      </c>
      <c r="G92" s="13">
        <f>5*561</f>
        <v>2805</v>
      </c>
      <c r="H92" s="12">
        <f>602*3</f>
        <v>1806</v>
      </c>
      <c r="I92" s="14">
        <f>1-G92/H92</f>
        <v>-0.5531561461794019</v>
      </c>
    </row>
    <row r="93" spans="5:9" ht="15.75" x14ac:dyDescent="0.25">
      <c r="E93" s="16" t="s">
        <v>1</v>
      </c>
      <c r="F93" s="15" t="s">
        <v>50</v>
      </c>
      <c r="G93" s="13">
        <f>5*441</f>
        <v>2205</v>
      </c>
      <c r="H93" s="12">
        <f>3*419</f>
        <v>1257</v>
      </c>
      <c r="I93" s="14">
        <f t="shared" ref="I93:I99" si="8">1-G93/H93</f>
        <v>-0.75417661097852018</v>
      </c>
    </row>
    <row r="94" spans="5:9" ht="15.75" x14ac:dyDescent="0.25">
      <c r="E94" s="16" t="s">
        <v>2</v>
      </c>
      <c r="F94" s="15" t="s">
        <v>46</v>
      </c>
      <c r="G94" s="13">
        <f>5*364</f>
        <v>1820</v>
      </c>
      <c r="H94" s="12">
        <f>3*345</f>
        <v>1035</v>
      </c>
      <c r="I94" s="14">
        <f t="shared" si="8"/>
        <v>-0.75845410628019327</v>
      </c>
    </row>
    <row r="95" spans="5:9" ht="15.75" x14ac:dyDescent="0.25">
      <c r="E95" s="16" t="s">
        <v>3</v>
      </c>
      <c r="F95" s="15" t="s">
        <v>52</v>
      </c>
      <c r="G95" s="13">
        <f>5*251</f>
        <v>1255</v>
      </c>
      <c r="H95" s="12">
        <f>3*211</f>
        <v>633</v>
      </c>
      <c r="I95" s="10">
        <f t="shared" si="8"/>
        <v>-0.98262243285939976</v>
      </c>
    </row>
    <row r="96" spans="5:9" ht="15.75" x14ac:dyDescent="0.25">
      <c r="E96" s="16" t="s">
        <v>16</v>
      </c>
      <c r="F96" s="15" t="s">
        <v>51</v>
      </c>
      <c r="G96" s="13">
        <f>5*227</f>
        <v>1135</v>
      </c>
      <c r="H96" s="12">
        <f>3*247</f>
        <v>741</v>
      </c>
      <c r="I96" s="14">
        <f t="shared" si="8"/>
        <v>-0.53171390013495268</v>
      </c>
    </row>
    <row r="97" spans="5:9" ht="15.75" x14ac:dyDescent="0.25">
      <c r="E97" s="16" t="s">
        <v>5</v>
      </c>
      <c r="F97" s="15" t="s">
        <v>48</v>
      </c>
      <c r="G97" s="13">
        <f>5*107</f>
        <v>535</v>
      </c>
      <c r="H97" s="12">
        <f>3*89</f>
        <v>267</v>
      </c>
      <c r="I97" s="14">
        <f t="shared" si="8"/>
        <v>-1.0037453183520597</v>
      </c>
    </row>
    <row r="98" spans="5:9" ht="15.75" x14ac:dyDescent="0.25">
      <c r="E98" s="16" t="s">
        <v>6</v>
      </c>
      <c r="F98" s="15" t="s">
        <v>18</v>
      </c>
      <c r="G98" s="13">
        <f>5*561</f>
        <v>2805</v>
      </c>
      <c r="H98" s="12">
        <f>3*599</f>
        <v>1797</v>
      </c>
      <c r="I98" s="14">
        <f t="shared" si="8"/>
        <v>-0.56093489148580966</v>
      </c>
    </row>
    <row r="99" spans="5:9" ht="15.75" x14ac:dyDescent="0.25">
      <c r="E99" s="16" t="s">
        <v>54</v>
      </c>
      <c r="F99" s="15" t="s">
        <v>53</v>
      </c>
      <c r="G99" s="13">
        <f>5*15</f>
        <v>75</v>
      </c>
      <c r="H99" s="12">
        <f>3*25</f>
        <v>75</v>
      </c>
      <c r="I99" s="14">
        <f t="shared" si="8"/>
        <v>0</v>
      </c>
    </row>
  </sheetData>
  <mergeCells count="7">
    <mergeCell ref="E89:I89"/>
    <mergeCell ref="E9:I9"/>
    <mergeCell ref="E37:I37"/>
    <mergeCell ref="E50:I50"/>
    <mergeCell ref="E63:I63"/>
    <mergeCell ref="E76:I76"/>
    <mergeCell ref="E24:I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Автоматизированный расчет</vt:lpstr>
      <vt:lpstr>Соответствие профилю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as as</cp:lastModifiedBy>
  <dcterms:created xsi:type="dcterms:W3CDTF">2015-06-05T18:19:34Z</dcterms:created>
  <dcterms:modified xsi:type="dcterms:W3CDTF">2020-10-01T07:58:27Z</dcterms:modified>
</cp:coreProperties>
</file>