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kar\Desktop\x\Документация\"/>
    </mc:Choice>
  </mc:AlternateContent>
  <xr:revisionPtr revIDLastSave="0" documentId="13_ncr:1_{1BE281C7-37AD-4796-A7E7-935AF4C27484}" xr6:coauthVersionLast="45" xr6:coauthVersionMax="45" xr10:uidLastSave="{00000000-0000-0000-0000-000000000000}"/>
  <bookViews>
    <workbookView xWindow="6450" yWindow="2250" windowWidth="14400" windowHeight="11475" activeTab="1" xr2:uid="{00000000-000D-0000-FFFF-FFFF00000000}"/>
  </bookViews>
  <sheets>
    <sheet name="Лист1" sheetId="4" r:id="rId1"/>
    <sheet name="Автоматизированный расчет" sheetId="3" r:id="rId2"/>
    <sheet name="Соответствие профилю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3" l="1"/>
  <c r="I34" i="3" s="1"/>
  <c r="G32" i="3"/>
  <c r="S7" i="3"/>
  <c r="X6" i="3" l="1"/>
  <c r="X5" i="3"/>
  <c r="X4" i="3"/>
  <c r="X3" i="3"/>
  <c r="X2" i="3"/>
  <c r="E22" i="3" l="1"/>
  <c r="F22" i="3" s="1"/>
  <c r="D22" i="3"/>
  <c r="E23" i="3"/>
  <c r="F23" i="3" s="1"/>
  <c r="D23" i="3"/>
  <c r="E8" i="3"/>
  <c r="F8" i="3" s="1"/>
  <c r="H8" i="3" s="1"/>
  <c r="E19" i="3"/>
  <c r="F19" i="3" s="1"/>
  <c r="D19" i="3"/>
  <c r="E15" i="3"/>
  <c r="F15" i="3" s="1"/>
  <c r="D15" i="3"/>
  <c r="E14" i="3"/>
  <c r="F14" i="3" s="1"/>
  <c r="D14" i="3"/>
  <c r="E17" i="3"/>
  <c r="F17" i="3" s="1"/>
  <c r="D17" i="3"/>
  <c r="E11" i="3"/>
  <c r="F11" i="3" s="1"/>
  <c r="D11" i="3"/>
  <c r="E10" i="3"/>
  <c r="F10" i="3" s="1"/>
  <c r="D10" i="3"/>
  <c r="E13" i="3"/>
  <c r="F13" i="3" s="1"/>
  <c r="D13" i="3"/>
  <c r="E7" i="3"/>
  <c r="F7" i="3" s="1"/>
  <c r="D7" i="3"/>
  <c r="E6" i="3"/>
  <c r="F6" i="3" s="1"/>
  <c r="D6" i="3"/>
  <c r="H19" i="3" l="1"/>
  <c r="H10" i="3"/>
  <c r="H23" i="3"/>
  <c r="H22" i="3"/>
  <c r="H6" i="3"/>
  <c r="H15" i="3"/>
  <c r="H14" i="3"/>
  <c r="H17" i="3"/>
  <c r="H11" i="3"/>
  <c r="H13" i="3"/>
  <c r="H7" i="3"/>
  <c r="E2" i="3"/>
  <c r="P2" i="3" l="1"/>
  <c r="P3" i="3"/>
  <c r="P4" i="3"/>
  <c r="P5" i="3"/>
  <c r="P6" i="3"/>
  <c r="D20" i="3"/>
  <c r="D2" i="3"/>
  <c r="W2" i="3"/>
  <c r="V2" i="3" s="1"/>
  <c r="S2" i="3"/>
  <c r="D4" i="3" s="1"/>
  <c r="S6" i="3"/>
  <c r="U6" i="3" s="1"/>
  <c r="S5" i="3"/>
  <c r="U5" i="3" s="1"/>
  <c r="D16" i="3" s="1"/>
  <c r="S4" i="3"/>
  <c r="U4" i="3" s="1"/>
  <c r="D12" i="3" s="1"/>
  <c r="S3" i="3"/>
  <c r="U3" i="3" s="1"/>
  <c r="C27" i="3"/>
  <c r="C29" i="3"/>
  <c r="C26" i="3"/>
  <c r="C31" i="3"/>
  <c r="C28" i="3"/>
  <c r="C32" i="3"/>
  <c r="C30" i="3"/>
  <c r="G30" i="3" l="1"/>
  <c r="I30" i="3" s="1"/>
  <c r="I32" i="3"/>
  <c r="G28" i="3"/>
  <c r="I28" i="3" s="1"/>
  <c r="G31" i="3"/>
  <c r="G26" i="3"/>
  <c r="I26" i="3" s="1"/>
  <c r="G29" i="3"/>
  <c r="I29" i="3" s="1"/>
  <c r="G27" i="3"/>
  <c r="U2" i="3"/>
  <c r="U7" i="3" s="1"/>
  <c r="I31" i="3"/>
  <c r="I27" i="3"/>
  <c r="E18" i="3"/>
  <c r="F18" i="3" s="1"/>
  <c r="D3" i="3"/>
  <c r="D18" i="3"/>
  <c r="D21" i="3"/>
  <c r="D9" i="3"/>
  <c r="D5" i="3"/>
  <c r="E21" i="3"/>
  <c r="F21" i="3" s="1"/>
  <c r="E9" i="3"/>
  <c r="F9" i="3" s="1"/>
  <c r="E5" i="3"/>
  <c r="F5" i="3" s="1"/>
  <c r="E16" i="3"/>
  <c r="F16" i="3" s="1"/>
  <c r="H16" i="3" s="1"/>
  <c r="E12" i="3"/>
  <c r="F12" i="3" s="1"/>
  <c r="H12" i="3" s="1"/>
  <c r="E4" i="3"/>
  <c r="F4" i="3" s="1"/>
  <c r="H4" i="3" s="1"/>
  <c r="F2" i="3"/>
  <c r="H2" i="3" s="1"/>
  <c r="E20" i="3"/>
  <c r="F20" i="3" s="1"/>
  <c r="H20" i="3" s="1"/>
  <c r="E3" i="3"/>
  <c r="F3" i="3" s="1"/>
  <c r="D29" i="3"/>
  <c r="D30" i="3"/>
  <c r="D27" i="3"/>
  <c r="D32" i="3"/>
  <c r="D28" i="3"/>
  <c r="D31" i="3"/>
  <c r="V4" i="3"/>
  <c r="V3" i="3"/>
  <c r="V6" i="3"/>
  <c r="V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/>
  <c r="H21" i="3" l="1"/>
  <c r="H3" i="3"/>
  <c r="H18" i="3"/>
  <c r="H9" i="3"/>
  <c r="H5" i="3"/>
  <c r="V7" i="3"/>
  <c r="I40" i="2"/>
  <c r="I44" i="2"/>
  <c r="I41" i="2"/>
  <c r="I32" i="2"/>
  <c r="I31" i="2"/>
  <c r="I30" i="2"/>
  <c r="I29" i="2"/>
  <c r="I28" i="2"/>
  <c r="I27" i="2"/>
  <c r="I26" i="2"/>
  <c r="C33" i="3" l="1"/>
  <c r="D33" i="3" s="1"/>
  <c r="D26" i="3"/>
</calcChain>
</file>

<file path=xl/sharedStrings.xml><?xml version="1.0" encoding="utf-8"?>
<sst xmlns="http://schemas.openxmlformats.org/spreadsheetml/2006/main" count="171" uniqueCount="69">
  <si>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</si>
  <si>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</si>
  <si>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</si>
  <si>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</si>
  <si>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</si>
  <si>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</si>
  <si>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</si>
  <si>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</si>
  <si>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</si>
  <si>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</si>
  <si>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</si>
  <si>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</si>
  <si>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</si>
  <si>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</si>
  <si>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</si>
  <si>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</si>
  <si>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</si>
  <si>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</si>
  <si>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</si>
  <si>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</si>
  <si>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</si>
  <si>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</si>
  <si>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</si>
  <si>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</si>
  <si>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</si>
  <si>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</si>
  <si>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</si>
  <si>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</si>
  <si>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</si>
  <si>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</si>
  <si>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</si>
  <si>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</si>
  <si>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</si>
  <si>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</si>
  <si>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</si>
  <si>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</si>
  <si>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</si>
  <si>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</si>
  <si>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</si>
  <si>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</si>
  <si>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</si>
  <si>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</si>
  <si>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</si>
  <si>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</si>
  <si>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</si>
  <si>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</si>
  <si>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</si>
  <si>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</si>
  <si>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</si>
  <si>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</si>
  <si>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</si>
  <si>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Запросов в час</t>
  </si>
  <si>
    <t>pacing</t>
  </si>
  <si>
    <t>одним пользователем в минуту</t>
  </si>
  <si>
    <t>Длительность ступени</t>
  </si>
  <si>
    <t>Duration + Thin_time</t>
  </si>
  <si>
    <t>Соотвествие профилю</t>
  </si>
  <si>
    <t>script name</t>
  </si>
  <si>
    <t>choose_flight</t>
  </si>
  <si>
    <t>00000000-0000-0000-0000-000000000000</t>
  </si>
  <si>
    <t>click_cancel</t>
  </si>
  <si>
    <t>click_find_flight</t>
  </si>
  <si>
    <t>click_flight</t>
  </si>
  <si>
    <t>click_itinerary</t>
  </si>
  <si>
    <t>connect</t>
  </si>
  <si>
    <t>fill_pay_info</t>
  </si>
  <si>
    <t>click_signup</t>
  </si>
  <si>
    <t>fill_info_acc</t>
  </si>
  <si>
    <t>Регистрация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</si>
</sst>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85">
    <xf numFmtId="0" fontId="0" fillId="0" borderId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0" applyNumberFormat="0" applyFill="0" applyBorder="0" applyAlignment="0" applyProtection="0"/>
    <xf numFmtId="0" fontId="19" fillId="6" borderId="8" applyNumberFormat="0" applyAlignment="0" applyProtection="0"/>
    <xf numFmtId="0" fontId="20" fillId="7" borderId="9" applyNumberFormat="0" applyAlignment="0" applyProtection="0"/>
    <xf numFmtId="0" fontId="21" fillId="7" borderId="8" applyNumberFormat="0" applyAlignment="0" applyProtection="0"/>
    <xf numFmtId="0" fontId="22" fillId="0" borderId="10" applyNumberFormat="0" applyFill="0" applyAlignment="0" applyProtection="0"/>
    <xf numFmtId="0" fontId="23" fillId="8" borderId="11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1" fillId="0" borderId="13" applyNumberFormat="0" applyFill="0" applyAlignment="0" applyProtection="0"/>
    <xf numFmtId="0" fontId="26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26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6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26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6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6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9" borderId="12" applyNumberFormat="0" applyFont="0" applyAlignment="0" applyProtection="0"/>
    <xf numFmtId="9" fontId="27" fillId="0" borderId="0" applyFont="0" applyFill="0" applyBorder="0" applyAlignment="0" applyProtection="0"/>
    <xf numFmtId="0" fontId="2" fillId="0" borderId="0"/>
    <xf numFmtId="0" fontId="2" fillId="9" borderId="12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" fillId="0" borderId="0"/>
    <xf numFmtId="0" fontId="1" fillId="9" borderId="12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42">
    <xf numFmtId="0" fontId="0" fillId="0" borderId="0" xfId="0"/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top" wrapText="1"/>
    </xf>
    <xf numFmtId="0" fontId="13" fillId="0" borderId="4" xfId="0" applyFont="1" applyBorder="1" applyAlignment="1">
      <alignment horizontal="left" vertical="top" wrapText="1"/>
    </xf>
    <xf numFmtId="0" fontId="11" fillId="0" borderId="4" xfId="4" applyFont="1" applyBorder="1" applyAlignment="1">
      <alignment horizontal="center" vertical="top"/>
    </xf>
    <xf numFmtId="0" fontId="12" fillId="0" borderId="4" xfId="0" applyFont="1" applyBorder="1" applyAlignment="1">
      <alignment horizontal="center" vertical="top"/>
    </xf>
    <xf numFmtId="10" fontId="12" fillId="0" borderId="4" xfId="0" applyNumberFormat="1" applyFont="1" applyBorder="1" applyAlignment="1">
      <alignment horizontal="center" vertical="top"/>
    </xf>
    <xf numFmtId="10" fontId="14" fillId="0" borderId="4" xfId="0" applyNumberFormat="1" applyFont="1" applyBorder="1" applyAlignment="1">
      <alignment horizontal="center" vertical="top"/>
    </xf>
    <xf numFmtId="10" fontId="14" fillId="0" borderId="4" xfId="0" applyNumberFormat="1" applyFont="1" applyBorder="1" applyAlignment="1">
      <alignment horizontal="left" vertical="top"/>
    </xf>
    <xf numFmtId="0" fontId="12" fillId="5" borderId="4" xfId="0" applyFont="1" applyFill="1" applyBorder="1" applyAlignment="1">
      <alignment horizontal="left" vertical="top"/>
    </xf>
    <xf numFmtId="0" fontId="3" fillId="0" borderId="4" xfId="42" applyBorder="1"/>
    <xf numFmtId="0" fontId="12" fillId="0" borderId="4" xfId="0" applyFont="1" applyBorder="1" applyAlignment="1">
      <alignment horizontal="left" vertical="top"/>
    </xf>
    <xf numFmtId="10" fontId="12" fillId="0" borderId="4" xfId="0" applyNumberFormat="1" applyFont="1" applyBorder="1" applyAlignment="1">
      <alignment horizontal="left" vertical="top"/>
    </xf>
    <xf numFmtId="0" fontId="11" fillId="0" borderId="4" xfId="4" applyFont="1" applyBorder="1" applyAlignment="1">
      <alignment horizontal="left" vertical="top"/>
    </xf>
    <xf numFmtId="0" fontId="13" fillId="0" borderId="4" xfId="0" applyFont="1" applyBorder="1" applyAlignment="1">
      <alignment horizontal="left" vertical="top"/>
    </xf>
    <xf numFmtId="0" fontId="3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4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9" fontId="0" fillId="0" borderId="0" xfId="44" applyFont="1"/>
    <xf numFmtId="1" fontId="5" fillId="0" borderId="0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" xfId="0" applyBorder="1"/>
    <xf numFmtId="0" fontId="28" fillId="0" borderId="0" xfId="0" applyFont="1"/>
    <xf numFmtId="1" fontId="28" fillId="0" borderId="0" xfId="0" applyNumberFormat="1" applyFont="1"/>
    <xf numFmtId="9" fontId="28" fillId="0" borderId="0" xfId="0" applyNumberFormat="1" applyFont="1"/>
    <xf numFmtId="0" fontId="0" fillId="36" borderId="4" xfId="0" applyFill="1" applyBorder="1"/>
    <xf numFmtId="0" fontId="7" fillId="0" borderId="0" xfId="0" applyFont="1"/>
    <xf numFmtId="0" fontId="0" fillId="35" borderId="16" xfId="0" applyFill="1" applyBorder="1"/>
    <xf numFmtId="0" fontId="2" fillId="0" borderId="0" xfId="45"/>
    <xf numFmtId="0" fontId="5" fillId="0" borderId="17" xfId="0" applyFont="1" applyFill="1" applyBorder="1" applyAlignment="1">
      <alignment horizontal="left" vertical="center" wrapText="1"/>
    </xf>
    <xf numFmtId="0" fontId="5" fillId="0" borderId="17" xfId="0" applyFont="1" applyFill="1" applyBorder="1" applyAlignment="1">
      <alignment horizontal="center" vertical="center" wrapText="1"/>
    </xf>
    <xf numFmtId="10" fontId="0" fillId="0" borderId="0" xfId="0" applyNumberFormat="1"/>
    <xf numFmtId="0" fontId="0" fillId="34" borderId="0" xfId="0" applyFill="1" applyAlignment="1">
      <alignment horizontal="center"/>
    </xf>
  </cellXfs>
  <cellStyles count="85">
    <cellStyle name="20% — акцент1" xfId="19" builtinId="30" customBuiltin="1"/>
    <cellStyle name="20% — акцент1 2" xfId="47" xr:uid="{F8483938-4FB1-4A59-9FDB-8B613392E158}"/>
    <cellStyle name="20% — акцент1 3" xfId="67" xr:uid="{FF61F2AF-BFAD-4447-9609-504CFDD05E63}"/>
    <cellStyle name="20% — акцент2" xfId="23" builtinId="34" customBuiltin="1"/>
    <cellStyle name="20% — акцент2 2" xfId="50" xr:uid="{5A2203EE-35DA-4B85-ADD7-8B0E08EBA230}"/>
    <cellStyle name="20% — акцент2 3" xfId="70" xr:uid="{A3B3E66C-51FC-4446-ABB8-AE197623A959}"/>
    <cellStyle name="20% — акцент3" xfId="27" builtinId="38" customBuiltin="1"/>
    <cellStyle name="20% — акцент3 2" xfId="53" xr:uid="{46BA4FCD-719E-4930-BA5A-4FE206C267D0}"/>
    <cellStyle name="20% — акцент3 3" xfId="73" xr:uid="{A6A29F92-3802-4BE4-BD81-E95A9175A0A2}"/>
    <cellStyle name="20% — акцент4" xfId="31" builtinId="42" customBuiltin="1"/>
    <cellStyle name="20% — акцент4 2" xfId="56" xr:uid="{B0F25549-634E-4BC3-A2AE-9201D55F3930}"/>
    <cellStyle name="20% — акцент4 3" xfId="76" xr:uid="{66791217-7D51-4971-B64C-8E6572549048}"/>
    <cellStyle name="20% — акцент5" xfId="35" builtinId="46" customBuiltin="1"/>
    <cellStyle name="20% — акцент5 2" xfId="59" xr:uid="{BFB7C480-5150-4F79-9E18-FA635B8BA8C8}"/>
    <cellStyle name="20% — акцент5 3" xfId="79" xr:uid="{06DFA92F-9155-4021-BD46-9A76D272469F}"/>
    <cellStyle name="20% — акцент6" xfId="39" builtinId="50" customBuiltin="1"/>
    <cellStyle name="20% — акцент6 2" xfId="62" xr:uid="{6387C7AF-AB8F-4264-992B-4D5200DA2299}"/>
    <cellStyle name="20% — акцент6 3" xfId="82" xr:uid="{BC09CD77-1B36-441C-A380-945AA485C603}"/>
    <cellStyle name="40% — акцент1" xfId="20" builtinId="31" customBuiltin="1"/>
    <cellStyle name="40% — акцент1 2" xfId="48" xr:uid="{DE254366-4681-4869-9666-DC9070EED88F}"/>
    <cellStyle name="40% — акцент1 3" xfId="68" xr:uid="{B28C684F-66C2-4161-9ACB-2B0F61343899}"/>
    <cellStyle name="40% — акцент2" xfId="24" builtinId="35" customBuiltin="1"/>
    <cellStyle name="40% — акцент2 2" xfId="51" xr:uid="{C8F3574A-A16E-47C3-A742-155D1A1F7DD8}"/>
    <cellStyle name="40% — акцент2 3" xfId="71" xr:uid="{1DC6856F-7D5D-47A8-8480-D32375B17785}"/>
    <cellStyle name="40% — акцент3" xfId="28" builtinId="39" customBuiltin="1"/>
    <cellStyle name="40% — акцент3 2" xfId="54" xr:uid="{3232005E-9994-418D-88C7-0127F297B366}"/>
    <cellStyle name="40% — акцент3 3" xfId="74" xr:uid="{286135B4-6676-40ED-9DA7-94F6C898AF82}"/>
    <cellStyle name="40% — акцент4" xfId="32" builtinId="43" customBuiltin="1"/>
    <cellStyle name="40% — акцент4 2" xfId="57" xr:uid="{A5BB81AC-1317-4DA3-817B-39BE31A7897D}"/>
    <cellStyle name="40% — акцент4 3" xfId="77" xr:uid="{077D8C61-61D1-4EC2-A920-2DBADB74D6C1}"/>
    <cellStyle name="40% — акцент5" xfId="36" builtinId="47" customBuiltin="1"/>
    <cellStyle name="40% — акцент5 2" xfId="60" xr:uid="{503E9B2B-5DD1-4689-8105-B9315FD48595}"/>
    <cellStyle name="40% — акцент5 3" xfId="80" xr:uid="{4D6F9693-C832-4443-B959-67DEDAF19C2C}"/>
    <cellStyle name="40% — акцент6" xfId="40" builtinId="51" customBuiltin="1"/>
    <cellStyle name="40% — акцент6 2" xfId="63" xr:uid="{FE1390CF-50EA-4495-9619-06FAF31DF169}"/>
    <cellStyle name="40% — акцент6 3" xfId="83" xr:uid="{D93E70EE-79CD-41D5-8E48-3634BFA751D4}"/>
    <cellStyle name="60% — акцент1" xfId="21" builtinId="32" customBuiltin="1"/>
    <cellStyle name="60% — акцент1 2" xfId="49" xr:uid="{F150E239-72F5-46C6-98B6-21A67E7961C7}"/>
    <cellStyle name="60% — акцент1 3" xfId="69" xr:uid="{5D67891B-03D7-465B-A88A-71F8E7FD6754}"/>
    <cellStyle name="60% — акцент2" xfId="25" builtinId="36" customBuiltin="1"/>
    <cellStyle name="60% — акцент2 2" xfId="52" xr:uid="{10C381C1-A958-4CCF-8891-51BD601A9E20}"/>
    <cellStyle name="60% — акцент2 3" xfId="72" xr:uid="{7DC7FCDF-0CA1-4190-B288-B147581A2A5C}"/>
    <cellStyle name="60% — акцент3" xfId="29" builtinId="40" customBuiltin="1"/>
    <cellStyle name="60% — акцент3 2" xfId="55" xr:uid="{9344C440-C421-4D66-A15B-3059B7D191F2}"/>
    <cellStyle name="60% — акцент3 3" xfId="75" xr:uid="{04230A30-2359-48DA-8FE6-048E3FC6D1C4}"/>
    <cellStyle name="60% — акцент4" xfId="33" builtinId="44" customBuiltin="1"/>
    <cellStyle name="60% — акцент4 2" xfId="58" xr:uid="{5FF36E48-0B75-46B4-A52E-B992692ACF99}"/>
    <cellStyle name="60% — акцент4 3" xfId="78" xr:uid="{0C1D15C0-FF41-4917-A8AF-0308AE974E63}"/>
    <cellStyle name="60% — акцент5" xfId="37" builtinId="48" customBuiltin="1"/>
    <cellStyle name="60% — акцент5 2" xfId="61" xr:uid="{6DFE6F1A-3931-4415-B8E6-EB766B721053}"/>
    <cellStyle name="60% — акцент5 3" xfId="81" xr:uid="{2E8170F3-E09C-479E-A3CE-39F6E3D9A61B}"/>
    <cellStyle name="60% — акцент6" xfId="41" builtinId="52" customBuiltin="1"/>
    <cellStyle name="60% — акцент6 2" xfId="64" xr:uid="{15B6100C-E71E-4CB7-AF51-6E629E812F5E}"/>
    <cellStyle name="60% — акцент6 3" xfId="84" xr:uid="{56AF5461-B44F-4000-B51A-FDE163A8833A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 xr:uid="{D0B2F1B7-AACC-435D-9754-3ABECF1F1E3C}"/>
    <cellStyle name="Обычный 3" xfId="42" xr:uid="{38AB8912-B8DB-4975-BF95-24BAE8E9314A}"/>
    <cellStyle name="Обычный 4" xfId="45" xr:uid="{B542EE69-A6C3-448D-A348-14BEDB3E65B7}"/>
    <cellStyle name="Обычный 5" xfId="65" xr:uid="{A82ACA51-0AEE-4571-8A5B-2835C9DC5B73}"/>
    <cellStyle name="Плохой" xfId="2" builtinId="27" customBuiltin="1"/>
    <cellStyle name="Пояснение" xfId="16" builtinId="53" customBuiltin="1"/>
    <cellStyle name="Примечание 2" xfId="43" xr:uid="{5DB8A108-6C29-4BDB-BF02-7C9BE96B190C}"/>
    <cellStyle name="Примечание 3" xfId="46" xr:uid="{A9D4C66F-80FC-4954-B040-F72D53485B4B}"/>
    <cellStyle name="Примечание 4" xfId="66" xr:uid="{CD3FEC85-E356-4427-8DDB-26BD105941EC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 as" refreshedDate="44096.878406828706" createdVersion="6" refreshedVersion="6" minRefreshableVersion="3" recordCount="22" xr:uid="{849ED774-79A0-8640-B03A-801DA7FF34DA}">
  <cacheSource type="worksheet">
    <worksheetSource ref="A1:H23" sheet="Автоматизированный расчет"/>
  </cacheSource>
  <cacheFields count="8">
    <cacheField name="script name" numFmtId="0">
      <sharedItems containsSemiMixedTypes="0" containsString="0" containsNumber="1" containsInteger="1" minValue="1" maxValue="5"/>
    </cacheField>
    <cacheField name="transaction rq" numFmtId="0">
      <sharedItems count="7">
        <s v="Вход в систему"/>
        <s v="Заполнение полей для поиска билета "/>
        <s v="Выбор рейса из найденных "/>
        <s v="Оплата билета"/>
        <s v="Просмотр квитанций"/>
        <s v="Отмена бронирования "/>
        <s v="Выход из системы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70" maxValue="100"/>
    </cacheField>
    <cacheField name="одним пользователем в минуту" numFmtId="2">
      <sharedItems containsSemiMixedTypes="0" containsString="0" containsNumber="1" minValue="0.6" maxValue="0.8571428571428571"/>
    </cacheField>
    <cacheField name="Длительность ступени" numFmtId="0">
      <sharedItems containsSemiMixedTypes="0" containsString="0" containsNumber="1" containsInteger="1" minValue="60" maxValue="60"/>
    </cacheField>
    <cacheField name="Итого" numFmtId="1">
      <sharedItems containsSemiMixedTypes="0" containsString="0" containsNumber="1" minValue="51.428571428571423" maxValue="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"/>
    <x v="0"/>
    <n v="1"/>
    <n v="2"/>
    <n v="100"/>
    <n v="0.6"/>
    <n v="60"/>
    <n v="72"/>
  </r>
  <r>
    <n v="1"/>
    <x v="1"/>
    <n v="1"/>
    <n v="2"/>
    <n v="100"/>
    <n v="0.6"/>
    <n v="60"/>
    <n v="72"/>
  </r>
  <r>
    <n v="1"/>
    <x v="2"/>
    <n v="1"/>
    <n v="2"/>
    <n v="100"/>
    <n v="0.6"/>
    <n v="60"/>
    <n v="72"/>
  </r>
  <r>
    <n v="1"/>
    <x v="3"/>
    <n v="1"/>
    <n v="2"/>
    <n v="100"/>
    <n v="0.6"/>
    <n v="60"/>
    <n v="72"/>
  </r>
  <r>
    <n v="1"/>
    <x v="4"/>
    <n v="1"/>
    <n v="2"/>
    <n v="100"/>
    <n v="0.6"/>
    <n v="60"/>
    <n v="72"/>
  </r>
  <r>
    <n v="1"/>
    <x v="5"/>
    <n v="1"/>
    <n v="2"/>
    <n v="100"/>
    <n v="0.6"/>
    <n v="60"/>
    <n v="72"/>
  </r>
  <r>
    <n v="1"/>
    <x v="6"/>
    <n v="1"/>
    <n v="2"/>
    <n v="100"/>
    <n v="0.6"/>
    <n v="60"/>
    <n v="72"/>
  </r>
  <r>
    <n v="2"/>
    <x v="0"/>
    <n v="1"/>
    <n v="2"/>
    <n v="75"/>
    <n v="0.8"/>
    <n v="60"/>
    <n v="96"/>
  </r>
  <r>
    <n v="2"/>
    <x v="1"/>
    <n v="1"/>
    <n v="2"/>
    <n v="75"/>
    <n v="0.8"/>
    <n v="60"/>
    <n v="96"/>
  </r>
  <r>
    <n v="2"/>
    <x v="2"/>
    <n v="1"/>
    <n v="2"/>
    <n v="75"/>
    <n v="0.8"/>
    <n v="60"/>
    <n v="96"/>
  </r>
  <r>
    <n v="2"/>
    <x v="3"/>
    <n v="1"/>
    <n v="2"/>
    <n v="75"/>
    <n v="0.8"/>
    <n v="60"/>
    <n v="96"/>
  </r>
  <r>
    <n v="2"/>
    <x v="6"/>
    <n v="1"/>
    <n v="2"/>
    <n v="75"/>
    <n v="0.8"/>
    <n v="60"/>
    <n v="96"/>
  </r>
  <r>
    <n v="3"/>
    <x v="0"/>
    <n v="1"/>
    <n v="2"/>
    <n v="95"/>
    <n v="0.63157894736842102"/>
    <n v="60"/>
    <n v="75.78947368421052"/>
  </r>
  <r>
    <n v="3"/>
    <x v="1"/>
    <n v="1"/>
    <n v="2"/>
    <n v="95"/>
    <n v="0.63157894736842102"/>
    <n v="60"/>
    <n v="75.78947368421052"/>
  </r>
  <r>
    <n v="3"/>
    <x v="2"/>
    <n v="1"/>
    <n v="2"/>
    <n v="95"/>
    <n v="0.63157894736842102"/>
    <n v="60"/>
    <n v="75.78947368421052"/>
  </r>
  <r>
    <n v="3"/>
    <x v="6"/>
    <n v="1"/>
    <n v="2"/>
    <n v="95"/>
    <n v="0.63157894736842102"/>
    <n v="60"/>
    <n v="75.78947368421052"/>
  </r>
  <r>
    <n v="4"/>
    <x v="0"/>
    <n v="1"/>
    <n v="1"/>
    <n v="70"/>
    <n v="0.8571428571428571"/>
    <n v="60"/>
    <n v="51.428571428571423"/>
  </r>
  <r>
    <n v="4"/>
    <x v="1"/>
    <n v="1"/>
    <n v="1"/>
    <n v="70"/>
    <n v="0.8571428571428571"/>
    <n v="60"/>
    <n v="51.428571428571423"/>
  </r>
  <r>
    <n v="4"/>
    <x v="6"/>
    <n v="1"/>
    <n v="1"/>
    <n v="70"/>
    <n v="0.8571428571428571"/>
    <n v="60"/>
    <n v="51.428571428571423"/>
  </r>
  <r>
    <n v="5"/>
    <x v="0"/>
    <n v="1"/>
    <n v="2"/>
    <n v="90"/>
    <n v="0.66666666666666663"/>
    <n v="60"/>
    <n v="80"/>
  </r>
  <r>
    <n v="5"/>
    <x v="4"/>
    <n v="1"/>
    <n v="2"/>
    <n v="90"/>
    <n v="0.66666666666666663"/>
    <n v="60"/>
    <n v="80"/>
  </r>
  <r>
    <n v="5"/>
    <x v="6"/>
    <n v="1"/>
    <n v="2"/>
    <n v="90"/>
    <n v="0.66666666666666663"/>
    <n v="60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1B8241-71E6-3F4A-ACE2-C3E8BA417ED7}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9" firstHeaderRow="1" firstDataRow="1" firstDataCol="1"/>
  <pivotFields count="8">
    <pivotField showAll="0"/>
    <pivotField axis="axisRow" showAll="0">
      <items count="8">
        <item x="0"/>
        <item x="2"/>
        <item x="6"/>
        <item x="1"/>
        <item x="3"/>
        <item x="5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8D5544-E766-4BDA-A476-582CE5CAC241}" name="Таблица1" displayName="Таблица1" ref="A1:H4" totalsRowShown="0">
  <autoFilter ref="A1:H4" xr:uid="{D860418E-6CD1-4DEE-B344-B4FFF1ADF768}"/>
  <tableColumns count="8">
    <tableColumn id="1" xr3:uid="{FE3BCB61-C1B7-4689-AF9C-012575D4A679}" name="Script name"/>
    <tableColumn id="2" xr3:uid="{71961FBB-B632-4580-80A4-3A55088F9B71}" name="transaction rq"/>
    <tableColumn id="3" xr3:uid="{F919CB0E-2743-4A9D-BED1-D733503AFB3F}" name="count"/>
    <tableColumn id="4" xr3:uid="{0FDE9B75-FA39-4568-A63A-DE8CD508CF3B}" name="VU"/>
    <tableColumn id="5" xr3:uid="{BD1CDF16-1661-4062-A7BD-B5AC3C4735F0}" name="pacing"/>
    <tableColumn id="6" xr3:uid="{A79EAD15-5BD8-4C75-A12D-6EAE11395665}" name="одним пользователем в минуту"/>
    <tableColumn id="7" xr3:uid="{CC0CE972-6FBB-4B45-980F-E3CED1101FC7}" name="Длительность ступени"/>
    <tableColumn id="8" xr3:uid="{8CBB980D-965C-4FD3-A693-DAB7BB599CC2}" name="Итого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C6D2E-9FF6-4E30-B323-4EB2983D9AEF}">
  <dimension ref="A1:H4"/>
  <sheetViews>
    <sheetView workbookViewId="0">
      <selection activeCell="H3" sqref="H3"/>
    </sheetView>
  </sheetViews>
  <sheetFormatPr defaultRowHeight="15" x14ac:dyDescent="0.25"/>
  <cols>
    <col min="1" max="1" width="13.5703125" customWidth="1"/>
    <col min="2" max="2" width="15.28515625" customWidth="1"/>
    <col min="6" max="6" width="32.7109375" customWidth="1"/>
    <col min="7" max="7" width="23.7109375" customWidth="1"/>
  </cols>
  <sheetData>
    <row r="1" spans="1:8" x14ac:dyDescent="0.25">
      <c r="A1" t="s">
        <v>34</v>
      </c>
      <c r="B1" t="s">
        <v>35</v>
      </c>
      <c r="C1" t="s">
        <v>36</v>
      </c>
      <c r="D1" t="s">
        <v>41</v>
      </c>
      <c r="E1" t="s">
        <v>52</v>
      </c>
      <c r="F1" t="s">
        <v>53</v>
      </c>
      <c r="G1" t="s">
        <v>54</v>
      </c>
      <c r="H1" t="s">
        <v>7</v>
      </c>
    </row>
    <row r="2" spans="1:8" x14ac:dyDescent="0.25">
      <c r="A2">
        <v>3</v>
      </c>
      <c r="B2" t="s">
        <v>9</v>
      </c>
      <c r="C2">
        <v>1</v>
      </c>
      <c r="D2">
        <v>1</v>
      </c>
      <c r="E2">
        <v>80</v>
      </c>
      <c r="F2">
        <v>0.75</v>
      </c>
      <c r="G2">
        <v>60</v>
      </c>
      <c r="H2">
        <v>45</v>
      </c>
    </row>
    <row r="3" spans="1:8" x14ac:dyDescent="0.25">
      <c r="A3">
        <v>2</v>
      </c>
      <c r="B3" t="s">
        <v>9</v>
      </c>
      <c r="C3">
        <v>1</v>
      </c>
      <c r="D3">
        <v>2</v>
      </c>
      <c r="E3">
        <v>85</v>
      </c>
      <c r="F3">
        <v>0.70588235294117652</v>
      </c>
      <c r="G3">
        <v>60</v>
      </c>
      <c r="H3">
        <v>84.705882352941188</v>
      </c>
    </row>
    <row r="4" spans="1:8" x14ac:dyDescent="0.25">
      <c r="A4">
        <v>1</v>
      </c>
      <c r="B4" t="s">
        <v>9</v>
      </c>
      <c r="C4">
        <v>1</v>
      </c>
      <c r="D4">
        <v>2</v>
      </c>
      <c r="E4">
        <v>105</v>
      </c>
      <c r="F4">
        <v>0.5714285714285714</v>
      </c>
      <c r="G4">
        <v>60</v>
      </c>
      <c r="H4">
        <v>68.571428571428569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73EA1-9683-764A-B533-D46D1B03E170}">
  <dimension ref="A1:X47"/>
  <sheetViews>
    <sheetView tabSelected="1" topLeftCell="D16" zoomScale="70" zoomScaleNormal="70" workbookViewId="0">
      <selection activeCell="K21" sqref="K21"/>
    </sheetView>
  </sheetViews>
  <sheetFormatPr defaultColWidth="11.42578125" defaultRowHeight="15" x14ac:dyDescent="0.25"/>
  <cols>
    <col min="1" max="1" width="22.7109375" customWidth="1"/>
    <col min="9" max="9" width="36.85546875" bestFit="1" customWidth="1"/>
    <col min="10" max="10" width="21.5703125" bestFit="1" customWidth="1"/>
    <col min="11" max="11" width="18.7109375" customWidth="1"/>
    <col min="12" max="12" width="27.42578125" bestFit="1" customWidth="1"/>
    <col min="13" max="13" width="35.85546875" bestFit="1" customWidth="1"/>
    <col min="19" max="19" width="44" bestFit="1" customWidth="1"/>
  </cols>
  <sheetData>
    <row r="1" spans="1:24" ht="15.75" thickBot="1" x14ac:dyDescent="0.3">
      <c r="A1" t="s">
        <v>57</v>
      </c>
      <c r="B1" t="s">
        <v>35</v>
      </c>
      <c r="C1" t="s">
        <v>36</v>
      </c>
      <c r="D1" t="s">
        <v>41</v>
      </c>
      <c r="E1" t="s">
        <v>52</v>
      </c>
      <c r="F1" t="s">
        <v>53</v>
      </c>
      <c r="G1" t="s">
        <v>54</v>
      </c>
      <c r="H1" t="s">
        <v>7</v>
      </c>
      <c r="I1" s="20" t="s">
        <v>37</v>
      </c>
      <c r="J1" t="s">
        <v>50</v>
      </c>
      <c r="M1" t="s">
        <v>40</v>
      </c>
      <c r="N1" t="s">
        <v>42</v>
      </c>
      <c r="O1" t="s">
        <v>43</v>
      </c>
      <c r="P1" t="s">
        <v>55</v>
      </c>
      <c r="Q1" t="s">
        <v>44</v>
      </c>
      <c r="R1" t="s">
        <v>41</v>
      </c>
      <c r="S1" t="s">
        <v>45</v>
      </c>
      <c r="T1" s="31" t="s">
        <v>46</v>
      </c>
      <c r="U1" s="31" t="s">
        <v>47</v>
      </c>
      <c r="V1" s="31" t="s">
        <v>48</v>
      </c>
      <c r="X1" t="s">
        <v>49</v>
      </c>
    </row>
    <row r="2" spans="1:24" x14ac:dyDescent="0.25">
      <c r="A2">
        <v>1</v>
      </c>
      <c r="B2" s="21" t="s">
        <v>0</v>
      </c>
      <c r="C2">
        <v>1</v>
      </c>
      <c r="D2" s="28">
        <f t="shared" ref="D2:D21" si="0">VLOOKUP(A2,$M$1:$W$8,6,FALSE)</f>
        <v>2</v>
      </c>
      <c r="E2">
        <f>VLOOKUP(A2,$M$1:$W$8,5,FALSE)</f>
        <v>100</v>
      </c>
      <c r="F2" s="25">
        <f>60/E2</f>
        <v>0.6</v>
      </c>
      <c r="G2">
        <v>60</v>
      </c>
      <c r="H2" s="24">
        <f>D2*F2*G2</f>
        <v>72</v>
      </c>
      <c r="I2" s="21" t="s">
        <v>0</v>
      </c>
      <c r="J2" s="19">
        <v>375.21804511278197</v>
      </c>
      <c r="K2" s="19"/>
      <c r="M2">
        <v>1</v>
      </c>
      <c r="N2">
        <v>5.6154999999999999</v>
      </c>
      <c r="O2">
        <v>35.003500000000003</v>
      </c>
      <c r="P2">
        <f>N2+O2</f>
        <v>40.619</v>
      </c>
      <c r="Q2" s="22">
        <v>100</v>
      </c>
      <c r="R2" s="22">
        <v>2</v>
      </c>
      <c r="S2" s="23">
        <f>60/(Q2)</f>
        <v>0.6</v>
      </c>
      <c r="T2" s="31">
        <v>20</v>
      </c>
      <c r="U2" s="32">
        <f>ROUND(R2*S2*T2,0)</f>
        <v>24</v>
      </c>
      <c r="V2" s="33">
        <f>R2/W$2</f>
        <v>0.22222222222222221</v>
      </c>
      <c r="W2">
        <f>SUM(R2:R6)</f>
        <v>9</v>
      </c>
      <c r="X2">
        <f>R2*S2*T2</f>
        <v>24</v>
      </c>
    </row>
    <row r="3" spans="1:24" x14ac:dyDescent="0.25">
      <c r="A3">
        <v>1</v>
      </c>
      <c r="B3" t="s">
        <v>8</v>
      </c>
      <c r="C3">
        <v>1</v>
      </c>
      <c r="D3" s="29">
        <f t="shared" si="0"/>
        <v>2</v>
      </c>
      <c r="E3">
        <f t="shared" ref="E3:E21" si="1">VLOOKUP(A3,$M$1:$W$8,5,FALSE)</f>
        <v>100</v>
      </c>
      <c r="F3" s="25">
        <f t="shared" ref="F3:F21" si="2">60/E3</f>
        <v>0.6</v>
      </c>
      <c r="G3">
        <v>60</v>
      </c>
      <c r="H3" s="24">
        <f t="shared" ref="H3:H18" si="3">D3*F3*G3</f>
        <v>72</v>
      </c>
      <c r="I3" s="21" t="s">
        <v>9</v>
      </c>
      <c r="J3" s="19">
        <v>243.78947368421052</v>
      </c>
      <c r="K3" s="19"/>
      <c r="M3">
        <v>2</v>
      </c>
      <c r="N3">
        <v>3.1109</v>
      </c>
      <c r="O3">
        <v>20.0014</v>
      </c>
      <c r="P3">
        <f t="shared" ref="P3:P6" si="4">N3+O3</f>
        <v>23.112300000000001</v>
      </c>
      <c r="Q3" s="22">
        <v>75</v>
      </c>
      <c r="R3" s="22">
        <v>2</v>
      </c>
      <c r="S3" s="23">
        <f t="shared" ref="S3:S7" si="5">60/(Q3)</f>
        <v>0.8</v>
      </c>
      <c r="T3" s="31">
        <v>20</v>
      </c>
      <c r="U3" s="32">
        <f t="shared" ref="U3:U6" si="6">ROUND(R3*S3*T3,0)</f>
        <v>32</v>
      </c>
      <c r="V3" s="33">
        <f t="shared" ref="V3:V6" si="7">R3/W$2</f>
        <v>0.22222222222222221</v>
      </c>
      <c r="X3">
        <f>R3*S3*T3</f>
        <v>32</v>
      </c>
    </row>
    <row r="4" spans="1:24" x14ac:dyDescent="0.25">
      <c r="A4">
        <v>1</v>
      </c>
      <c r="B4" t="s">
        <v>9</v>
      </c>
      <c r="C4">
        <v>1</v>
      </c>
      <c r="D4" s="29">
        <f t="shared" si="0"/>
        <v>2</v>
      </c>
      <c r="E4">
        <f t="shared" si="1"/>
        <v>100</v>
      </c>
      <c r="F4" s="25">
        <f t="shared" si="2"/>
        <v>0.6</v>
      </c>
      <c r="G4">
        <v>60</v>
      </c>
      <c r="H4" s="24">
        <f t="shared" si="3"/>
        <v>72</v>
      </c>
      <c r="I4" s="21" t="s">
        <v>6</v>
      </c>
      <c r="J4" s="19">
        <v>375.21804511278197</v>
      </c>
      <c r="K4" s="19"/>
      <c r="M4">
        <v>3</v>
      </c>
      <c r="N4">
        <v>4.5355999999999996</v>
      </c>
      <c r="O4">
        <v>30.001799999999999</v>
      </c>
      <c r="P4">
        <f t="shared" si="4"/>
        <v>34.537399999999998</v>
      </c>
      <c r="Q4" s="22">
        <v>95</v>
      </c>
      <c r="R4" s="22">
        <v>2</v>
      </c>
      <c r="S4" s="23">
        <f t="shared" si="5"/>
        <v>0.63157894736842102</v>
      </c>
      <c r="T4" s="31">
        <v>20</v>
      </c>
      <c r="U4" s="32">
        <f t="shared" si="6"/>
        <v>25</v>
      </c>
      <c r="V4" s="33">
        <f t="shared" si="7"/>
        <v>0.22222222222222221</v>
      </c>
      <c r="X4">
        <f>R4*S4*T4</f>
        <v>25.263157894736842</v>
      </c>
    </row>
    <row r="5" spans="1:24" x14ac:dyDescent="0.25">
      <c r="A5">
        <v>1</v>
      </c>
      <c r="B5" t="s">
        <v>3</v>
      </c>
      <c r="C5">
        <v>1</v>
      </c>
      <c r="D5" s="29">
        <f t="shared" si="0"/>
        <v>2</v>
      </c>
      <c r="E5">
        <f t="shared" si="1"/>
        <v>100</v>
      </c>
      <c r="F5" s="25">
        <f t="shared" si="2"/>
        <v>0.6</v>
      </c>
      <c r="G5">
        <v>60</v>
      </c>
      <c r="H5" s="24">
        <f t="shared" si="3"/>
        <v>72</v>
      </c>
      <c r="I5" s="21" t="s">
        <v>8</v>
      </c>
      <c r="J5" s="19">
        <v>295.21804511278197</v>
      </c>
      <c r="K5" s="19"/>
      <c r="M5">
        <v>4</v>
      </c>
      <c r="N5">
        <v>6.3802000000000003</v>
      </c>
      <c r="O5">
        <v>55.003399999999999</v>
      </c>
      <c r="P5">
        <f t="shared" si="4"/>
        <v>61.383600000000001</v>
      </c>
      <c r="Q5" s="22">
        <v>70</v>
      </c>
      <c r="R5" s="22">
        <v>1</v>
      </c>
      <c r="S5" s="23">
        <f t="shared" si="5"/>
        <v>0.8571428571428571</v>
      </c>
      <c r="T5" s="31">
        <v>20</v>
      </c>
      <c r="U5" s="32">
        <f t="shared" si="6"/>
        <v>17</v>
      </c>
      <c r="V5" s="33">
        <f t="shared" si="7"/>
        <v>0.1111111111111111</v>
      </c>
      <c r="X5">
        <f>R5*S5*T5</f>
        <v>17.142857142857142</v>
      </c>
    </row>
    <row r="6" spans="1:24" x14ac:dyDescent="0.25">
      <c r="A6">
        <v>1</v>
      </c>
      <c r="B6" t="s">
        <v>4</v>
      </c>
      <c r="C6">
        <v>1</v>
      </c>
      <c r="D6" s="29">
        <f t="shared" ref="D6" si="8">VLOOKUP(A6,$M$1:$W$8,6,FALSE)</f>
        <v>2</v>
      </c>
      <c r="E6">
        <f t="shared" ref="E6" si="9">VLOOKUP(A6,$M$1:$W$8,5,FALSE)</f>
        <v>100</v>
      </c>
      <c r="F6" s="25">
        <f t="shared" ref="F6" si="10">60/E6</f>
        <v>0.6</v>
      </c>
      <c r="G6">
        <v>60</v>
      </c>
      <c r="H6" s="24">
        <f t="shared" ref="H6" si="11">D6*F6*G6</f>
        <v>72</v>
      </c>
      <c r="I6" s="21" t="s">
        <v>3</v>
      </c>
      <c r="J6" s="19">
        <v>168</v>
      </c>
      <c r="K6" s="19"/>
      <c r="M6">
        <v>5</v>
      </c>
      <c r="N6">
        <v>5.1223000000000001</v>
      </c>
      <c r="O6">
        <v>35.0032</v>
      </c>
      <c r="P6">
        <f t="shared" si="4"/>
        <v>40.125500000000002</v>
      </c>
      <c r="Q6" s="22">
        <v>90</v>
      </c>
      <c r="R6" s="22">
        <v>2</v>
      </c>
      <c r="S6" s="23">
        <f t="shared" si="5"/>
        <v>0.66666666666666663</v>
      </c>
      <c r="T6" s="31">
        <v>20</v>
      </c>
      <c r="U6" s="32">
        <f t="shared" si="6"/>
        <v>27</v>
      </c>
      <c r="V6" s="33">
        <f t="shared" si="7"/>
        <v>0.22222222222222221</v>
      </c>
      <c r="X6">
        <f>R6*S6*T6</f>
        <v>26.666666666666664</v>
      </c>
    </row>
    <row r="7" spans="1:24" x14ac:dyDescent="0.25">
      <c r="A7">
        <v>1</v>
      </c>
      <c r="B7" s="21" t="s">
        <v>10</v>
      </c>
      <c r="C7">
        <v>1</v>
      </c>
      <c r="D7" s="29">
        <f t="shared" ref="D7" si="12">VLOOKUP(A7,$M$1:$W$8,6,FALSE)</f>
        <v>2</v>
      </c>
      <c r="E7">
        <f t="shared" ref="E7" si="13">VLOOKUP(A7,$M$1:$W$8,5,FALSE)</f>
        <v>100</v>
      </c>
      <c r="F7" s="25">
        <f t="shared" ref="F7" si="14">60/E7</f>
        <v>0.6</v>
      </c>
      <c r="G7">
        <v>60</v>
      </c>
      <c r="H7" s="24">
        <f t="shared" ref="H7" si="15">D7*F7*G7</f>
        <v>72</v>
      </c>
      <c r="I7" s="21" t="s">
        <v>10</v>
      </c>
      <c r="J7" s="19">
        <v>72</v>
      </c>
      <c r="K7" s="19"/>
      <c r="M7">
        <v>6</v>
      </c>
      <c r="Q7" s="36">
        <v>360</v>
      </c>
      <c r="R7" s="36">
        <v>1</v>
      </c>
      <c r="S7" s="23">
        <f t="shared" si="5"/>
        <v>0.16666666666666666</v>
      </c>
      <c r="T7" s="31"/>
      <c r="U7" s="32">
        <f>SUM(U2:U6)</f>
        <v>125</v>
      </c>
      <c r="V7" s="33">
        <f>SUM(V2:V6)</f>
        <v>0.99999999999999989</v>
      </c>
    </row>
    <row r="8" spans="1:24" ht="15.75" thickBot="1" x14ac:dyDescent="0.3">
      <c r="A8">
        <v>1</v>
      </c>
      <c r="B8" s="21" t="s">
        <v>6</v>
      </c>
      <c r="C8">
        <v>1</v>
      </c>
      <c r="D8" s="30">
        <v>2</v>
      </c>
      <c r="E8">
        <f t="shared" ref="E8" si="16">VLOOKUP(A8,$M$1:$W$8,5,FALSE)</f>
        <v>100</v>
      </c>
      <c r="F8" s="25">
        <f t="shared" ref="F8" si="17">60/E8</f>
        <v>0.6</v>
      </c>
      <c r="G8">
        <v>60</v>
      </c>
      <c r="H8" s="24">
        <f t="shared" ref="H8" si="18">D8*F8*G8</f>
        <v>72</v>
      </c>
      <c r="I8" s="21" t="s">
        <v>4</v>
      </c>
      <c r="J8" s="19">
        <v>152</v>
      </c>
      <c r="K8" s="19"/>
    </row>
    <row r="9" spans="1:24" x14ac:dyDescent="0.25">
      <c r="A9">
        <v>2</v>
      </c>
      <c r="B9" s="21" t="s">
        <v>0</v>
      </c>
      <c r="C9">
        <v>1</v>
      </c>
      <c r="D9" s="29">
        <f t="shared" si="0"/>
        <v>2</v>
      </c>
      <c r="E9">
        <f t="shared" si="1"/>
        <v>75</v>
      </c>
      <c r="F9" s="25">
        <f t="shared" si="2"/>
        <v>0.8</v>
      </c>
      <c r="G9">
        <v>60</v>
      </c>
      <c r="H9" s="24">
        <f t="shared" si="3"/>
        <v>96</v>
      </c>
      <c r="I9" s="21" t="s">
        <v>38</v>
      </c>
      <c r="J9" s="19">
        <v>1681.4436090225563</v>
      </c>
      <c r="K9" s="19"/>
    </row>
    <row r="10" spans="1:24" x14ac:dyDescent="0.25">
      <c r="A10">
        <v>2</v>
      </c>
      <c r="B10" s="21" t="s">
        <v>8</v>
      </c>
      <c r="C10">
        <v>1</v>
      </c>
      <c r="D10" s="29">
        <f t="shared" ref="D10:D11" si="19">VLOOKUP(A10,$M$1:$W$8,6,FALSE)</f>
        <v>2</v>
      </c>
      <c r="E10">
        <f t="shared" ref="E10:E11" si="20">VLOOKUP(A10,$M$1:$W$8,5,FALSE)</f>
        <v>75</v>
      </c>
      <c r="F10" s="25">
        <f t="shared" ref="F10:F11" si="21">60/E10</f>
        <v>0.8</v>
      </c>
      <c r="G10">
        <v>60</v>
      </c>
      <c r="H10" s="24">
        <f t="shared" ref="H10:H11" si="22">D10*F10*G10</f>
        <v>96</v>
      </c>
    </row>
    <row r="11" spans="1:24" x14ac:dyDescent="0.25">
      <c r="A11">
        <v>2</v>
      </c>
      <c r="B11" s="21" t="s">
        <v>9</v>
      </c>
      <c r="C11">
        <v>1</v>
      </c>
      <c r="D11" s="29">
        <f t="shared" si="19"/>
        <v>2</v>
      </c>
      <c r="E11">
        <f t="shared" si="20"/>
        <v>75</v>
      </c>
      <c r="F11" s="25">
        <f t="shared" si="21"/>
        <v>0.8</v>
      </c>
      <c r="G11">
        <v>60</v>
      </c>
      <c r="H11" s="24">
        <f t="shared" si="22"/>
        <v>96</v>
      </c>
    </row>
    <row r="12" spans="1:24" x14ac:dyDescent="0.25">
      <c r="A12">
        <v>2</v>
      </c>
      <c r="B12" s="21" t="s">
        <v>3</v>
      </c>
      <c r="C12">
        <v>1</v>
      </c>
      <c r="D12" s="29">
        <f t="shared" si="0"/>
        <v>2</v>
      </c>
      <c r="E12">
        <f t="shared" si="1"/>
        <v>75</v>
      </c>
      <c r="F12" s="25">
        <f t="shared" si="2"/>
        <v>0.8</v>
      </c>
      <c r="G12">
        <v>60</v>
      </c>
      <c r="H12" s="24">
        <f t="shared" si="3"/>
        <v>96</v>
      </c>
    </row>
    <row r="13" spans="1:24" ht="15.75" thickBot="1" x14ac:dyDescent="0.3">
      <c r="A13">
        <v>2</v>
      </c>
      <c r="B13" s="21" t="s">
        <v>6</v>
      </c>
      <c r="C13">
        <v>1</v>
      </c>
      <c r="D13" s="30">
        <f>VLOOKUP(A13,$M$1:$W$8,6,FALSE)</f>
        <v>2</v>
      </c>
      <c r="E13">
        <f>VLOOKUP(A13,$M$1:$W$8,5,FALSE)</f>
        <v>75</v>
      </c>
      <c r="F13" s="25">
        <f>60/E13</f>
        <v>0.8</v>
      </c>
      <c r="G13">
        <v>60</v>
      </c>
      <c r="H13" s="24">
        <f>D13*F13*G13</f>
        <v>96</v>
      </c>
    </row>
    <row r="14" spans="1:24" x14ac:dyDescent="0.25">
      <c r="A14">
        <v>3</v>
      </c>
      <c r="B14" t="s">
        <v>0</v>
      </c>
      <c r="C14">
        <v>1</v>
      </c>
      <c r="D14" s="29">
        <f t="shared" ref="D14:D15" si="23">VLOOKUP(A14,$M$1:$W$8,6,FALSE)</f>
        <v>2</v>
      </c>
      <c r="E14">
        <f t="shared" ref="E14:E15" si="24">VLOOKUP(A14,$M$1:$W$8,5,FALSE)</f>
        <v>95</v>
      </c>
      <c r="F14" s="25">
        <f t="shared" ref="F14:F15" si="25">60/E14</f>
        <v>0.63157894736842102</v>
      </c>
      <c r="G14">
        <v>60</v>
      </c>
      <c r="H14" s="24">
        <f t="shared" ref="H14:H15" si="26">D14*F14*G14</f>
        <v>75.78947368421052</v>
      </c>
      <c r="N14" s="25"/>
      <c r="P14" s="24"/>
    </row>
    <row r="15" spans="1:24" x14ac:dyDescent="0.25">
      <c r="A15">
        <v>3</v>
      </c>
      <c r="B15" t="s">
        <v>8</v>
      </c>
      <c r="C15">
        <v>1</v>
      </c>
      <c r="D15" s="29">
        <f t="shared" si="23"/>
        <v>2</v>
      </c>
      <c r="E15">
        <f t="shared" si="24"/>
        <v>95</v>
      </c>
      <c r="F15" s="25">
        <f t="shared" si="25"/>
        <v>0.63157894736842102</v>
      </c>
      <c r="G15">
        <v>60</v>
      </c>
      <c r="H15" s="24">
        <f t="shared" si="26"/>
        <v>75.78947368421052</v>
      </c>
      <c r="O15" s="24"/>
    </row>
    <row r="16" spans="1:24" x14ac:dyDescent="0.25">
      <c r="A16">
        <v>3</v>
      </c>
      <c r="B16" t="s">
        <v>9</v>
      </c>
      <c r="C16">
        <v>1</v>
      </c>
      <c r="D16" s="29">
        <f t="shared" si="0"/>
        <v>2</v>
      </c>
      <c r="E16">
        <f t="shared" si="1"/>
        <v>95</v>
      </c>
      <c r="F16" s="25">
        <f t="shared" si="2"/>
        <v>0.63157894736842102</v>
      </c>
      <c r="G16">
        <v>60</v>
      </c>
      <c r="H16" s="24">
        <f t="shared" si="3"/>
        <v>75.78947368421052</v>
      </c>
      <c r="N16" s="25"/>
      <c r="P16" s="24"/>
    </row>
    <row r="17" spans="1:16" ht="15.75" thickBot="1" x14ac:dyDescent="0.3">
      <c r="A17">
        <v>3</v>
      </c>
      <c r="B17" s="21" t="s">
        <v>6</v>
      </c>
      <c r="C17">
        <v>1</v>
      </c>
      <c r="D17" s="30">
        <f t="shared" ref="D17" si="27">VLOOKUP(A17,$M$1:$W$8,6,FALSE)</f>
        <v>2</v>
      </c>
      <c r="E17">
        <f t="shared" ref="E17" si="28">VLOOKUP(A17,$M$1:$W$8,5,FALSE)</f>
        <v>95</v>
      </c>
      <c r="F17" s="25">
        <f t="shared" ref="F17" si="29">60/E17</f>
        <v>0.63157894736842102</v>
      </c>
      <c r="G17">
        <v>60</v>
      </c>
      <c r="H17" s="24">
        <f t="shared" ref="H17" si="30">D17*F17*G17</f>
        <v>75.78947368421052</v>
      </c>
      <c r="N17" s="25"/>
      <c r="P17" s="24"/>
    </row>
    <row r="18" spans="1:16" x14ac:dyDescent="0.25">
      <c r="A18">
        <v>4</v>
      </c>
      <c r="B18" s="21" t="s">
        <v>0</v>
      </c>
      <c r="C18">
        <v>1</v>
      </c>
      <c r="D18" s="29">
        <f t="shared" si="0"/>
        <v>1</v>
      </c>
      <c r="E18">
        <f t="shared" si="1"/>
        <v>70</v>
      </c>
      <c r="F18" s="25">
        <f t="shared" si="2"/>
        <v>0.8571428571428571</v>
      </c>
      <c r="G18">
        <v>60</v>
      </c>
      <c r="H18" s="24">
        <f t="shared" si="3"/>
        <v>51.428571428571423</v>
      </c>
    </row>
    <row r="19" spans="1:16" x14ac:dyDescent="0.25">
      <c r="A19">
        <v>4</v>
      </c>
      <c r="B19" s="21" t="s">
        <v>8</v>
      </c>
      <c r="C19">
        <v>1</v>
      </c>
      <c r="D19" s="29">
        <f t="shared" ref="D19" si="31">VLOOKUP(A19,$M$1:$W$8,6,FALSE)</f>
        <v>1</v>
      </c>
      <c r="E19">
        <f t="shared" ref="E19" si="32">VLOOKUP(A19,$M$1:$W$8,5,FALSE)</f>
        <v>70</v>
      </c>
      <c r="F19" s="25">
        <f t="shared" ref="F19" si="33">60/E19</f>
        <v>0.8571428571428571</v>
      </c>
      <c r="G19">
        <v>60</v>
      </c>
      <c r="H19" s="24">
        <f t="shared" ref="H19" si="34">D19*F19*G19</f>
        <v>51.428571428571423</v>
      </c>
    </row>
    <row r="20" spans="1:16" ht="15.75" thickBot="1" x14ac:dyDescent="0.3">
      <c r="A20">
        <v>4</v>
      </c>
      <c r="B20" t="s">
        <v>6</v>
      </c>
      <c r="C20">
        <v>1</v>
      </c>
      <c r="D20" s="30">
        <f>VLOOKUP(A20,$M$1:$W$8,6,FALSE)</f>
        <v>1</v>
      </c>
      <c r="E20">
        <f>VLOOKUP(A20,$M$1:$W$8,5,FALSE)</f>
        <v>70</v>
      </c>
      <c r="F20" s="25">
        <f>60/E20</f>
        <v>0.8571428571428571</v>
      </c>
      <c r="G20">
        <v>60</v>
      </c>
      <c r="H20" s="24">
        <f>D20*F20*G20</f>
        <v>51.428571428571423</v>
      </c>
    </row>
    <row r="21" spans="1:16" x14ac:dyDescent="0.25">
      <c r="A21">
        <v>5</v>
      </c>
      <c r="B21" s="21" t="s">
        <v>0</v>
      </c>
      <c r="C21">
        <v>1</v>
      </c>
      <c r="D21" s="29">
        <f t="shared" si="0"/>
        <v>2</v>
      </c>
      <c r="E21">
        <f t="shared" si="1"/>
        <v>90</v>
      </c>
      <c r="F21" s="25">
        <f t="shared" si="2"/>
        <v>0.66666666666666663</v>
      </c>
      <c r="G21">
        <v>60</v>
      </c>
      <c r="H21" s="24">
        <f>D21*F21*G21</f>
        <v>80</v>
      </c>
    </row>
    <row r="22" spans="1:16" x14ac:dyDescent="0.25">
      <c r="A22">
        <v>5</v>
      </c>
      <c r="B22" s="21" t="s">
        <v>4</v>
      </c>
      <c r="C22">
        <v>1</v>
      </c>
      <c r="D22" s="29">
        <f t="shared" ref="D22" si="35">VLOOKUP(A22,$M$1:$W$8,6,FALSE)</f>
        <v>2</v>
      </c>
      <c r="E22">
        <f t="shared" ref="E22" si="36">VLOOKUP(A22,$M$1:$W$8,5,FALSE)</f>
        <v>90</v>
      </c>
      <c r="F22" s="25">
        <f t="shared" ref="F22" si="37">60/E22</f>
        <v>0.66666666666666663</v>
      </c>
      <c r="G22">
        <v>60</v>
      </c>
      <c r="H22" s="24">
        <f>D22*F22*G22</f>
        <v>80</v>
      </c>
    </row>
    <row r="23" spans="1:16" ht="15.75" thickBot="1" x14ac:dyDescent="0.3">
      <c r="A23">
        <v>5</v>
      </c>
      <c r="B23" t="s">
        <v>6</v>
      </c>
      <c r="C23">
        <v>1</v>
      </c>
      <c r="D23" s="30">
        <f>VLOOKUP(A23,$M$1:$W$8,6,FALSE)</f>
        <v>2</v>
      </c>
      <c r="E23">
        <f>VLOOKUP(A23,$M$1:$W$8,5,FALSE)</f>
        <v>90</v>
      </c>
      <c r="F23" s="25">
        <f>60/E23</f>
        <v>0.66666666666666663</v>
      </c>
      <c r="G23">
        <v>60</v>
      </c>
      <c r="H23" s="24">
        <f>D22*F22*G22</f>
        <v>80</v>
      </c>
    </row>
    <row r="25" spans="1:16" ht="18.75" x14ac:dyDescent="0.3">
      <c r="A25" s="35" t="s">
        <v>39</v>
      </c>
      <c r="C25" t="s">
        <v>51</v>
      </c>
      <c r="G25" t="s">
        <v>56</v>
      </c>
    </row>
    <row r="26" spans="1:16" ht="19.5" thickBot="1" x14ac:dyDescent="0.3">
      <c r="A26" s="1" t="s">
        <v>0</v>
      </c>
      <c r="B26" s="2">
        <v>368</v>
      </c>
      <c r="C26" s="24">
        <f>GETPIVOTDATA("Итого",$I$1,"transaction rq",A26)</f>
        <v>375.21804511278197</v>
      </c>
      <c r="D26" s="26">
        <f>1-B26/C26</f>
        <v>1.9236934915036863E-2</v>
      </c>
      <c r="G26" s="34">
        <f t="shared" ref="G26:G31" si="38">C26/3</f>
        <v>125.07268170426066</v>
      </c>
      <c r="H26">
        <v>132</v>
      </c>
      <c r="I26" s="26">
        <f>1-G26/H26</f>
        <v>5.2479684058631348E-2</v>
      </c>
      <c r="K26" t="s">
        <v>58</v>
      </c>
      <c r="L26">
        <v>82</v>
      </c>
    </row>
    <row r="27" spans="1:16" ht="57" thickBot="1" x14ac:dyDescent="0.3">
      <c r="A27" s="1" t="s">
        <v>8</v>
      </c>
      <c r="B27" s="2">
        <v>282</v>
      </c>
      <c r="C27" s="24">
        <f t="shared" ref="C27:C32" si="39">GETPIVOTDATA("Итого",$I$1,"transaction rq",A27)</f>
        <v>295.21804511278197</v>
      </c>
      <c r="D27" s="26">
        <f t="shared" ref="D27:D33" si="40">1-B27/C27</f>
        <v>4.4773838630806861E-2</v>
      </c>
      <c r="G27" s="34">
        <f t="shared" si="38"/>
        <v>98.406015037593988</v>
      </c>
      <c r="H27">
        <v>99</v>
      </c>
      <c r="I27" s="26">
        <f t="shared" ref="I27:I32" si="41">1-G27/H27</f>
        <v>5.9998481051112273E-3</v>
      </c>
      <c r="K27" t="s">
        <v>59</v>
      </c>
      <c r="L27">
        <v>99</v>
      </c>
    </row>
    <row r="28" spans="1:16" ht="38.25" thickBot="1" x14ac:dyDescent="0.3">
      <c r="A28" s="1" t="s">
        <v>9</v>
      </c>
      <c r="B28" s="2">
        <v>251</v>
      </c>
      <c r="C28" s="24">
        <f t="shared" si="39"/>
        <v>243.78947368421052</v>
      </c>
      <c r="D28" s="26">
        <f t="shared" si="40"/>
        <v>-2.9576856649395467E-2</v>
      </c>
      <c r="G28" s="34">
        <f t="shared" si="38"/>
        <v>81.263157894736835</v>
      </c>
      <c r="H28">
        <v>82</v>
      </c>
      <c r="I28" s="26">
        <f t="shared" si="41"/>
        <v>8.9858793324776309E-3</v>
      </c>
      <c r="K28" t="s">
        <v>60</v>
      </c>
      <c r="L28">
        <v>24</v>
      </c>
    </row>
    <row r="29" spans="1:16" ht="19.5" thickBot="1" x14ac:dyDescent="0.3">
      <c r="A29" s="1" t="s">
        <v>3</v>
      </c>
      <c r="B29" s="2">
        <v>175</v>
      </c>
      <c r="C29" s="24">
        <f t="shared" si="39"/>
        <v>168</v>
      </c>
      <c r="D29" s="26">
        <f t="shared" si="40"/>
        <v>-4.1666666666666741E-2</v>
      </c>
      <c r="G29" s="34">
        <f t="shared" si="38"/>
        <v>56</v>
      </c>
      <c r="H29">
        <v>56</v>
      </c>
      <c r="I29" s="26">
        <f t="shared" si="41"/>
        <v>0</v>
      </c>
      <c r="K29" t="s">
        <v>59</v>
      </c>
      <c r="L29">
        <v>30</v>
      </c>
    </row>
    <row r="30" spans="1:16" ht="38.25" thickBot="1" x14ac:dyDescent="0.3">
      <c r="A30" s="1" t="s">
        <v>4</v>
      </c>
      <c r="B30" s="2">
        <v>159</v>
      </c>
      <c r="C30" s="24">
        <f t="shared" si="39"/>
        <v>152</v>
      </c>
      <c r="D30" s="26">
        <f t="shared" si="40"/>
        <v>-4.6052631578947345E-2</v>
      </c>
      <c r="G30" s="34">
        <f t="shared" si="38"/>
        <v>50.666666666666664</v>
      </c>
      <c r="H30">
        <v>52</v>
      </c>
      <c r="I30" s="26">
        <f t="shared" si="41"/>
        <v>2.5641025641025661E-2</v>
      </c>
      <c r="K30" t="s">
        <v>61</v>
      </c>
      <c r="L30">
        <v>99</v>
      </c>
    </row>
    <row r="31" spans="1:16" ht="38.25" thickBot="1" x14ac:dyDescent="0.3">
      <c r="A31" s="1" t="s">
        <v>10</v>
      </c>
      <c r="B31" s="2">
        <v>73</v>
      </c>
      <c r="C31" s="24">
        <f t="shared" si="39"/>
        <v>72</v>
      </c>
      <c r="D31" s="26">
        <f t="shared" si="40"/>
        <v>-1.388888888888884E-2</v>
      </c>
      <c r="G31" s="34">
        <f t="shared" si="38"/>
        <v>24</v>
      </c>
      <c r="H31">
        <v>24</v>
      </c>
      <c r="I31" s="26">
        <f t="shared" si="41"/>
        <v>0</v>
      </c>
      <c r="K31" t="s">
        <v>59</v>
      </c>
      <c r="L31">
        <v>120</v>
      </c>
    </row>
    <row r="32" spans="1:16" ht="38.25" thickBot="1" x14ac:dyDescent="0.3">
      <c r="A32" s="1" t="s">
        <v>6</v>
      </c>
      <c r="B32" s="2">
        <v>368</v>
      </c>
      <c r="C32" s="24">
        <f t="shared" si="39"/>
        <v>375.21804511278197</v>
      </c>
      <c r="D32" s="26">
        <f t="shared" si="40"/>
        <v>1.9236934915036863E-2</v>
      </c>
      <c r="G32" s="34">
        <f>C32/3</f>
        <v>125.07268170426066</v>
      </c>
      <c r="H32">
        <v>131</v>
      </c>
      <c r="I32" s="26">
        <f t="shared" si="41"/>
        <v>4.524670454762858E-2</v>
      </c>
      <c r="K32" t="s">
        <v>62</v>
      </c>
      <c r="L32">
        <v>99</v>
      </c>
    </row>
    <row r="33" spans="1:13" ht="19.5" thickBot="1" x14ac:dyDescent="0.3">
      <c r="A33" s="3" t="s">
        <v>7</v>
      </c>
      <c r="B33" s="2">
        <v>1676</v>
      </c>
      <c r="C33" s="27">
        <f>SUM(C26:C32)</f>
        <v>1681.4436090225563</v>
      </c>
      <c r="D33" s="26">
        <f t="shared" si="40"/>
        <v>3.2374615439649812E-3</v>
      </c>
      <c r="E33" s="4"/>
      <c r="K33" t="s">
        <v>59</v>
      </c>
      <c r="L33">
        <v>120</v>
      </c>
    </row>
    <row r="34" spans="1:13" ht="18.75" x14ac:dyDescent="0.25">
      <c r="A34" s="38" t="s">
        <v>68</v>
      </c>
      <c r="B34" s="39">
        <v>10</v>
      </c>
      <c r="C34">
        <v>10</v>
      </c>
      <c r="G34">
        <f>C34/3</f>
        <v>3.3333333333333335</v>
      </c>
      <c r="H34">
        <v>4</v>
      </c>
      <c r="I34" s="40">
        <f>1-G34/H34</f>
        <v>0.16666666666666663</v>
      </c>
      <c r="K34" t="s">
        <v>63</v>
      </c>
      <c r="L34">
        <v>52</v>
      </c>
    </row>
    <row r="35" spans="1:13" x14ac:dyDescent="0.25">
      <c r="K35" t="s">
        <v>59</v>
      </c>
      <c r="L35">
        <v>63</v>
      </c>
    </row>
    <row r="36" spans="1:13" x14ac:dyDescent="0.25">
      <c r="K36" t="s">
        <v>66</v>
      </c>
      <c r="L36">
        <v>4</v>
      </c>
    </row>
    <row r="37" spans="1:13" x14ac:dyDescent="0.25">
      <c r="K37" t="s">
        <v>59</v>
      </c>
      <c r="L37">
        <v>5</v>
      </c>
    </row>
    <row r="38" spans="1:13" x14ac:dyDescent="0.25">
      <c r="K38" t="s">
        <v>64</v>
      </c>
      <c r="L38">
        <v>132</v>
      </c>
    </row>
    <row r="39" spans="1:13" x14ac:dyDescent="0.25">
      <c r="K39" t="s">
        <v>59</v>
      </c>
      <c r="L39">
        <v>158</v>
      </c>
    </row>
    <row r="40" spans="1:13" x14ac:dyDescent="0.25">
      <c r="K40" t="s">
        <v>67</v>
      </c>
      <c r="L40">
        <v>4</v>
      </c>
    </row>
    <row r="41" spans="1:13" x14ac:dyDescent="0.25">
      <c r="K41" t="s">
        <v>59</v>
      </c>
      <c r="L41">
        <v>5</v>
      </c>
    </row>
    <row r="42" spans="1:13" x14ac:dyDescent="0.25">
      <c r="K42" t="s">
        <v>65</v>
      </c>
      <c r="L42">
        <v>56</v>
      </c>
    </row>
    <row r="43" spans="1:13" x14ac:dyDescent="0.25">
      <c r="K43" t="s">
        <v>59</v>
      </c>
      <c r="L43">
        <v>68</v>
      </c>
    </row>
    <row r="44" spans="1:13" x14ac:dyDescent="0.25">
      <c r="K44" t="s">
        <v>21</v>
      </c>
      <c r="L44">
        <v>132</v>
      </c>
      <c r="M44" s="37"/>
    </row>
    <row r="45" spans="1:13" x14ac:dyDescent="0.25">
      <c r="K45" t="s">
        <v>59</v>
      </c>
      <c r="L45">
        <v>158</v>
      </c>
      <c r="M45" s="37"/>
    </row>
    <row r="46" spans="1:13" x14ac:dyDescent="0.25">
      <c r="K46" t="s">
        <v>22</v>
      </c>
      <c r="L46">
        <v>131</v>
      </c>
      <c r="M46" s="37"/>
    </row>
    <row r="47" spans="1:13" x14ac:dyDescent="0.25">
      <c r="K47" t="s">
        <v>59</v>
      </c>
      <c r="L47">
        <v>158</v>
      </c>
      <c r="M47" s="37"/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8B1FB-7751-441D-9516-C0058F4407BB}">
  <dimension ref="C9:O44"/>
  <sheetViews>
    <sheetView topLeftCell="A2" workbookViewId="0">
      <selection activeCell="E28" sqref="E28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41" t="s">
        <v>30</v>
      </c>
      <c r="F9" s="41"/>
      <c r="G9" s="41"/>
      <c r="H9" s="41"/>
      <c r="I9" s="41"/>
    </row>
    <row r="11" spans="5:9" ht="28.5" x14ac:dyDescent="0.25">
      <c r="E11" s="5" t="s">
        <v>11</v>
      </c>
      <c r="F11" s="5" t="s">
        <v>12</v>
      </c>
      <c r="G11" s="5" t="s">
        <v>13</v>
      </c>
      <c r="H11" s="5" t="s">
        <v>14</v>
      </c>
      <c r="I11" s="5" t="s">
        <v>15</v>
      </c>
    </row>
    <row r="12" spans="5:9" ht="15.75" x14ac:dyDescent="0.25">
      <c r="E12" s="6" t="s">
        <v>0</v>
      </c>
      <c r="F12" s="7" t="s">
        <v>21</v>
      </c>
      <c r="G12" s="8">
        <v>368</v>
      </c>
      <c r="H12" s="7">
        <f>121*3</f>
        <v>363</v>
      </c>
      <c r="I12" s="9">
        <f>1-G12/H12</f>
        <v>-1.377410468319562E-2</v>
      </c>
    </row>
    <row r="13" spans="5:9" ht="31.5" x14ac:dyDescent="0.25">
      <c r="E13" s="6" t="s">
        <v>1</v>
      </c>
      <c r="F13" s="7" t="s">
        <v>20</v>
      </c>
      <c r="G13" s="8">
        <v>251</v>
      </c>
      <c r="H13" s="7">
        <f>82*3</f>
        <v>246</v>
      </c>
      <c r="I13" s="9">
        <f t="shared" ref="I13:I18" si="0">1-G13/H13</f>
        <v>-2.0325203252032464E-2</v>
      </c>
    </row>
    <row r="14" spans="5:9" ht="31.5" x14ac:dyDescent="0.25">
      <c r="E14" s="6" t="s">
        <v>2</v>
      </c>
      <c r="F14" s="7" t="s">
        <v>23</v>
      </c>
      <c r="G14" s="8">
        <v>251</v>
      </c>
      <c r="H14" s="7">
        <f>82*3</f>
        <v>246</v>
      </c>
      <c r="I14" s="9">
        <f t="shared" si="0"/>
        <v>-2.0325203252032464E-2</v>
      </c>
    </row>
    <row r="15" spans="5:9" ht="15.75" x14ac:dyDescent="0.25">
      <c r="E15" s="6" t="s">
        <v>3</v>
      </c>
      <c r="F15" s="7" t="s">
        <v>16</v>
      </c>
      <c r="G15" s="8">
        <v>175</v>
      </c>
      <c r="H15" s="7">
        <f>56*3</f>
        <v>168</v>
      </c>
      <c r="I15" s="10">
        <f t="shared" si="0"/>
        <v>-4.1666666666666741E-2</v>
      </c>
    </row>
    <row r="16" spans="5:9" ht="31.5" x14ac:dyDescent="0.25">
      <c r="E16" s="6" t="s">
        <v>17</v>
      </c>
      <c r="F16" s="7" t="s">
        <v>19</v>
      </c>
      <c r="G16" s="8">
        <v>159</v>
      </c>
      <c r="H16" s="8">
        <f>56*3</f>
        <v>168</v>
      </c>
      <c r="I16" s="9">
        <f t="shared" si="0"/>
        <v>5.3571428571428603E-2</v>
      </c>
    </row>
    <row r="17" spans="5:9" ht="47.25" x14ac:dyDescent="0.25">
      <c r="E17" s="6" t="s">
        <v>5</v>
      </c>
      <c r="F17" s="7" t="s">
        <v>18</v>
      </c>
      <c r="G17" s="8">
        <v>73</v>
      </c>
      <c r="H17" s="7">
        <f>25*3</f>
        <v>75</v>
      </c>
      <c r="I17" s="9">
        <f t="shared" si="0"/>
        <v>2.6666666666666616E-2</v>
      </c>
    </row>
    <row r="18" spans="5:9" ht="15.75" x14ac:dyDescent="0.25">
      <c r="E18" s="6" t="s">
        <v>6</v>
      </c>
      <c r="F18" s="7" t="s">
        <v>22</v>
      </c>
      <c r="G18" s="8">
        <v>326</v>
      </c>
      <c r="H18" s="7">
        <f>104*3</f>
        <v>312</v>
      </c>
      <c r="I18" s="9">
        <f t="shared" si="0"/>
        <v>-4.4871794871794934E-2</v>
      </c>
    </row>
    <row r="23" spans="5:9" x14ac:dyDescent="0.25">
      <c r="E23" s="41" t="s">
        <v>28</v>
      </c>
      <c r="F23" s="41"/>
      <c r="G23" s="41"/>
      <c r="H23" s="41"/>
      <c r="I23" s="41"/>
    </row>
    <row r="25" spans="5:9" x14ac:dyDescent="0.25">
      <c r="E25" s="12" t="s">
        <v>11</v>
      </c>
      <c r="F25" s="12" t="s">
        <v>12</v>
      </c>
      <c r="G25" s="12" t="s">
        <v>13</v>
      </c>
      <c r="H25" s="12" t="s">
        <v>14</v>
      </c>
      <c r="I25" s="12" t="s">
        <v>15</v>
      </c>
    </row>
    <row r="26" spans="5:9" ht="15.75" x14ac:dyDescent="0.25">
      <c r="E26" s="17" t="s">
        <v>0</v>
      </c>
      <c r="F26" s="16" t="s">
        <v>21</v>
      </c>
      <c r="G26" s="14">
        <f>5*368</f>
        <v>1840</v>
      </c>
      <c r="H26" s="13">
        <f>721*3</f>
        <v>2163</v>
      </c>
      <c r="I26" s="15">
        <f>1-G26/H26</f>
        <v>0.14932963476652794</v>
      </c>
    </row>
    <row r="27" spans="5:9" ht="15.75" x14ac:dyDescent="0.25">
      <c r="E27" s="17" t="s">
        <v>1</v>
      </c>
      <c r="F27" s="16" t="s">
        <v>20</v>
      </c>
      <c r="G27" s="14">
        <f>5*251</f>
        <v>1255</v>
      </c>
      <c r="H27" s="13">
        <f>3*464</f>
        <v>1392</v>
      </c>
      <c r="I27" s="15">
        <f t="shared" ref="I27:I32" si="1">1-G27/H27</f>
        <v>9.8419540229885083E-2</v>
      </c>
    </row>
    <row r="28" spans="5:9" ht="15.75" x14ac:dyDescent="0.25">
      <c r="E28" s="17" t="s">
        <v>2</v>
      </c>
      <c r="F28" s="16" t="s">
        <v>23</v>
      </c>
      <c r="G28" s="14">
        <f>5*251</f>
        <v>1255</v>
      </c>
      <c r="H28" s="13">
        <f>3*462</f>
        <v>1386</v>
      </c>
      <c r="I28" s="15">
        <f t="shared" si="1"/>
        <v>9.4516594516594554E-2</v>
      </c>
    </row>
    <row r="29" spans="5:9" ht="15.75" x14ac:dyDescent="0.25">
      <c r="E29" s="17" t="s">
        <v>3</v>
      </c>
      <c r="F29" s="16" t="s">
        <v>16</v>
      </c>
      <c r="G29" s="14">
        <f>5*175</f>
        <v>875</v>
      </c>
      <c r="H29" s="13">
        <f>3*314</f>
        <v>942</v>
      </c>
      <c r="I29" s="11">
        <f t="shared" si="1"/>
        <v>7.1125265392781301E-2</v>
      </c>
    </row>
    <row r="30" spans="5:9" ht="15.75" x14ac:dyDescent="0.25">
      <c r="E30" s="17" t="s">
        <v>17</v>
      </c>
      <c r="F30" s="16" t="s">
        <v>19</v>
      </c>
      <c r="G30" s="14">
        <f>5*159</f>
        <v>795</v>
      </c>
      <c r="H30" s="13">
        <f>3*330</f>
        <v>990</v>
      </c>
      <c r="I30" s="15">
        <f t="shared" si="1"/>
        <v>0.19696969696969702</v>
      </c>
    </row>
    <row r="31" spans="5:9" ht="15.75" x14ac:dyDescent="0.25">
      <c r="E31" s="17" t="s">
        <v>5</v>
      </c>
      <c r="F31" s="16" t="s">
        <v>18</v>
      </c>
      <c r="G31" s="14">
        <f>5*73</f>
        <v>365</v>
      </c>
      <c r="H31" s="13">
        <f>3*141</f>
        <v>423</v>
      </c>
      <c r="I31" s="15">
        <f t="shared" si="1"/>
        <v>0.13711583924349879</v>
      </c>
    </row>
    <row r="32" spans="5:9" ht="15.75" x14ac:dyDescent="0.25">
      <c r="E32" s="17" t="s">
        <v>6</v>
      </c>
      <c r="F32" s="16" t="s">
        <v>22</v>
      </c>
      <c r="G32" s="14">
        <f>5*326</f>
        <v>1630</v>
      </c>
      <c r="H32" s="13">
        <f>3*599</f>
        <v>1797</v>
      </c>
      <c r="I32" s="15">
        <f t="shared" si="1"/>
        <v>9.2932665553700611E-2</v>
      </c>
    </row>
    <row r="35" spans="5:15" x14ac:dyDescent="0.25">
      <c r="E35" s="41" t="s">
        <v>29</v>
      </c>
      <c r="F35" s="41"/>
      <c r="G35" s="41"/>
      <c r="H35" s="41"/>
      <c r="I35" s="41"/>
    </row>
    <row r="37" spans="5:15" x14ac:dyDescent="0.25">
      <c r="E37" s="12" t="s">
        <v>11</v>
      </c>
      <c r="F37" s="12" t="s">
        <v>12</v>
      </c>
      <c r="G37" s="12" t="s">
        <v>13</v>
      </c>
      <c r="H37" s="12" t="s">
        <v>14</v>
      </c>
      <c r="I37" s="12" t="s">
        <v>15</v>
      </c>
      <c r="L37" s="18" t="s">
        <v>24</v>
      </c>
      <c r="M37" s="18" t="s">
        <v>25</v>
      </c>
      <c r="N37" s="18" t="s">
        <v>26</v>
      </c>
      <c r="O37" s="18" t="s">
        <v>27</v>
      </c>
    </row>
    <row r="38" spans="5:15" ht="15.75" x14ac:dyDescent="0.25">
      <c r="E38" s="17" t="s">
        <v>0</v>
      </c>
      <c r="F38" s="16" t="s">
        <v>21</v>
      </c>
      <c r="G38" s="14">
        <f>5*368</f>
        <v>1840</v>
      </c>
      <c r="H38" s="13">
        <v>2109</v>
      </c>
      <c r="I38" s="15">
        <f>1-G38/H38</f>
        <v>0.12754860123281175</v>
      </c>
      <c r="L38" s="18" t="s">
        <v>18</v>
      </c>
      <c r="M38" s="18">
        <v>377</v>
      </c>
      <c r="N38" s="18">
        <v>27</v>
      </c>
      <c r="O38" s="18">
        <v>0</v>
      </c>
    </row>
    <row r="39" spans="5:15" ht="15.75" x14ac:dyDescent="0.25">
      <c r="E39" s="17" t="s">
        <v>1</v>
      </c>
      <c r="F39" s="16" t="s">
        <v>20</v>
      </c>
      <c r="G39" s="14">
        <f>5*251</f>
        <v>1255</v>
      </c>
      <c r="H39" s="18">
        <v>1315</v>
      </c>
      <c r="I39" s="15">
        <f t="shared" ref="I39:I44" si="2">1-G39/H39</f>
        <v>4.5627376425855459E-2</v>
      </c>
      <c r="L39" s="18" t="s">
        <v>19</v>
      </c>
      <c r="M39" s="18">
        <v>998</v>
      </c>
      <c r="N39" s="18">
        <v>1</v>
      </c>
      <c r="O39" s="18">
        <v>0</v>
      </c>
    </row>
    <row r="40" spans="5:15" ht="15.75" x14ac:dyDescent="0.25">
      <c r="E40" s="17" t="s">
        <v>2</v>
      </c>
      <c r="F40" s="16" t="s">
        <v>23</v>
      </c>
      <c r="G40" s="14">
        <f>5*251</f>
        <v>1255</v>
      </c>
      <c r="H40" s="13">
        <v>1315</v>
      </c>
      <c r="I40" s="15">
        <f t="shared" si="2"/>
        <v>4.5627376425855459E-2</v>
      </c>
      <c r="L40" s="18" t="s">
        <v>20</v>
      </c>
      <c r="M40" s="18" t="s">
        <v>31</v>
      </c>
      <c r="N40" s="18">
        <v>0</v>
      </c>
      <c r="O40" s="18">
        <v>0</v>
      </c>
    </row>
    <row r="41" spans="5:15" ht="15.75" x14ac:dyDescent="0.25">
      <c r="E41" s="17" t="s">
        <v>3</v>
      </c>
      <c r="F41" s="16" t="s">
        <v>16</v>
      </c>
      <c r="G41" s="14">
        <f>5*175</f>
        <v>875</v>
      </c>
      <c r="H41" s="18">
        <v>924</v>
      </c>
      <c r="I41" s="11">
        <f t="shared" si="2"/>
        <v>5.3030303030302983E-2</v>
      </c>
      <c r="L41" s="18" t="s">
        <v>21</v>
      </c>
      <c r="M41" s="18" t="s">
        <v>32</v>
      </c>
      <c r="N41" s="18">
        <v>139</v>
      </c>
      <c r="O41" s="18">
        <v>0</v>
      </c>
    </row>
    <row r="42" spans="5:15" ht="15.75" x14ac:dyDescent="0.25">
      <c r="E42" s="17" t="s">
        <v>17</v>
      </c>
      <c r="F42" s="16" t="s">
        <v>19</v>
      </c>
      <c r="G42" s="14">
        <f>5*159</f>
        <v>795</v>
      </c>
      <c r="H42" s="18">
        <v>998</v>
      </c>
      <c r="I42" s="15">
        <f t="shared" si="2"/>
        <v>0.20340681362725455</v>
      </c>
      <c r="L42" s="18" t="s">
        <v>22</v>
      </c>
      <c r="M42" s="18" t="s">
        <v>33</v>
      </c>
      <c r="N42" s="18">
        <v>1</v>
      </c>
      <c r="O42" s="18">
        <v>0</v>
      </c>
    </row>
    <row r="43" spans="5:15" ht="15.75" x14ac:dyDescent="0.25">
      <c r="E43" s="17" t="s">
        <v>5</v>
      </c>
      <c r="F43" s="16" t="s">
        <v>18</v>
      </c>
      <c r="G43" s="14">
        <f>5*73</f>
        <v>365</v>
      </c>
      <c r="H43" s="18">
        <v>404</v>
      </c>
      <c r="I43" s="15">
        <f t="shared" si="2"/>
        <v>9.6534653465346509E-2</v>
      </c>
      <c r="L43" s="18" t="s">
        <v>16</v>
      </c>
      <c r="M43" s="18">
        <v>924</v>
      </c>
      <c r="N43" s="18">
        <v>0</v>
      </c>
      <c r="O43" s="18">
        <v>0</v>
      </c>
    </row>
    <row r="44" spans="5:15" ht="15.75" x14ac:dyDescent="0.25">
      <c r="E44" s="17" t="s">
        <v>6</v>
      </c>
      <c r="F44" s="16" t="s">
        <v>22</v>
      </c>
      <c r="G44" s="14">
        <f>5*326</f>
        <v>1630</v>
      </c>
      <c r="H44" s="13">
        <v>1675</v>
      </c>
      <c r="I44" s="15">
        <f t="shared" si="2"/>
        <v>2.68656716417911E-2</v>
      </c>
      <c r="L44" s="18" t="s">
        <v>23</v>
      </c>
      <c r="M44" s="18" t="s">
        <v>31</v>
      </c>
      <c r="N44" s="18">
        <v>0</v>
      </c>
      <c r="O44" s="18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Автоматизированный расчет</vt:lpstr>
      <vt:lpstr>Соответствие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as as</cp:lastModifiedBy>
  <dcterms:created xsi:type="dcterms:W3CDTF">2015-06-05T18:19:34Z</dcterms:created>
  <dcterms:modified xsi:type="dcterms:W3CDTF">2020-09-22T18:17:58Z</dcterms:modified>
</cp:coreProperties>
</file>