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095" windowHeight="13230"/>
  </bookViews>
  <sheets>
    <sheet name="详尽档案总表" sheetId="4" r:id="rId1"/>
    <sheet name="李骜" sheetId="3" r:id="rId2"/>
    <sheet name="马翥" sheetId="5" r:id="rId3"/>
    <sheet name="谭澍" sheetId="6" r:id="rId4"/>
    <sheet name="郭君" sheetId="7" r:id="rId5"/>
    <sheet name="王慧勤" sheetId="8" r:id="rId6"/>
    <sheet name="叶小娇" sheetId="9" r:id="rId7"/>
    <sheet name="朱丽羽" sheetId="10" r:id="rId8"/>
    <sheet name="昂静菲" sheetId="11" r:id="rId9"/>
    <sheet name="陈焕美" sheetId="12" r:id="rId10"/>
    <sheet name="杨芸" sheetId="13" r:id="rId11"/>
    <sheet name="胡永俊" sheetId="14" r:id="rId12"/>
  </sheets>
  <calcPr calcId="125725" concurrentCalc="0"/>
</workbook>
</file>

<file path=xl/calcChain.xml><?xml version="1.0" encoding="utf-8"?>
<calcChain xmlns="http://schemas.openxmlformats.org/spreadsheetml/2006/main">
  <c r="G35" i="14"/>
  <c r="E35"/>
  <c r="C35"/>
  <c r="C34"/>
  <c r="G33"/>
  <c r="E33"/>
  <c r="C33"/>
  <c r="G32"/>
  <c r="E32"/>
  <c r="C32"/>
  <c r="G31"/>
  <c r="E31"/>
  <c r="C31"/>
  <c r="G30"/>
  <c r="E30"/>
  <c r="C30"/>
  <c r="G29"/>
  <c r="E29"/>
  <c r="C29"/>
  <c r="G28"/>
  <c r="E28"/>
  <c r="C28"/>
  <c r="C27"/>
  <c r="G26"/>
  <c r="E26"/>
  <c r="C26"/>
  <c r="G25"/>
  <c r="E25"/>
  <c r="C25"/>
  <c r="G24"/>
  <c r="E24"/>
  <c r="C24"/>
  <c r="G23"/>
  <c r="E23"/>
  <c r="C23"/>
  <c r="C22"/>
  <c r="C21"/>
  <c r="C20"/>
  <c r="G19"/>
  <c r="E19"/>
  <c r="C19"/>
  <c r="C18"/>
  <c r="G17"/>
  <c r="E17"/>
  <c r="C17"/>
  <c r="G16"/>
  <c r="E16"/>
  <c r="C16"/>
  <c r="G15"/>
  <c r="E15"/>
  <c r="C15"/>
  <c r="G14"/>
  <c r="E14"/>
  <c r="C14"/>
  <c r="C13"/>
  <c r="G12"/>
  <c r="E12"/>
  <c r="C12"/>
  <c r="G11"/>
  <c r="E11"/>
  <c r="C11"/>
  <c r="G10"/>
  <c r="E10"/>
  <c r="C10"/>
  <c r="G9"/>
  <c r="E9"/>
  <c r="C9"/>
  <c r="G8"/>
  <c r="E8"/>
  <c r="C8"/>
  <c r="E7"/>
  <c r="C7"/>
  <c r="E6"/>
  <c r="C6"/>
  <c r="G5"/>
  <c r="E5"/>
  <c r="C5"/>
  <c r="G4"/>
  <c r="E4"/>
  <c r="C4"/>
  <c r="G3"/>
  <c r="E3"/>
  <c r="C3"/>
  <c r="G2"/>
  <c r="E2"/>
  <c r="C2"/>
  <c r="G35" i="13"/>
  <c r="E35"/>
  <c r="C35"/>
  <c r="C34"/>
  <c r="G33"/>
  <c r="E33"/>
  <c r="C33"/>
  <c r="G32"/>
  <c r="E32"/>
  <c r="C32"/>
  <c r="G31"/>
  <c r="E31"/>
  <c r="C31"/>
  <c r="G30"/>
  <c r="E30"/>
  <c r="C30"/>
  <c r="G29"/>
  <c r="E29"/>
  <c r="C29"/>
  <c r="G28"/>
  <c r="E28"/>
  <c r="C28"/>
  <c r="C27"/>
  <c r="G26"/>
  <c r="E26"/>
  <c r="C26"/>
  <c r="G25"/>
  <c r="E25"/>
  <c r="C25"/>
  <c r="G24"/>
  <c r="E24"/>
  <c r="C24"/>
  <c r="G23"/>
  <c r="E23"/>
  <c r="C23"/>
  <c r="C22"/>
  <c r="C21"/>
  <c r="C20"/>
  <c r="G19"/>
  <c r="E19"/>
  <c r="C19"/>
  <c r="C18"/>
  <c r="G17"/>
  <c r="E17"/>
  <c r="C17"/>
  <c r="G16"/>
  <c r="E16"/>
  <c r="C16"/>
  <c r="G15"/>
  <c r="E15"/>
  <c r="C15"/>
  <c r="G14"/>
  <c r="E14"/>
  <c r="C14"/>
  <c r="C13"/>
  <c r="G12"/>
  <c r="E12"/>
  <c r="C12"/>
  <c r="G11"/>
  <c r="E11"/>
  <c r="C11"/>
  <c r="G10"/>
  <c r="E10"/>
  <c r="C10"/>
  <c r="G9"/>
  <c r="E9"/>
  <c r="C9"/>
  <c r="G8"/>
  <c r="E8"/>
  <c r="C8"/>
  <c r="E7"/>
  <c r="C7"/>
  <c r="E6"/>
  <c r="C6"/>
  <c r="G5"/>
  <c r="E5"/>
  <c r="C5"/>
  <c r="G4"/>
  <c r="E4"/>
  <c r="C4"/>
  <c r="G3"/>
  <c r="E3"/>
  <c r="C3"/>
  <c r="G2"/>
  <c r="E2"/>
  <c r="C2"/>
  <c r="G35" i="12"/>
  <c r="E35"/>
  <c r="C35"/>
  <c r="C34"/>
  <c r="G33"/>
  <c r="E33"/>
  <c r="C33"/>
  <c r="G32"/>
  <c r="E32"/>
  <c r="C32"/>
  <c r="G31"/>
  <c r="E31"/>
  <c r="C31"/>
  <c r="G30"/>
  <c r="E30"/>
  <c r="C30"/>
  <c r="G29"/>
  <c r="E29"/>
  <c r="C29"/>
  <c r="G28"/>
  <c r="E28"/>
  <c r="C28"/>
  <c r="C27"/>
  <c r="G26"/>
  <c r="E26"/>
  <c r="C26"/>
  <c r="G25"/>
  <c r="E25"/>
  <c r="C25"/>
  <c r="G24"/>
  <c r="E24"/>
  <c r="C24"/>
  <c r="G23"/>
  <c r="E23"/>
  <c r="C23"/>
  <c r="C22"/>
  <c r="C21"/>
  <c r="C20"/>
  <c r="G19"/>
  <c r="E19"/>
  <c r="C19"/>
  <c r="C18"/>
  <c r="G17"/>
  <c r="E17"/>
  <c r="C17"/>
  <c r="G16"/>
  <c r="E16"/>
  <c r="C16"/>
  <c r="G15"/>
  <c r="E15"/>
  <c r="C15"/>
  <c r="G14"/>
  <c r="E14"/>
  <c r="C14"/>
  <c r="C13"/>
  <c r="G12"/>
  <c r="E12"/>
  <c r="C12"/>
  <c r="G11"/>
  <c r="E11"/>
  <c r="C11"/>
  <c r="G10"/>
  <c r="E10"/>
  <c r="C10"/>
  <c r="G9"/>
  <c r="E9"/>
  <c r="C9"/>
  <c r="G8"/>
  <c r="E8"/>
  <c r="C8"/>
  <c r="E7"/>
  <c r="C7"/>
  <c r="E6"/>
  <c r="C6"/>
  <c r="G5"/>
  <c r="E5"/>
  <c r="C5"/>
  <c r="G4"/>
  <c r="E4"/>
  <c r="C4"/>
  <c r="G3"/>
  <c r="E3"/>
  <c r="C3"/>
  <c r="G2"/>
  <c r="E2"/>
  <c r="C2"/>
  <c r="G35" i="11"/>
  <c r="E35"/>
  <c r="C35"/>
  <c r="C34"/>
  <c r="G33"/>
  <c r="E33"/>
  <c r="C33"/>
  <c r="G32"/>
  <c r="E32"/>
  <c r="C32"/>
  <c r="G31"/>
  <c r="E31"/>
  <c r="C31"/>
  <c r="G30"/>
  <c r="E30"/>
  <c r="C30"/>
  <c r="G29"/>
  <c r="E29"/>
  <c r="C29"/>
  <c r="G28"/>
  <c r="E28"/>
  <c r="C28"/>
  <c r="C27"/>
  <c r="G26"/>
  <c r="E26"/>
  <c r="C26"/>
  <c r="G25"/>
  <c r="E25"/>
  <c r="C25"/>
  <c r="G24"/>
  <c r="E24"/>
  <c r="C24"/>
  <c r="G23"/>
  <c r="E23"/>
  <c r="C23"/>
  <c r="C22"/>
  <c r="C21"/>
  <c r="C20"/>
  <c r="G19"/>
  <c r="E19"/>
  <c r="C19"/>
  <c r="C18"/>
  <c r="G17"/>
  <c r="E17"/>
  <c r="C17"/>
  <c r="G16"/>
  <c r="E16"/>
  <c r="C16"/>
  <c r="G15"/>
  <c r="E15"/>
  <c r="C15"/>
  <c r="G14"/>
  <c r="E14"/>
  <c r="C14"/>
  <c r="C13"/>
  <c r="G12"/>
  <c r="E12"/>
  <c r="C12"/>
  <c r="G11"/>
  <c r="E11"/>
  <c r="C11"/>
  <c r="G10"/>
  <c r="E10"/>
  <c r="C10"/>
  <c r="G9"/>
  <c r="E9"/>
  <c r="C9"/>
  <c r="G8"/>
  <c r="E8"/>
  <c r="C8"/>
  <c r="E7"/>
  <c r="C7"/>
  <c r="E6"/>
  <c r="C6"/>
  <c r="G5"/>
  <c r="E5"/>
  <c r="C5"/>
  <c r="G4"/>
  <c r="E4"/>
  <c r="C4"/>
  <c r="G3"/>
  <c r="E3"/>
  <c r="C3"/>
  <c r="G2"/>
  <c r="E2"/>
  <c r="C2"/>
  <c r="G35" i="10"/>
  <c r="E35"/>
  <c r="C35"/>
  <c r="C34"/>
  <c r="G33"/>
  <c r="E33"/>
  <c r="C33"/>
  <c r="G32"/>
  <c r="E32"/>
  <c r="C32"/>
  <c r="G31"/>
  <c r="E31"/>
  <c r="C31"/>
  <c r="G30"/>
  <c r="E30"/>
  <c r="C30"/>
  <c r="G29"/>
  <c r="E29"/>
  <c r="C29"/>
  <c r="G28"/>
  <c r="E28"/>
  <c r="C28"/>
  <c r="C27"/>
  <c r="G26"/>
  <c r="E26"/>
  <c r="C26"/>
  <c r="G25"/>
  <c r="E25"/>
  <c r="C25"/>
  <c r="G24"/>
  <c r="E24"/>
  <c r="C24"/>
  <c r="G23"/>
  <c r="E23"/>
  <c r="C23"/>
  <c r="C22"/>
  <c r="C21"/>
  <c r="C20"/>
  <c r="G19"/>
  <c r="E19"/>
  <c r="C19"/>
  <c r="C18"/>
  <c r="G17"/>
  <c r="E17"/>
  <c r="C17"/>
  <c r="G16"/>
  <c r="E16"/>
  <c r="C16"/>
  <c r="G15"/>
  <c r="E15"/>
  <c r="C15"/>
  <c r="G14"/>
  <c r="E14"/>
  <c r="C14"/>
  <c r="C13"/>
  <c r="G12"/>
  <c r="E12"/>
  <c r="C12"/>
  <c r="G11"/>
  <c r="E11"/>
  <c r="C11"/>
  <c r="G10"/>
  <c r="E10"/>
  <c r="C10"/>
  <c r="G9"/>
  <c r="E9"/>
  <c r="C9"/>
  <c r="G8"/>
  <c r="E8"/>
  <c r="C8"/>
  <c r="E7"/>
  <c r="C7"/>
  <c r="E6"/>
  <c r="C6"/>
  <c r="G5"/>
  <c r="E5"/>
  <c r="C5"/>
  <c r="G4"/>
  <c r="E4"/>
  <c r="C4"/>
  <c r="G3"/>
  <c r="E3"/>
  <c r="C3"/>
  <c r="G2"/>
  <c r="E2"/>
  <c r="C2"/>
  <c r="G35" i="9"/>
  <c r="E35"/>
  <c r="C35"/>
  <c r="C34"/>
  <c r="G33"/>
  <c r="E33"/>
  <c r="C33"/>
  <c r="G32"/>
  <c r="E32"/>
  <c r="C32"/>
  <c r="G31"/>
  <c r="E31"/>
  <c r="C31"/>
  <c r="G30"/>
  <c r="E30"/>
  <c r="C30"/>
  <c r="G29"/>
  <c r="E29"/>
  <c r="C29"/>
  <c r="G28"/>
  <c r="E28"/>
  <c r="C28"/>
  <c r="C27"/>
  <c r="G26"/>
  <c r="E26"/>
  <c r="C26"/>
  <c r="G25"/>
  <c r="E25"/>
  <c r="C25"/>
  <c r="G24"/>
  <c r="E24"/>
  <c r="C24"/>
  <c r="G23"/>
  <c r="E23"/>
  <c r="C23"/>
  <c r="C22"/>
  <c r="C21"/>
  <c r="C20"/>
  <c r="G19"/>
  <c r="E19"/>
  <c r="C19"/>
  <c r="C18"/>
  <c r="G17"/>
  <c r="E17"/>
  <c r="C17"/>
  <c r="G16"/>
  <c r="E16"/>
  <c r="C16"/>
  <c r="G15"/>
  <c r="E15"/>
  <c r="C15"/>
  <c r="G14"/>
  <c r="E14"/>
  <c r="C14"/>
  <c r="C13"/>
  <c r="G12"/>
  <c r="E12"/>
  <c r="C12"/>
  <c r="G11"/>
  <c r="E11"/>
  <c r="C11"/>
  <c r="G10"/>
  <c r="E10"/>
  <c r="C10"/>
  <c r="G9"/>
  <c r="E9"/>
  <c r="C9"/>
  <c r="G8"/>
  <c r="E8"/>
  <c r="C8"/>
  <c r="E7"/>
  <c r="C7"/>
  <c r="E6"/>
  <c r="C6"/>
  <c r="G5"/>
  <c r="E5"/>
  <c r="C5"/>
  <c r="G4"/>
  <c r="E4"/>
  <c r="C4"/>
  <c r="G3"/>
  <c r="E3"/>
  <c r="C3"/>
  <c r="G2"/>
  <c r="E2"/>
  <c r="C2"/>
  <c r="G35" i="8"/>
  <c r="E35"/>
  <c r="C35"/>
  <c r="C34"/>
  <c r="G33"/>
  <c r="E33"/>
  <c r="C33"/>
  <c r="G32"/>
  <c r="E32"/>
  <c r="C32"/>
  <c r="G31"/>
  <c r="E31"/>
  <c r="C31"/>
  <c r="G30"/>
  <c r="E30"/>
  <c r="C30"/>
  <c r="G29"/>
  <c r="E29"/>
  <c r="C29"/>
  <c r="G28"/>
  <c r="E28"/>
  <c r="C28"/>
  <c r="C27"/>
  <c r="G26"/>
  <c r="E26"/>
  <c r="C26"/>
  <c r="G25"/>
  <c r="E25"/>
  <c r="C25"/>
  <c r="G24"/>
  <c r="E24"/>
  <c r="C24"/>
  <c r="G23"/>
  <c r="E23"/>
  <c r="C23"/>
  <c r="C22"/>
  <c r="C21"/>
  <c r="C20"/>
  <c r="G19"/>
  <c r="E19"/>
  <c r="C19"/>
  <c r="C18"/>
  <c r="G17"/>
  <c r="E17"/>
  <c r="C17"/>
  <c r="G16"/>
  <c r="E16"/>
  <c r="C16"/>
  <c r="G15"/>
  <c r="E15"/>
  <c r="C15"/>
  <c r="G14"/>
  <c r="E14"/>
  <c r="C14"/>
  <c r="C13"/>
  <c r="G12"/>
  <c r="E12"/>
  <c r="C12"/>
  <c r="G11"/>
  <c r="E11"/>
  <c r="C11"/>
  <c r="G10"/>
  <c r="E10"/>
  <c r="C10"/>
  <c r="G9"/>
  <c r="E9"/>
  <c r="C9"/>
  <c r="G8"/>
  <c r="E8"/>
  <c r="C8"/>
  <c r="E7"/>
  <c r="C7"/>
  <c r="E6"/>
  <c r="C6"/>
  <c r="G5"/>
  <c r="E5"/>
  <c r="C5"/>
  <c r="G4"/>
  <c r="E4"/>
  <c r="C4"/>
  <c r="G3"/>
  <c r="E3"/>
  <c r="C3"/>
  <c r="G2"/>
  <c r="E2"/>
  <c r="C2"/>
  <c r="G35" i="7"/>
  <c r="E35"/>
  <c r="C35"/>
  <c r="C34"/>
  <c r="G33"/>
  <c r="E33"/>
  <c r="C33"/>
  <c r="G32"/>
  <c r="E32"/>
  <c r="C32"/>
  <c r="G31"/>
  <c r="E31"/>
  <c r="C31"/>
  <c r="G30"/>
  <c r="E30"/>
  <c r="C30"/>
  <c r="G29"/>
  <c r="E29"/>
  <c r="C29"/>
  <c r="G28"/>
  <c r="E28"/>
  <c r="C28"/>
  <c r="C27"/>
  <c r="G26"/>
  <c r="E26"/>
  <c r="C26"/>
  <c r="G25"/>
  <c r="E25"/>
  <c r="C25"/>
  <c r="G24"/>
  <c r="E24"/>
  <c r="C24"/>
  <c r="G23"/>
  <c r="E23"/>
  <c r="C23"/>
  <c r="C22"/>
  <c r="C21"/>
  <c r="C20"/>
  <c r="G19"/>
  <c r="E19"/>
  <c r="C19"/>
  <c r="C18"/>
  <c r="G17"/>
  <c r="E17"/>
  <c r="C17"/>
  <c r="G16"/>
  <c r="E16"/>
  <c r="C16"/>
  <c r="G15"/>
  <c r="E15"/>
  <c r="C15"/>
  <c r="G14"/>
  <c r="E14"/>
  <c r="C14"/>
  <c r="C13"/>
  <c r="G12"/>
  <c r="E12"/>
  <c r="C12"/>
  <c r="G11"/>
  <c r="E11"/>
  <c r="C11"/>
  <c r="G10"/>
  <c r="E10"/>
  <c r="C10"/>
  <c r="G9"/>
  <c r="E9"/>
  <c r="C9"/>
  <c r="G8"/>
  <c r="E8"/>
  <c r="C8"/>
  <c r="E7"/>
  <c r="C7"/>
  <c r="E6"/>
  <c r="C6"/>
  <c r="G5"/>
  <c r="E5"/>
  <c r="C5"/>
  <c r="G4"/>
  <c r="E4"/>
  <c r="C4"/>
  <c r="G3"/>
  <c r="E3"/>
  <c r="C3"/>
  <c r="G2"/>
  <c r="E2"/>
  <c r="C2"/>
  <c r="G35" i="6"/>
  <c r="E35"/>
  <c r="C35"/>
  <c r="C34"/>
  <c r="G33"/>
  <c r="E33"/>
  <c r="C33"/>
  <c r="G32"/>
  <c r="E32"/>
  <c r="C32"/>
  <c r="G31"/>
  <c r="E31"/>
  <c r="C31"/>
  <c r="G30"/>
  <c r="E30"/>
  <c r="C30"/>
  <c r="G29"/>
  <c r="E29"/>
  <c r="C29"/>
  <c r="G28"/>
  <c r="E28"/>
  <c r="C28"/>
  <c r="C27"/>
  <c r="G26"/>
  <c r="E26"/>
  <c r="C26"/>
  <c r="G25"/>
  <c r="E25"/>
  <c r="C25"/>
  <c r="G24"/>
  <c r="E24"/>
  <c r="C24"/>
  <c r="G23"/>
  <c r="E23"/>
  <c r="C23"/>
  <c r="C22"/>
  <c r="C21"/>
  <c r="C20"/>
  <c r="G19"/>
  <c r="E19"/>
  <c r="C19"/>
  <c r="C18"/>
  <c r="G17"/>
  <c r="E17"/>
  <c r="C17"/>
  <c r="G16"/>
  <c r="E16"/>
  <c r="C16"/>
  <c r="G15"/>
  <c r="E15"/>
  <c r="C15"/>
  <c r="G14"/>
  <c r="E14"/>
  <c r="C14"/>
  <c r="C13"/>
  <c r="G12"/>
  <c r="E12"/>
  <c r="C12"/>
  <c r="G11"/>
  <c r="E11"/>
  <c r="C11"/>
  <c r="G10"/>
  <c r="E10"/>
  <c r="C10"/>
  <c r="G9"/>
  <c r="E9"/>
  <c r="C9"/>
  <c r="G8"/>
  <c r="E8"/>
  <c r="C8"/>
  <c r="E7"/>
  <c r="C7"/>
  <c r="E6"/>
  <c r="C6"/>
  <c r="G5"/>
  <c r="E5"/>
  <c r="C5"/>
  <c r="G4"/>
  <c r="E4"/>
  <c r="C4"/>
  <c r="G3"/>
  <c r="E3"/>
  <c r="C3"/>
  <c r="G2"/>
  <c r="E2"/>
  <c r="C2"/>
  <c r="G35" i="5"/>
  <c r="E35"/>
  <c r="C35"/>
  <c r="C34"/>
  <c r="G33"/>
  <c r="E33"/>
  <c r="C33"/>
  <c r="G32"/>
  <c r="E32"/>
  <c r="C32"/>
  <c r="G31"/>
  <c r="E31"/>
  <c r="C31"/>
  <c r="G30"/>
  <c r="E30"/>
  <c r="C30"/>
  <c r="G29"/>
  <c r="E29"/>
  <c r="C29"/>
  <c r="G28"/>
  <c r="E28"/>
  <c r="C28"/>
  <c r="C27"/>
  <c r="G26"/>
  <c r="E26"/>
  <c r="C26"/>
  <c r="G25"/>
  <c r="E25"/>
  <c r="C25"/>
  <c r="G24"/>
  <c r="E24"/>
  <c r="C24"/>
  <c r="G23"/>
  <c r="E23"/>
  <c r="C23"/>
  <c r="C22"/>
  <c r="C21"/>
  <c r="C20"/>
  <c r="G19"/>
  <c r="E19"/>
  <c r="C19"/>
  <c r="C18"/>
  <c r="G17"/>
  <c r="E17"/>
  <c r="C17"/>
  <c r="G16"/>
  <c r="E16"/>
  <c r="C16"/>
  <c r="G15"/>
  <c r="E15"/>
  <c r="C15"/>
  <c r="G14"/>
  <c r="E14"/>
  <c r="C14"/>
  <c r="C13"/>
  <c r="G12"/>
  <c r="E12"/>
  <c r="C12"/>
  <c r="G11"/>
  <c r="E11"/>
  <c r="C11"/>
  <c r="G10"/>
  <c r="E10"/>
  <c r="C10"/>
  <c r="G9"/>
  <c r="E9"/>
  <c r="C9"/>
  <c r="G8"/>
  <c r="E8"/>
  <c r="C8"/>
  <c r="E7"/>
  <c r="C7"/>
  <c r="E6"/>
  <c r="C6"/>
  <c r="G5"/>
  <c r="E5"/>
  <c r="C5"/>
  <c r="G4"/>
  <c r="E4"/>
  <c r="C4"/>
  <c r="G3"/>
  <c r="E3"/>
  <c r="C3"/>
  <c r="G2"/>
  <c r="E2"/>
  <c r="C2"/>
  <c r="G33" i="3"/>
  <c r="E33"/>
  <c r="C33"/>
  <c r="G32"/>
  <c r="E32"/>
  <c r="C32"/>
  <c r="G31"/>
  <c r="E31"/>
  <c r="C31"/>
  <c r="G30"/>
  <c r="E30"/>
  <c r="C30"/>
  <c r="G29"/>
  <c r="E29"/>
  <c r="C29"/>
  <c r="G28"/>
  <c r="E28"/>
  <c r="C28"/>
  <c r="C27"/>
  <c r="G26"/>
  <c r="E26"/>
  <c r="C26"/>
  <c r="G25"/>
  <c r="E25"/>
  <c r="C25"/>
  <c r="G24"/>
  <c r="E24"/>
  <c r="C24"/>
  <c r="G23"/>
  <c r="E23"/>
  <c r="C23"/>
  <c r="C22"/>
  <c r="C21"/>
  <c r="C20"/>
  <c r="G19"/>
  <c r="E19"/>
  <c r="C19"/>
  <c r="C18"/>
  <c r="G17"/>
  <c r="E17"/>
  <c r="C17"/>
  <c r="G16"/>
  <c r="E16"/>
  <c r="C16"/>
  <c r="G15"/>
  <c r="E15"/>
  <c r="C15"/>
  <c r="G14"/>
  <c r="E14"/>
  <c r="C14"/>
  <c r="C13"/>
  <c r="G12"/>
  <c r="E12"/>
  <c r="C12"/>
  <c r="G11"/>
  <c r="E11"/>
  <c r="C11"/>
  <c r="G10"/>
  <c r="E10"/>
  <c r="C10"/>
  <c r="G9"/>
  <c r="E9"/>
  <c r="C9"/>
  <c r="G8"/>
  <c r="E8"/>
  <c r="C8"/>
  <c r="E7"/>
  <c r="C7"/>
  <c r="E6"/>
  <c r="C6"/>
  <c r="G5"/>
  <c r="E5"/>
  <c r="C5"/>
  <c r="G4"/>
  <c r="E4"/>
  <c r="C4"/>
  <c r="G3"/>
  <c r="E3"/>
  <c r="C3"/>
  <c r="G2"/>
  <c r="E2"/>
  <c r="C2"/>
  <c r="C34"/>
  <c r="C35"/>
  <c r="E35"/>
  <c r="G35"/>
</calcChain>
</file>

<file path=xl/comments1.xml><?xml version="1.0" encoding="utf-8"?>
<comments xmlns="http://schemas.openxmlformats.org/spreadsheetml/2006/main">
  <authors>
    <author>AutoBVT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暂时编号不真实</t>
        </r>
      </text>
    </comment>
  </commentList>
</comments>
</file>

<file path=xl/sharedStrings.xml><?xml version="1.0" encoding="utf-8"?>
<sst xmlns="http://schemas.openxmlformats.org/spreadsheetml/2006/main" count="2070" uniqueCount="651">
  <si>
    <t>序号</t>
  </si>
  <si>
    <t>丹霞店档案号</t>
  </si>
  <si>
    <t>产妇姓名</t>
  </si>
  <si>
    <t>签单金额</t>
  </si>
  <si>
    <t>身份证号码</t>
  </si>
  <si>
    <t>联系电话</t>
  </si>
  <si>
    <t>住址</t>
  </si>
  <si>
    <t>所在单位</t>
  </si>
  <si>
    <t>民族</t>
  </si>
  <si>
    <t>婚姻</t>
  </si>
  <si>
    <t>宗教信仰</t>
  </si>
  <si>
    <t>文化程度</t>
  </si>
  <si>
    <t>籍贯</t>
  </si>
  <si>
    <t>性格特点</t>
  </si>
  <si>
    <t>兴趣爱好</t>
  </si>
  <si>
    <t>特殊要求</t>
  </si>
  <si>
    <t>产时并合症</t>
  </si>
  <si>
    <t>过敏史</t>
  </si>
  <si>
    <t>既往史</t>
  </si>
  <si>
    <t>家族史</t>
  </si>
  <si>
    <t>血型</t>
  </si>
  <si>
    <t>分娩医院</t>
  </si>
  <si>
    <t>住院天数</t>
  </si>
  <si>
    <t>出院诊断</t>
  </si>
  <si>
    <t>分娩方式</t>
  </si>
  <si>
    <t>分娩孕周</t>
  </si>
  <si>
    <t>宝宝姓名</t>
  </si>
  <si>
    <t>宝宝性别</t>
  </si>
  <si>
    <t>宝宝出生体重(g)</t>
  </si>
  <si>
    <t>宝宝出生身长(cm)</t>
  </si>
  <si>
    <t>宝宝入室体重(g)</t>
  </si>
  <si>
    <t>宝宝离室体重(g)</t>
  </si>
  <si>
    <t>宝宝血型</t>
  </si>
  <si>
    <t>宝宝入室异常</t>
  </si>
  <si>
    <t>饮食情况</t>
  </si>
  <si>
    <t>入室时间</t>
  </si>
  <si>
    <t>离室时间</t>
  </si>
  <si>
    <t>是</t>
  </si>
  <si>
    <t>无</t>
  </si>
  <si>
    <t>大学本科</t>
  </si>
  <si>
    <t>顺产</t>
  </si>
  <si>
    <t>男</t>
  </si>
  <si>
    <t>邹玉华</t>
  </si>
  <si>
    <t>532927197508290528</t>
  </si>
  <si>
    <t>汉</t>
  </si>
  <si>
    <t>教师</t>
  </si>
  <si>
    <t>出血600ml</t>
  </si>
  <si>
    <t>B</t>
  </si>
  <si>
    <t>剖宫产</t>
  </si>
  <si>
    <t>2018-5-8</t>
  </si>
  <si>
    <t>12:17</t>
  </si>
  <si>
    <t>配方奶</t>
  </si>
  <si>
    <t>2018-5-12</t>
  </si>
  <si>
    <t>何金红</t>
  </si>
  <si>
    <t>530103197703262526</t>
  </si>
  <si>
    <t>会阴裂伤</t>
  </si>
  <si>
    <t>O</t>
  </si>
  <si>
    <t>睡眠评估/异常/每天6小时/无药物辅助</t>
  </si>
  <si>
    <t>2018-5-24</t>
  </si>
  <si>
    <t>20:28</t>
  </si>
  <si>
    <t>2018-5-30</t>
  </si>
  <si>
    <t>蔡雅琦</t>
  </si>
  <si>
    <t>530102197709101129</t>
  </si>
  <si>
    <t>医生</t>
  </si>
  <si>
    <t>会阴侧切</t>
  </si>
  <si>
    <t>P6(+)</t>
  </si>
  <si>
    <t>A</t>
  </si>
  <si>
    <t>延安医院</t>
  </si>
  <si>
    <t>39+5</t>
  </si>
  <si>
    <t>8:00</t>
  </si>
  <si>
    <t>女</t>
  </si>
  <si>
    <t>蒋序旖旎</t>
  </si>
  <si>
    <t>430103198602043528</t>
  </si>
  <si>
    <t>金融</t>
  </si>
  <si>
    <t>不吃猪肝/动物内脏</t>
  </si>
  <si>
    <t>乳房纤维瘤</t>
  </si>
  <si>
    <t>父亲高血压</t>
  </si>
  <si>
    <t>40+6</t>
  </si>
  <si>
    <t>2018-5-20</t>
  </si>
  <si>
    <t>19:46</t>
  </si>
  <si>
    <t>预产期</t>
  </si>
  <si>
    <t>李骜</t>
  </si>
  <si>
    <t>2018.5.13</t>
  </si>
  <si>
    <t>220702199007291422</t>
  </si>
  <si>
    <t>市妇幼</t>
  </si>
  <si>
    <t>一胎</t>
  </si>
  <si>
    <t>马翥</t>
  </si>
  <si>
    <t>2018.5.10</t>
  </si>
  <si>
    <t>530103197806261585</t>
  </si>
  <si>
    <t>昆华医院</t>
  </si>
  <si>
    <t>二胎</t>
  </si>
  <si>
    <t>530181198902213026</t>
  </si>
  <si>
    <t>2018.6.16</t>
  </si>
  <si>
    <t>530102198608030020</t>
  </si>
  <si>
    <t>云大医院</t>
  </si>
  <si>
    <t>2018.6.7</t>
  </si>
  <si>
    <t>530181197907023921</t>
  </si>
  <si>
    <t>学府路金鼎家园G-3-301</t>
  </si>
  <si>
    <t>2018.5.22</t>
  </si>
  <si>
    <t>53292419910306002x</t>
  </si>
  <si>
    <t>昆明莲花正街莲峰苑</t>
  </si>
  <si>
    <t>2018.5.27</t>
  </si>
  <si>
    <t>530102198806281525</t>
  </si>
  <si>
    <t>2018.5.30</t>
  </si>
  <si>
    <t>53012419780125082x</t>
  </si>
  <si>
    <t>2018.5.20</t>
  </si>
  <si>
    <t>532128198604200585</t>
  </si>
  <si>
    <t>530102198103192729</t>
  </si>
  <si>
    <t>新闻路226号附1号</t>
  </si>
  <si>
    <t>2018.6.5</t>
  </si>
  <si>
    <t>53250219821223002x</t>
  </si>
  <si>
    <t>宋芳兰</t>
  </si>
  <si>
    <t>2018.5.25</t>
  </si>
  <si>
    <t>510725197901302020</t>
  </si>
  <si>
    <t>廖靓涵</t>
  </si>
  <si>
    <t>2018.5.31</t>
  </si>
  <si>
    <t>522526198805122242</t>
  </si>
  <si>
    <t>张荣</t>
  </si>
  <si>
    <t>2018.5.1</t>
  </si>
  <si>
    <t>甘美医院</t>
  </si>
  <si>
    <t>王跃臻</t>
  </si>
  <si>
    <t>2018.5.6</t>
  </si>
  <si>
    <t>530111198602046722</t>
  </si>
  <si>
    <t>王红玲</t>
  </si>
  <si>
    <t>2018.5.28</t>
  </si>
  <si>
    <t>511602198905177509</t>
  </si>
  <si>
    <t>平璐</t>
  </si>
  <si>
    <t>610115198609070261</t>
  </si>
  <si>
    <t>王娟</t>
  </si>
  <si>
    <t>2018.6.2</t>
  </si>
  <si>
    <t>530102198102251141</t>
  </si>
  <si>
    <t>郭筱</t>
  </si>
  <si>
    <t>2018.5.7</t>
  </si>
  <si>
    <t>532729198709130025</t>
  </si>
  <si>
    <t>日新路1996号银苑小区</t>
  </si>
  <si>
    <t>2018.5.15</t>
  </si>
  <si>
    <t>仇晨</t>
  </si>
  <si>
    <t>530102198912223345</t>
  </si>
  <si>
    <t>西福路鑫益花园3-2-101</t>
  </si>
  <si>
    <t>周玥杉</t>
  </si>
  <si>
    <t>2018.6.8</t>
  </si>
  <si>
    <t>530102199008272426</t>
  </si>
  <si>
    <t>张亚云</t>
  </si>
  <si>
    <t>2018.5.18</t>
  </si>
  <si>
    <t>53011119780127204x</t>
  </si>
  <si>
    <t>钱英</t>
  </si>
  <si>
    <t>2018.5.23</t>
  </si>
  <si>
    <t>530181198104183926</t>
  </si>
  <si>
    <t>昆钢晓东里小区2-402</t>
  </si>
  <si>
    <t>李玲娟</t>
  </si>
  <si>
    <t>2018.5.14</t>
  </si>
  <si>
    <t>530127198801133520</t>
  </si>
  <si>
    <t>世纪城华春苑</t>
  </si>
  <si>
    <t>红会医院</t>
  </si>
  <si>
    <t>穿金路云南映象30-3-1201</t>
  </si>
  <si>
    <t>龚正兰</t>
  </si>
  <si>
    <t>532932197707091522</t>
  </si>
  <si>
    <t>西山区马街街道办事处小围村17号</t>
  </si>
  <si>
    <t>林玉晨</t>
  </si>
  <si>
    <t>530103798409151248</t>
  </si>
  <si>
    <t>穿金路中产风尚小区11-2605</t>
  </si>
  <si>
    <t>郑家伟</t>
  </si>
  <si>
    <t>532526198001103849</t>
  </si>
  <si>
    <t>三胎</t>
  </si>
  <si>
    <t>滇池路金牛小区琻兰1-501</t>
  </si>
  <si>
    <t>何敏丽</t>
  </si>
  <si>
    <t>2018.5.11</t>
  </si>
  <si>
    <t>530113198707130325</t>
  </si>
  <si>
    <t>高新区假日城市</t>
  </si>
  <si>
    <t>金晓雯</t>
  </si>
  <si>
    <t>2018.5.9</t>
  </si>
  <si>
    <t>530102198603230322</t>
  </si>
  <si>
    <t>王若泽</t>
  </si>
  <si>
    <t>2018.6.10</t>
  </si>
  <si>
    <t>621727198110246029</t>
  </si>
  <si>
    <t>昆明市五华区翠湖南路翠康园</t>
  </si>
  <si>
    <t>罗瑞芳</t>
  </si>
  <si>
    <t>533102198603091628</t>
  </si>
  <si>
    <t>王辉</t>
  </si>
  <si>
    <t>昆明市北塔路320</t>
  </si>
  <si>
    <t>杨伶娇</t>
  </si>
  <si>
    <t>2018.5.24</t>
  </si>
  <si>
    <t>53010219900524274</t>
  </si>
  <si>
    <t>西坝路283号11-1-502</t>
  </si>
  <si>
    <t>卿晋</t>
  </si>
  <si>
    <t>2018.5.16</t>
  </si>
  <si>
    <t>512534198807043220</t>
  </si>
  <si>
    <t>43医院</t>
  </si>
  <si>
    <t>2018.5.17</t>
  </si>
  <si>
    <t>段普花</t>
  </si>
  <si>
    <t>530112198112100921</t>
  </si>
  <si>
    <t>西山区尚领明珠</t>
  </si>
  <si>
    <t>2018.5.19</t>
  </si>
  <si>
    <t>郑静</t>
  </si>
  <si>
    <t>53010219810711332X</t>
  </si>
  <si>
    <t>教场西路37路</t>
  </si>
  <si>
    <t>冯媛佳</t>
  </si>
  <si>
    <t>530322199211050024</t>
  </si>
  <si>
    <t>呈贡区滇池星城</t>
  </si>
  <si>
    <t>2018.5.29</t>
  </si>
  <si>
    <t>郑吕波</t>
  </si>
  <si>
    <t>530111197902023560</t>
  </si>
  <si>
    <t>入住房型</t>
  </si>
  <si>
    <t>产妇出生年份</t>
  </si>
  <si>
    <t>产妇生日</t>
  </si>
  <si>
    <t>身份证地址</t>
  </si>
  <si>
    <t>胎次</t>
  </si>
  <si>
    <t>生产年龄</t>
  </si>
  <si>
    <t>宝宝出生日期</t>
  </si>
  <si>
    <t>出生时间</t>
  </si>
  <si>
    <t>胞胎数</t>
  </si>
  <si>
    <t>宝宝乳名</t>
  </si>
  <si>
    <t>舒心房</t>
  </si>
  <si>
    <t>丈夫</t>
  </si>
  <si>
    <t>回</t>
  </si>
  <si>
    <t>朱力</t>
  </si>
  <si>
    <t>静心房</t>
  </si>
  <si>
    <t>2.21</t>
  </si>
  <si>
    <t>云南省昆明市盘龙区白龙路白龙寺村306号22栋203号</t>
  </si>
  <si>
    <t>昆铁家园小区B-1502</t>
  </si>
  <si>
    <t>护士</t>
  </si>
  <si>
    <t>崔睿</t>
  </si>
  <si>
    <t>崔国民</t>
  </si>
  <si>
    <t>王小珊</t>
  </si>
  <si>
    <t>养心房</t>
  </si>
  <si>
    <t>云南省昆安宁市连然镇建设路小南新区附8幢1单元9号</t>
  </si>
  <si>
    <t>行政</t>
  </si>
  <si>
    <t>马潇</t>
  </si>
  <si>
    <t>李</t>
  </si>
  <si>
    <t>3.6</t>
  </si>
  <si>
    <t>云南省昆明市五华区莲花池正街144号欣安花园3栋2单元401室</t>
  </si>
  <si>
    <t>白</t>
  </si>
  <si>
    <t>大学教师</t>
  </si>
  <si>
    <t>带皮或能看出鸡形状的鸡</t>
  </si>
  <si>
    <t>G1P1孕40周/胎儿窘迫/脐绕颈一周/轻度贫血</t>
  </si>
  <si>
    <t>张颖星</t>
  </si>
  <si>
    <t>母亲</t>
  </si>
  <si>
    <t>田维巍</t>
  </si>
  <si>
    <t>6.28</t>
  </si>
  <si>
    <t>云南省昆明市西山区湖畔西路95号九夏云水俊园4号地块1幢2单元402室</t>
  </si>
  <si>
    <t>广福路力夏云水4#1-2-402</t>
  </si>
  <si>
    <t>韩智宇</t>
  </si>
  <si>
    <t>1.25</t>
  </si>
  <si>
    <t>南京市玄武区成贤街119-3号</t>
  </si>
  <si>
    <t>五华区虹山东路141号</t>
  </si>
  <si>
    <t>彝</t>
  </si>
  <si>
    <t>设计师</t>
  </si>
  <si>
    <t>妊娠糖尿病</t>
  </si>
  <si>
    <t>陈敏文</t>
  </si>
  <si>
    <t>4.20</t>
  </si>
  <si>
    <t>云南省昭通市镇雄县中屯乡柳林村民委员会中田坝村民小组30号</t>
  </si>
  <si>
    <t>昆明市官渡区民航路格林威治小区1幢4单元1201</t>
  </si>
  <si>
    <t>职员</t>
  </si>
  <si>
    <t>不喜欢吃姜</t>
  </si>
  <si>
    <t>苏文煊</t>
  </si>
  <si>
    <t>双胎</t>
  </si>
  <si>
    <t>张新</t>
  </si>
  <si>
    <t>12.23</t>
  </si>
  <si>
    <t>云南省昆明市西山区海埂路马洒营小区桂园B栋3单元402号</t>
  </si>
  <si>
    <t>翠羽丹霞A幢803室</t>
  </si>
  <si>
    <t>李斯宓</t>
  </si>
  <si>
    <t>李继昆</t>
  </si>
  <si>
    <t>宝宝带耳轮廓矫正器</t>
  </si>
  <si>
    <t>肖永祥</t>
  </si>
  <si>
    <t>5.12</t>
  </si>
  <si>
    <t>延安医院家属区/盘龙区小龙路中段东方丽苑2-4-903</t>
  </si>
  <si>
    <t>张云昊</t>
  </si>
  <si>
    <t>王坤黎</t>
  </si>
  <si>
    <t>邓睿</t>
  </si>
  <si>
    <t>四川省广安市前锋区代市镇东方村3组18号</t>
  </si>
  <si>
    <t>官渡区万科魅力之城1期9栋2907号</t>
  </si>
  <si>
    <t>自由职业</t>
  </si>
  <si>
    <t>胎监不良/绒毛膜羊膜炎/胎膜早破/妊娠合并甲减/G3P1孕39+2周单胎头位剖宫产/盆腔炎</t>
  </si>
  <si>
    <t>杨晓锋</t>
  </si>
  <si>
    <t>杨景浩</t>
  </si>
  <si>
    <t>云南省昆明市盘龙区北京路明通巷4号1栋1单元15号</t>
  </si>
  <si>
    <t>明通巷42号</t>
  </si>
  <si>
    <t>王新</t>
  </si>
  <si>
    <t>施雍</t>
  </si>
  <si>
    <t>段炜</t>
  </si>
  <si>
    <t>全思臣</t>
  </si>
  <si>
    <t>邹青梅</t>
  </si>
  <si>
    <t>1.27</t>
  </si>
  <si>
    <t>云南省昆明市晋宁县郑和路117号2幢2单元252室</t>
  </si>
  <si>
    <t>晋宁昆阳荣合金岸小区12幢3单元102室</t>
  </si>
  <si>
    <t>公务员</t>
  </si>
  <si>
    <t>40+5</t>
  </si>
  <si>
    <t>赵欣琪</t>
  </si>
  <si>
    <t>4.18</t>
  </si>
  <si>
    <t>云南省安宁市金方街道办事处建设路小南新区22幢1单元8号</t>
  </si>
  <si>
    <t>刘建勋</t>
  </si>
  <si>
    <t>1.13</t>
  </si>
  <si>
    <t>云南省昆明市嵩明县杨林镇大官渡村119号</t>
  </si>
  <si>
    <t>办公室</t>
  </si>
  <si>
    <t>李江</t>
  </si>
  <si>
    <t>510122198606288126</t>
  </si>
  <si>
    <t>成都市双流区黄甲镇双华9组</t>
  </si>
  <si>
    <t>龚恒</t>
  </si>
  <si>
    <t>7.9</t>
  </si>
  <si>
    <t>云南省昆明市西山区马街街道办事处小围村17号</t>
  </si>
  <si>
    <t>办公室科员</t>
  </si>
  <si>
    <t>宫内窘迫/IDM/生后3-5天复查TcB</t>
  </si>
  <si>
    <t>张继华</t>
  </si>
  <si>
    <t>2.4</t>
  </si>
  <si>
    <t>云南省昆明市盘龙区白龙路巨和美术小区7栋1303号</t>
  </si>
  <si>
    <t>白龙路巨和美术小区</t>
  </si>
  <si>
    <t>陆宇尧</t>
  </si>
  <si>
    <t>陆辉</t>
  </si>
  <si>
    <t>爱心房</t>
  </si>
  <si>
    <t>1.10</t>
  </si>
  <si>
    <t>生老二大出血，肚子到现在一直有肿胀，失眠，需要多做理疗，妊娠期血糖高</t>
  </si>
  <si>
    <t>董绍宏</t>
  </si>
  <si>
    <t>杨皓</t>
  </si>
  <si>
    <t>彭英</t>
  </si>
  <si>
    <t>毛鸿斌</t>
  </si>
  <si>
    <t>10.24</t>
  </si>
  <si>
    <t>云南省昆明市盘龙区北京路延长线江东花城AD座815号</t>
  </si>
  <si>
    <t>IT</t>
  </si>
  <si>
    <t>赵培杰</t>
  </si>
  <si>
    <t>云南省德宏州瑞丽市兴安路21号附31号</t>
  </si>
  <si>
    <t>呈贡区惠兰园</t>
  </si>
  <si>
    <t>警察</t>
  </si>
  <si>
    <t>不吃猪肉和猪油</t>
  </si>
  <si>
    <t>许小龙</t>
  </si>
  <si>
    <t>12.16</t>
  </si>
  <si>
    <t>522502197812160508</t>
  </si>
  <si>
    <t>云南省昆明市盘龙区人民东路北延长线86街公寓U2第1栋503号</t>
  </si>
  <si>
    <t>牛海萌</t>
  </si>
  <si>
    <t>5.24</t>
  </si>
  <si>
    <t>云南省昆明市五华区黄土坡中村107号4栋3单元102室</t>
  </si>
  <si>
    <t>苗</t>
  </si>
  <si>
    <t>高铁乘务员</t>
  </si>
  <si>
    <t>头位顺产/G1P1孕39+3周单胎以ROA顺产一活女婴/妊娠合并窦性心率不齐/妊娠合并腰椎间盘突出症</t>
  </si>
  <si>
    <t>罗霄</t>
  </si>
  <si>
    <t>程鹏</t>
  </si>
  <si>
    <t>12.10</t>
  </si>
  <si>
    <t>王勇</t>
  </si>
  <si>
    <t>7.11</t>
  </si>
  <si>
    <t>云南省昆明市西山区滇池路阳光花园小区旭苑17幢1单元102室</t>
  </si>
  <si>
    <t>高龄初产/先心病术反/胎儿窘迫/脐绕颈一周/脐带绕右手一周/轻度贫血</t>
  </si>
  <si>
    <t>金雷</t>
  </si>
  <si>
    <t>11.5</t>
  </si>
  <si>
    <t>云南省昆明市呈贡区马金铺街道办事处化城村300号</t>
  </si>
  <si>
    <t>段磊</t>
  </si>
  <si>
    <t>云南省昆明市呈贡县马郎大村172号附1号</t>
  </si>
  <si>
    <t>华山西路/呈贡区惠兰园</t>
  </si>
  <si>
    <t>个体</t>
  </si>
  <si>
    <t>郭晓涛</t>
  </si>
  <si>
    <t>3.26</t>
  </si>
  <si>
    <t>云南省昆明市盘龙区人民东路伍家庄9号</t>
  </si>
  <si>
    <t>呈贡白龙潭小区善书院14-1-101号</t>
  </si>
  <si>
    <t>阮云海</t>
  </si>
  <si>
    <t>年晓莹</t>
  </si>
  <si>
    <t>533221198912244928</t>
  </si>
  <si>
    <t>云南省昆明市西山区广福路良辰水逸17幢2单元601室</t>
  </si>
  <si>
    <t>昆明市西山区广福路良辰水逸一期</t>
  </si>
  <si>
    <t>纳西</t>
  </si>
  <si>
    <t>省妇幼</t>
  </si>
  <si>
    <t>G1P1孕39+5周头位顺产一活女婴</t>
  </si>
  <si>
    <t>年沁妤</t>
  </si>
  <si>
    <t>曹梅香</t>
  </si>
  <si>
    <t>杨骐菲</t>
  </si>
  <si>
    <t>云南省昆明市五华区环城北路文昌巷1号</t>
  </si>
  <si>
    <t>工人医院</t>
  </si>
  <si>
    <t>毛毛</t>
  </si>
  <si>
    <t>新生儿感染/新生儿黄疸/短暂性心肌缺血/脓疱性皮疹</t>
  </si>
  <si>
    <t>邓毅</t>
  </si>
  <si>
    <t>汉</t>
    <phoneticPr fontId="2" type="noConversion"/>
  </si>
  <si>
    <t>自由职业</t>
    <phoneticPr fontId="2" type="noConversion"/>
  </si>
  <si>
    <t>女</t>
    <phoneticPr fontId="2" type="noConversion"/>
  </si>
  <si>
    <t>剖宫产</t>
    <phoneticPr fontId="2" type="noConversion"/>
  </si>
  <si>
    <t>母亲</t>
    <phoneticPr fontId="2" type="noConversion"/>
  </si>
  <si>
    <t>云南省昆明市西山区马街街道办事处马街子140号</t>
    <phoneticPr fontId="2" type="noConversion"/>
  </si>
  <si>
    <t>7.13</t>
    <phoneticPr fontId="2" type="noConversion"/>
  </si>
  <si>
    <t>教师</t>
    <phoneticPr fontId="2" type="noConversion"/>
  </si>
  <si>
    <t>杨芊芊</t>
    <phoneticPr fontId="2" type="noConversion"/>
  </si>
  <si>
    <t>2018.5.12</t>
    <phoneticPr fontId="2" type="noConversion"/>
  </si>
  <si>
    <t>顺产</t>
    <phoneticPr fontId="2" type="noConversion"/>
  </si>
  <si>
    <t>云南省昆明市五华区虹山南路15号虹华小区2栋3单元502室</t>
    <phoneticPr fontId="2" type="noConversion"/>
  </si>
  <si>
    <t>G1P1孕40+1周LOA已产/胎膜早破/脐绕颈一周/足月低体重儿</t>
    <phoneticPr fontId="2" type="noConversion"/>
  </si>
  <si>
    <t>7.4</t>
    <phoneticPr fontId="2" type="noConversion"/>
  </si>
  <si>
    <t>昆明市五华区华芳雅苑3幢3单元1301</t>
    <phoneticPr fontId="2" type="noConversion"/>
  </si>
  <si>
    <t>医生</t>
    <phoneticPr fontId="2" type="noConversion"/>
  </si>
  <si>
    <t>云南省昆明市五华区教场中路149号华芳雅苑小区3幢3单元1301室</t>
    <phoneticPr fontId="2" type="noConversion"/>
  </si>
  <si>
    <t>胎膜部份残留不伴出血/绒毛膜羊膜炎/早产/早产儿/头位顺产/单一活产</t>
    <phoneticPr fontId="2" type="noConversion"/>
  </si>
  <si>
    <t>2.4</t>
    <phoneticPr fontId="2" type="noConversion"/>
  </si>
  <si>
    <t>世纪城雅春苑4-2-10C</t>
    <phoneticPr fontId="2" type="noConversion"/>
  </si>
  <si>
    <t>工人</t>
    <phoneticPr fontId="2" type="noConversion"/>
  </si>
  <si>
    <t>云南省昆明市官渡区关上街道办事处日新村371号</t>
    <phoneticPr fontId="2" type="noConversion"/>
  </si>
  <si>
    <t>G1P1孕40+5周单胎头位/产钳助产/阴道GBS(+)</t>
    <phoneticPr fontId="2" type="noConversion"/>
  </si>
  <si>
    <t>3.23</t>
    <phoneticPr fontId="2" type="noConversion"/>
  </si>
  <si>
    <t>云大北院10-5-702</t>
    <phoneticPr fontId="2" type="noConversion"/>
  </si>
  <si>
    <t>赵道君</t>
    <phoneticPr fontId="2" type="noConversion"/>
  </si>
  <si>
    <t>男</t>
    <phoneticPr fontId="2" type="noConversion"/>
  </si>
  <si>
    <t>赵永升</t>
    <phoneticPr fontId="2" type="noConversion"/>
  </si>
  <si>
    <t>丈夫</t>
    <phoneticPr fontId="2" type="noConversion"/>
  </si>
  <si>
    <t>云南省昆明市五华区一二一大街141号10幢5单元702号</t>
    <phoneticPr fontId="2" type="noConversion"/>
  </si>
  <si>
    <t>8.29</t>
    <phoneticPr fontId="2" type="noConversion"/>
  </si>
  <si>
    <t>霖雨路江东安康园3幢1单元502室/万宏国际9-2305</t>
    <phoneticPr fontId="2" type="noConversion"/>
  </si>
  <si>
    <t>昆医附二院</t>
    <phoneticPr fontId="2" type="noConversion"/>
  </si>
  <si>
    <r>
      <t>9</t>
    </r>
    <r>
      <rPr>
        <sz val="11"/>
        <color theme="1"/>
        <rFont val="宋体"/>
        <family val="3"/>
        <charset val="134"/>
        <scheme val="minor"/>
      </rPr>
      <t>.13</t>
    </r>
    <phoneticPr fontId="2" type="noConversion"/>
  </si>
  <si>
    <t>拉祜</t>
    <phoneticPr fontId="2" type="noConversion"/>
  </si>
  <si>
    <t>职员</t>
    <phoneticPr fontId="2" type="noConversion"/>
  </si>
  <si>
    <r>
      <t>云南省玉溪市红塔区明珠路7</t>
    </r>
    <r>
      <rPr>
        <sz val="11"/>
        <color theme="1"/>
        <rFont val="宋体"/>
        <family val="3"/>
        <charset val="134"/>
        <scheme val="minor"/>
      </rPr>
      <t>0号3幢1单元502室</t>
    </r>
    <phoneticPr fontId="2" type="noConversion"/>
  </si>
  <si>
    <r>
      <t>G</t>
    </r>
    <r>
      <rPr>
        <sz val="11"/>
        <color theme="1"/>
        <rFont val="宋体"/>
        <family val="3"/>
        <charset val="134"/>
        <scheme val="minor"/>
      </rPr>
      <t>3P2孕40周LOA已产</t>
    </r>
    <phoneticPr fontId="2" type="noConversion"/>
  </si>
  <si>
    <t>1.30</t>
    <phoneticPr fontId="2" type="noConversion"/>
  </si>
  <si>
    <r>
      <t>呈贡大学城/呈贡雨花毓秀小区汇贤</t>
    </r>
    <r>
      <rPr>
        <sz val="11"/>
        <color theme="1"/>
        <rFont val="宋体"/>
        <family val="3"/>
        <charset val="134"/>
        <scheme val="minor"/>
      </rPr>
      <t>A幢2单元901室</t>
    </r>
    <phoneticPr fontId="2" type="noConversion"/>
  </si>
  <si>
    <t>甲状腺/阑尾切除</t>
    <phoneticPr fontId="2" type="noConversion"/>
  </si>
  <si>
    <r>
      <t>9</t>
    </r>
    <r>
      <rPr>
        <sz val="11"/>
        <color theme="1"/>
        <rFont val="宋体"/>
        <family val="3"/>
        <charset val="134"/>
        <scheme val="minor"/>
      </rPr>
      <t>.15</t>
    </r>
    <phoneticPr fontId="2" type="noConversion"/>
  </si>
  <si>
    <t>护士</t>
    <phoneticPr fontId="2" type="noConversion"/>
  </si>
  <si>
    <t>郑海峰</t>
    <phoneticPr fontId="2" type="noConversion"/>
  </si>
  <si>
    <r>
      <t>云南省昆明市西山区西园路船房小区城市花园西区1幢</t>
    </r>
    <r>
      <rPr>
        <sz val="11"/>
        <color theme="1"/>
        <rFont val="宋体"/>
        <family val="3"/>
        <charset val="134"/>
        <scheme val="minor"/>
      </rPr>
      <t>2单元702号</t>
    </r>
    <phoneticPr fontId="2" type="noConversion"/>
  </si>
  <si>
    <t>G1P1孕37周LOA已产/三尖瓣关闭不全/脐绕颈一周/轻度贫血</t>
    <phoneticPr fontId="2" type="noConversion"/>
  </si>
  <si>
    <r>
      <t>7</t>
    </r>
    <r>
      <rPr>
        <sz val="11"/>
        <color theme="1"/>
        <rFont val="宋体"/>
        <family val="3"/>
        <charset val="134"/>
        <scheme val="minor"/>
      </rPr>
      <t>.29</t>
    </r>
    <phoneticPr fontId="2" type="noConversion"/>
  </si>
  <si>
    <r>
      <t>医大广场2</t>
    </r>
    <r>
      <rPr>
        <sz val="11"/>
        <color theme="1"/>
        <rFont val="宋体"/>
        <family val="3"/>
        <charset val="134"/>
        <scheme val="minor"/>
      </rPr>
      <t>4-3001</t>
    </r>
    <phoneticPr fontId="2" type="noConversion"/>
  </si>
  <si>
    <t>国企造价师</t>
    <phoneticPr fontId="2" type="noConversion"/>
  </si>
  <si>
    <t>杨绍宠</t>
    <phoneticPr fontId="2" type="noConversion"/>
  </si>
  <si>
    <t>赞赞</t>
    <phoneticPr fontId="2" type="noConversion"/>
  </si>
  <si>
    <r>
      <t>云南省昆明市盘龙区金实路金实小区春实园6</t>
    </r>
    <r>
      <rPr>
        <sz val="11"/>
        <color theme="1"/>
        <rFont val="宋体"/>
        <family val="3"/>
        <charset val="134"/>
        <scheme val="minor"/>
      </rPr>
      <t>45栋2单元601号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</si>
  <si>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.25</t>
    </r>
    <phoneticPr fontId="2" type="noConversion"/>
  </si>
  <si>
    <r>
      <t>6</t>
    </r>
    <r>
      <rPr>
        <sz val="11"/>
        <color theme="1"/>
        <rFont val="宋体"/>
        <family val="3"/>
        <charset val="134"/>
        <scheme val="minor"/>
      </rPr>
      <t>10401198101254542</t>
    </r>
    <phoneticPr fontId="2" type="noConversion"/>
  </si>
  <si>
    <t>春城慧谷小区</t>
    <phoneticPr fontId="2" type="noConversion"/>
  </si>
  <si>
    <r>
      <t>陕西省咸阳市渭城区底张镇阎家寨村1</t>
    </r>
    <r>
      <rPr>
        <sz val="11"/>
        <color theme="1"/>
        <rFont val="宋体"/>
        <family val="3"/>
        <charset val="134"/>
        <scheme val="minor"/>
      </rPr>
      <t>65号</t>
    </r>
    <phoneticPr fontId="2" type="noConversion"/>
  </si>
  <si>
    <r>
      <t>G</t>
    </r>
    <r>
      <rPr>
        <sz val="11"/>
        <color theme="1"/>
        <rFont val="宋体"/>
        <family val="3"/>
        <charset val="134"/>
        <scheme val="minor"/>
      </rPr>
      <t>3P1孕40+5周/试管婴儿/高龄初产/妊娠合并子宫肌瘤/急性宫内窘迫（羊水型）急症剖宫产术的单胎分娩</t>
    </r>
    <phoneticPr fontId="2" type="noConversion"/>
  </si>
  <si>
    <t>谭春燕</t>
    <phoneticPr fontId="2" type="noConversion"/>
  </si>
  <si>
    <r>
      <t>3</t>
    </r>
    <r>
      <rPr>
        <sz val="11"/>
        <color theme="1"/>
        <rFont val="宋体"/>
        <family val="3"/>
        <charset val="134"/>
        <scheme val="minor"/>
      </rPr>
      <t>.24</t>
    </r>
    <phoneticPr fontId="2" type="noConversion"/>
  </si>
  <si>
    <r>
      <t>5</t>
    </r>
    <r>
      <rPr>
        <sz val="11"/>
        <color theme="1"/>
        <rFont val="宋体"/>
        <family val="3"/>
        <charset val="134"/>
        <scheme val="minor"/>
      </rPr>
      <t>20202198203244462</t>
    </r>
    <phoneticPr fontId="2" type="noConversion"/>
  </si>
  <si>
    <t>解大波</t>
    <phoneticPr fontId="2" type="noConversion"/>
  </si>
  <si>
    <t xml:space="preserve">干部 </t>
    <phoneticPr fontId="2" type="noConversion"/>
  </si>
  <si>
    <t>一胎</t>
    <phoneticPr fontId="2" type="noConversion"/>
  </si>
  <si>
    <t>贵州省盘县红果镇十二组人保大厦1008号</t>
    <phoneticPr fontId="2" type="noConversion"/>
  </si>
  <si>
    <r>
      <t>9</t>
    </r>
    <r>
      <rPr>
        <sz val="11"/>
        <color theme="1"/>
        <rFont val="宋体"/>
        <family val="3"/>
        <charset val="134"/>
        <scheme val="minor"/>
      </rPr>
      <t>.10</t>
    </r>
    <phoneticPr fontId="2" type="noConversion"/>
  </si>
  <si>
    <r>
      <t>呈贡区富康路2号百合园</t>
    </r>
    <r>
      <rPr>
        <sz val="11"/>
        <color theme="1"/>
        <rFont val="宋体"/>
        <family val="3"/>
        <charset val="134"/>
        <scheme val="minor"/>
      </rPr>
      <t>55幢</t>
    </r>
    <phoneticPr fontId="2" type="noConversion"/>
  </si>
  <si>
    <r>
      <t>云南省昆明市呈贡县富康路2号</t>
    </r>
    <r>
      <rPr>
        <sz val="11"/>
        <color theme="1"/>
        <rFont val="宋体"/>
        <family val="3"/>
        <charset val="134"/>
        <scheme val="minor"/>
      </rPr>
      <t>3栋2单元9室</t>
    </r>
    <phoneticPr fontId="2" type="noConversion"/>
  </si>
  <si>
    <t>39+5</t>
    <phoneticPr fontId="2" type="noConversion"/>
  </si>
  <si>
    <t>温钦舒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</si>
  <si>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2.27</t>
    </r>
    <phoneticPr fontId="2" type="noConversion"/>
  </si>
  <si>
    <r>
      <t>5</t>
    </r>
    <r>
      <rPr>
        <sz val="11"/>
        <color theme="1"/>
        <rFont val="宋体"/>
        <family val="3"/>
        <charset val="134"/>
        <scheme val="minor"/>
      </rPr>
      <t>30328197812271825</t>
    </r>
    <phoneticPr fontId="2" type="noConversion"/>
  </si>
  <si>
    <r>
      <t>昆明市五华区教场西路3</t>
    </r>
    <r>
      <rPr>
        <sz val="11"/>
        <color theme="1"/>
        <rFont val="宋体"/>
        <family val="3"/>
        <charset val="134"/>
        <scheme val="minor"/>
      </rPr>
      <t>9号住宿小区2-2-102</t>
    </r>
    <phoneticPr fontId="2" type="noConversion"/>
  </si>
  <si>
    <t>市妇幼</t>
    <phoneticPr fontId="2" type="noConversion"/>
  </si>
  <si>
    <t>二胎</t>
    <phoneticPr fontId="2" type="noConversion"/>
  </si>
  <si>
    <r>
      <t>云南省昆明市东川古铜路3</t>
    </r>
    <r>
      <rPr>
        <sz val="11"/>
        <color theme="1"/>
        <rFont val="宋体"/>
        <family val="3"/>
        <charset val="134"/>
        <scheme val="minor"/>
      </rPr>
      <t>1号</t>
    </r>
    <phoneticPr fontId="2" type="noConversion"/>
  </si>
  <si>
    <r>
      <t>G</t>
    </r>
    <r>
      <rPr>
        <sz val="11"/>
        <color theme="1"/>
        <rFont val="宋体"/>
        <family val="3"/>
        <charset val="134"/>
        <scheme val="minor"/>
      </rPr>
      <t>2P2孕39同LOA已产/</t>
    </r>
    <r>
      <rPr>
        <sz val="11"/>
        <color theme="1"/>
        <rFont val="宋体"/>
        <charset val="134"/>
        <scheme val="minor"/>
      </rPr>
      <t>疤痕子宫/妊娠期糖尿病/妊娠期高血压/肥胖症</t>
    </r>
    <phoneticPr fontId="2" type="noConversion"/>
  </si>
  <si>
    <r>
      <t>6</t>
    </r>
    <r>
      <rPr>
        <sz val="11"/>
        <color theme="1"/>
        <rFont val="宋体"/>
        <family val="3"/>
        <charset val="134"/>
        <scheme val="minor"/>
      </rPr>
      <t>.26</t>
    </r>
    <phoneticPr fontId="2" type="noConversion"/>
  </si>
  <si>
    <t>米娜</t>
    <phoneticPr fontId="2" type="noConversion"/>
  </si>
  <si>
    <t>滇池路阳光花园三区昱苑2-3-501</t>
    <phoneticPr fontId="2" type="noConversion"/>
  </si>
  <si>
    <r>
      <t>9</t>
    </r>
    <r>
      <rPr>
        <sz val="11"/>
        <color theme="1"/>
        <rFont val="宋体"/>
        <family val="3"/>
        <charset val="134"/>
        <scheme val="minor"/>
      </rPr>
      <t>.7</t>
    </r>
    <phoneticPr fontId="2" type="noConversion"/>
  </si>
  <si>
    <t>昆明市盘龙区沣源路1号清水佳湖雅居</t>
    <phoneticPr fontId="2" type="noConversion"/>
  </si>
  <si>
    <t>曾丽</t>
    <phoneticPr fontId="2" type="noConversion"/>
  </si>
  <si>
    <t>西安市临潼区临潼北关社区一小巷1号</t>
    <phoneticPr fontId="2" type="noConversion"/>
  </si>
  <si>
    <r>
      <t>胎膜早破/妊娠期糖尿病</t>
    </r>
    <r>
      <rPr>
        <sz val="11"/>
        <color theme="1"/>
        <rFont val="宋体"/>
        <family val="3"/>
        <charset val="134"/>
        <scheme val="minor"/>
      </rPr>
      <t>/羊水过少/坚决要求剖宫产/1-0-0-1孕已产V-LOT单胎活产</t>
    </r>
    <phoneticPr fontId="2" type="noConversion"/>
  </si>
  <si>
    <r>
      <t>云南省昆明市西山区永昌小区永顺里7</t>
    </r>
    <r>
      <rPr>
        <sz val="11"/>
        <color theme="1"/>
        <rFont val="宋体"/>
        <family val="3"/>
        <charset val="134"/>
        <scheme val="minor"/>
      </rPr>
      <t>8号1幢1单元301室</t>
    </r>
    <phoneticPr fontId="2" type="noConversion"/>
  </si>
  <si>
    <r>
      <t>头位顺产/</t>
    </r>
    <r>
      <rPr>
        <sz val="11"/>
        <color theme="1"/>
        <rFont val="宋体"/>
        <family val="3"/>
        <charset val="134"/>
        <scheme val="minor"/>
      </rPr>
      <t>G1P1孕39+4周/单胎活产</t>
    </r>
    <phoneticPr fontId="2" type="noConversion"/>
  </si>
  <si>
    <t>文员</t>
    <phoneticPr fontId="2" type="noConversion"/>
  </si>
  <si>
    <t>3.19</t>
    <phoneticPr fontId="2" type="noConversion"/>
  </si>
  <si>
    <t>8.3</t>
    <phoneticPr fontId="2" type="noConversion"/>
  </si>
  <si>
    <t>白</t>
    <phoneticPr fontId="2" type="noConversion"/>
  </si>
  <si>
    <t>罗蕴实</t>
    <phoneticPr fontId="2" type="noConversion"/>
  </si>
  <si>
    <t>女</t>
    <phoneticPr fontId="2" type="noConversion"/>
  </si>
  <si>
    <t>顺产</t>
    <phoneticPr fontId="2" type="noConversion"/>
  </si>
  <si>
    <t>云南省昆明市西山区环城南路404号附48幢2单元403号</t>
    <phoneticPr fontId="2" type="noConversion"/>
  </si>
  <si>
    <t>足月胎膜早破/头位顺产/G1P1孕37+4周头位/单胎活产</t>
    <phoneticPr fontId="2" type="noConversion"/>
  </si>
  <si>
    <t>12.22</t>
    <phoneticPr fontId="2" type="noConversion"/>
  </si>
  <si>
    <t>8.27</t>
    <phoneticPr fontId="2" type="noConversion"/>
  </si>
  <si>
    <t>陈显平</t>
    <phoneticPr fontId="2" type="noConversion"/>
  </si>
  <si>
    <t>丈夫</t>
    <phoneticPr fontId="2" type="noConversion"/>
  </si>
  <si>
    <t>男</t>
    <phoneticPr fontId="2" type="noConversion"/>
  </si>
  <si>
    <t>海宏路54号华夏御府御璟</t>
    <phoneticPr fontId="2" type="noConversion"/>
  </si>
  <si>
    <t>云南省昆明市西山区环城西路559号4幢8单元501号</t>
    <phoneticPr fontId="2" type="noConversion"/>
  </si>
  <si>
    <t>肝功能异常/头位顺产/G3P1孕38+3周头位/单胎活产</t>
    <phoneticPr fontId="2" type="noConversion"/>
  </si>
  <si>
    <t>38+3</t>
    <phoneticPr fontId="2" type="noConversion"/>
  </si>
  <si>
    <t>云南省昆明市五华区新闻路226号附1号3栋1单元201号</t>
    <phoneticPr fontId="2" type="noConversion"/>
  </si>
  <si>
    <t>33+2</t>
    <phoneticPr fontId="2" type="noConversion"/>
  </si>
  <si>
    <t>试管婴儿/妊娠期高血压/早产伴分娩/足月胎膜早破/高龄初产/妊娠期糖尿病/妊娠合并甲状腺功能亢进/IVF-ET/G2P1孕33+2周/双胎头横位/双卵双胎活产</t>
    <phoneticPr fontId="2" type="noConversion"/>
  </si>
  <si>
    <t>极低体重儿</t>
    <phoneticPr fontId="2" type="noConversion"/>
  </si>
  <si>
    <t>入住介绍人</t>
    <phoneticPr fontId="2" type="noConversion"/>
  </si>
  <si>
    <t>介绍人关系</t>
    <phoneticPr fontId="2" type="noConversion"/>
  </si>
  <si>
    <t>购物偏好</t>
    <phoneticPr fontId="2" type="noConversion"/>
  </si>
  <si>
    <t>饮食偏好</t>
    <phoneticPr fontId="2" type="noConversion"/>
  </si>
  <si>
    <t>旅游偏好</t>
    <phoneticPr fontId="2" type="noConversion"/>
  </si>
  <si>
    <t>运动偏好</t>
    <phoneticPr fontId="2" type="noConversion"/>
  </si>
  <si>
    <t>音乐偏好</t>
    <phoneticPr fontId="2" type="noConversion"/>
  </si>
  <si>
    <t>婴幼用品偏好</t>
    <phoneticPr fontId="2" type="noConversion"/>
  </si>
  <si>
    <t>G1P1孕40+6周剖宫产</t>
    <phoneticPr fontId="2" type="noConversion"/>
  </si>
  <si>
    <t>睡眠评估/异常/每天2-3小时/无药物辅助/便秘/3天1次/副乳硬结/乳头短平</t>
    <phoneticPr fontId="2" type="noConversion"/>
  </si>
  <si>
    <t>G2P2孕39同LOA已产/疤痕子宫/妊娠期糖尿病/妊娠期高血压/肥胖症/难产</t>
    <phoneticPr fontId="2" type="noConversion"/>
  </si>
  <si>
    <t>既往剖宫产</t>
    <phoneticPr fontId="2" type="noConversion"/>
  </si>
  <si>
    <t>其他情况</t>
    <phoneticPr fontId="2" type="noConversion"/>
  </si>
  <si>
    <t>月子房857转825</t>
    <phoneticPr fontId="2" type="noConversion"/>
  </si>
  <si>
    <t>妊娠合并子宫瘢痕/多发肌瘤/孕3产2/头位剖宫产/结扎输卵管绝育/轻度贫血</t>
    <phoneticPr fontId="2" type="noConversion"/>
  </si>
  <si>
    <t>睡眠评估/异常/每天1-2小时/无药物辅助/便秘/5天1次/双下肢轻微水肿</t>
    <phoneticPr fontId="2" type="noConversion"/>
  </si>
  <si>
    <t>生活上给予协助</t>
    <phoneticPr fontId="2" type="noConversion"/>
  </si>
  <si>
    <t>胸部散在皮疹/哭声嘶哑</t>
    <phoneticPr fontId="2" type="noConversion"/>
  </si>
  <si>
    <t>会阴侧切/便秘/乳头凹陷</t>
    <phoneticPr fontId="2" type="noConversion"/>
  </si>
  <si>
    <t>高龄初产/试管婴儿/脐血流S/D值偏高/产后子宫较大</t>
    <phoneticPr fontId="2" type="noConversion"/>
  </si>
  <si>
    <t>晋宁县人民医院</t>
    <phoneticPr fontId="2" type="noConversion"/>
  </si>
  <si>
    <t>是</t>
    <phoneticPr fontId="2" type="noConversion"/>
  </si>
  <si>
    <t>无</t>
    <phoneticPr fontId="2" type="noConversion"/>
  </si>
  <si>
    <t>研究生</t>
    <phoneticPr fontId="2" type="noConversion"/>
  </si>
  <si>
    <t>G4P2L2孕40+5周单胎头位/会阴I度撕裂以LOA位平产一活女婴</t>
    <phoneticPr fontId="2" type="noConversion"/>
  </si>
  <si>
    <t>顺产</t>
    <phoneticPr fontId="2" type="noConversion"/>
  </si>
  <si>
    <t>A</t>
    <phoneticPr fontId="2" type="noConversion"/>
  </si>
  <si>
    <t>母乳</t>
    <phoneticPr fontId="2" type="noConversion"/>
  </si>
  <si>
    <t>双下肢踝关节以下水肿</t>
    <phoneticPr fontId="2" type="noConversion"/>
  </si>
  <si>
    <t>大宝性别</t>
    <phoneticPr fontId="2" type="noConversion"/>
  </si>
  <si>
    <t>大宝出生年份</t>
    <phoneticPr fontId="2" type="noConversion"/>
  </si>
  <si>
    <t>大宝生日</t>
    <phoneticPr fontId="2" type="noConversion"/>
  </si>
  <si>
    <r>
      <t>3</t>
    </r>
    <r>
      <rPr>
        <sz val="11"/>
        <color theme="1"/>
        <rFont val="宋体"/>
        <family val="3"/>
        <charset val="134"/>
        <scheme val="minor"/>
      </rPr>
      <t>8+4</t>
    </r>
    <phoneticPr fontId="2" type="noConversion"/>
  </si>
  <si>
    <t>头部散在皮疹</t>
    <phoneticPr fontId="2" type="noConversion"/>
  </si>
  <si>
    <t>混合喂养</t>
    <phoneticPr fontId="2" type="noConversion"/>
  </si>
  <si>
    <t>产妇入室体重</t>
    <phoneticPr fontId="2" type="noConversion"/>
  </si>
  <si>
    <t>产妇离室体重</t>
    <phoneticPr fontId="2" type="noConversion"/>
  </si>
  <si>
    <t>工人</t>
    <phoneticPr fontId="2" type="noConversion"/>
  </si>
  <si>
    <t>大专</t>
    <phoneticPr fontId="2" type="noConversion"/>
  </si>
  <si>
    <r>
      <t>G</t>
    </r>
    <r>
      <rPr>
        <sz val="11"/>
        <color theme="1"/>
        <rFont val="宋体"/>
        <family val="3"/>
        <charset val="134"/>
        <scheme val="minor"/>
      </rPr>
      <t>2P1孕40+2周顺产</t>
    </r>
    <phoneticPr fontId="2" type="noConversion"/>
  </si>
  <si>
    <t>O</t>
    <phoneticPr fontId="2" type="noConversion"/>
  </si>
  <si>
    <t>自诉咳嗽偶有小便溢出</t>
    <phoneticPr fontId="2" type="noConversion"/>
  </si>
  <si>
    <r>
      <t>4</t>
    </r>
    <r>
      <rPr>
        <sz val="11"/>
        <color theme="1"/>
        <rFont val="宋体"/>
        <family val="3"/>
        <charset val="134"/>
        <scheme val="minor"/>
      </rPr>
      <t>0+2</t>
    </r>
    <phoneticPr fontId="2" type="noConversion"/>
  </si>
  <si>
    <t>女</t>
    <phoneticPr fontId="2" type="noConversion"/>
  </si>
  <si>
    <r>
      <t>眼分泌物淡黄/新生儿鼻阻</t>
    </r>
    <r>
      <rPr>
        <sz val="11"/>
        <color theme="1"/>
        <rFont val="宋体"/>
        <family val="3"/>
        <charset val="134"/>
        <scheme val="minor"/>
      </rPr>
      <t>/流鼻涕打喷嚏/前额皮肤约2*2稍红</t>
    </r>
    <phoneticPr fontId="2" type="noConversion"/>
  </si>
  <si>
    <t>是</t>
    <phoneticPr fontId="2" type="noConversion"/>
  </si>
  <si>
    <t>无</t>
    <phoneticPr fontId="2" type="noConversion"/>
  </si>
  <si>
    <t>大专</t>
    <phoneticPr fontId="2" type="noConversion"/>
  </si>
  <si>
    <t>G2P2孕38周顺产</t>
    <phoneticPr fontId="2" type="noConversion"/>
  </si>
  <si>
    <t>O</t>
    <phoneticPr fontId="2" type="noConversion"/>
  </si>
  <si>
    <t>会阴撕裂</t>
    <phoneticPr fontId="2" type="noConversion"/>
  </si>
  <si>
    <t>胆结石</t>
    <phoneticPr fontId="2" type="noConversion"/>
  </si>
  <si>
    <t>高血压</t>
    <phoneticPr fontId="2" type="noConversion"/>
  </si>
  <si>
    <t>配方奶</t>
    <phoneticPr fontId="2" type="noConversion"/>
  </si>
  <si>
    <t>头皮/前胸/后背散在皮疹</t>
    <phoneticPr fontId="2" type="noConversion"/>
  </si>
  <si>
    <t>母乳</t>
    <phoneticPr fontId="2" type="noConversion"/>
  </si>
  <si>
    <t>硕士</t>
    <phoneticPr fontId="2" type="noConversion"/>
  </si>
  <si>
    <t>A</t>
    <phoneticPr fontId="2" type="noConversion"/>
  </si>
  <si>
    <t>无</t>
    <phoneticPr fontId="2" type="noConversion"/>
  </si>
  <si>
    <t>罗桃芳</t>
    <phoneticPr fontId="2" type="noConversion"/>
  </si>
  <si>
    <t>大学本科</t>
    <phoneticPr fontId="2" type="noConversion"/>
  </si>
  <si>
    <t>是</t>
    <phoneticPr fontId="2" type="noConversion"/>
  </si>
  <si>
    <t>G3P1孕39周顺产</t>
    <phoneticPr fontId="2" type="noConversion"/>
  </si>
  <si>
    <t>左眼红血丝/左耳稍平/白带/颈下背部手腕散在皮疹</t>
    <phoneticPr fontId="2" type="noConversion"/>
  </si>
  <si>
    <t>混合喂养</t>
    <phoneticPr fontId="2" type="noConversion"/>
  </si>
  <si>
    <t>乳头皲裂</t>
    <phoneticPr fontId="2" type="noConversion"/>
  </si>
  <si>
    <t>38+6</t>
    <phoneticPr fontId="2" type="noConversion"/>
  </si>
  <si>
    <t>左会阴区黑痣0.2*0.2/双腋下皮疹</t>
    <phoneticPr fontId="2" type="noConversion"/>
  </si>
  <si>
    <t>郑晓云</t>
    <phoneticPr fontId="2" type="noConversion"/>
  </si>
  <si>
    <t>汉</t>
    <phoneticPr fontId="2" type="noConversion"/>
  </si>
  <si>
    <t>职工</t>
    <phoneticPr fontId="2" type="noConversion"/>
  </si>
  <si>
    <t>出血400ml</t>
    <phoneticPr fontId="2" type="noConversion"/>
  </si>
  <si>
    <t>头孢类</t>
    <phoneticPr fontId="2" type="noConversion"/>
  </si>
  <si>
    <t>男</t>
    <phoneticPr fontId="2" type="noConversion"/>
  </si>
  <si>
    <t>G4P2孕39周剖宫产/疤痕子宫/妊娠期糖尿病</t>
    <phoneticPr fontId="2" type="noConversion"/>
  </si>
  <si>
    <t>口腔马牙</t>
    <phoneticPr fontId="2" type="noConversion"/>
  </si>
  <si>
    <t>G2P2孕39周/顺产</t>
    <phoneticPr fontId="2" type="noConversion"/>
  </si>
  <si>
    <r>
      <t>会阴裂伤</t>
    </r>
    <r>
      <rPr>
        <sz val="11"/>
        <color theme="1"/>
        <rFont val="宋体"/>
        <family val="3"/>
        <charset val="134"/>
      </rPr>
      <t>Ⅱ度</t>
    </r>
    <phoneticPr fontId="2" type="noConversion"/>
  </si>
  <si>
    <t>颈部胎脂/面部散在皮疹</t>
    <phoneticPr fontId="2" type="noConversion"/>
  </si>
  <si>
    <t>初中</t>
    <phoneticPr fontId="2" type="noConversion"/>
  </si>
  <si>
    <r>
      <t>G</t>
    </r>
    <r>
      <rPr>
        <sz val="11"/>
        <color theme="1"/>
        <rFont val="宋体"/>
        <family val="3"/>
        <charset val="134"/>
        <scheme val="minor"/>
      </rPr>
      <t>4P2孕37+2周剖宫产/二次疤痕子宫</t>
    </r>
    <phoneticPr fontId="2" type="noConversion"/>
  </si>
  <si>
    <t>B</t>
    <phoneticPr fontId="2" type="noConversion"/>
  </si>
  <si>
    <t>假性月经</t>
    <phoneticPr fontId="2" type="noConversion"/>
  </si>
  <si>
    <t>全身散在皮疹/右足踝及后背有紫色胎记</t>
    <phoneticPr fontId="2" type="noConversion"/>
  </si>
  <si>
    <t>母乳</t>
    <phoneticPr fontId="2" type="noConversion"/>
  </si>
  <si>
    <t>是</t>
    <phoneticPr fontId="2" type="noConversion"/>
  </si>
  <si>
    <t>无</t>
    <phoneticPr fontId="2" type="noConversion"/>
  </si>
  <si>
    <t>大学本科</t>
    <phoneticPr fontId="2" type="noConversion"/>
  </si>
  <si>
    <t>B</t>
    <phoneticPr fontId="2" type="noConversion"/>
  </si>
  <si>
    <t>出血500ml</t>
    <phoneticPr fontId="2" type="noConversion"/>
  </si>
  <si>
    <t>子宫收缩不佳/双乳头皲裂</t>
    <phoneticPr fontId="2" type="noConversion"/>
  </si>
  <si>
    <t>不吃精米精面</t>
    <phoneticPr fontId="2" type="noConversion"/>
  </si>
  <si>
    <t>医药公司</t>
    <phoneticPr fontId="2" type="noConversion"/>
  </si>
  <si>
    <t>大专</t>
    <phoneticPr fontId="2" type="noConversion"/>
  </si>
  <si>
    <t>40+5</t>
    <phoneticPr fontId="2" type="noConversion"/>
  </si>
  <si>
    <t>男</t>
    <phoneticPr fontId="2" type="noConversion"/>
  </si>
  <si>
    <t>红会医院</t>
    <phoneticPr fontId="2" type="noConversion"/>
  </si>
  <si>
    <t>大宝姓名</t>
    <phoneticPr fontId="2" type="noConversion"/>
  </si>
  <si>
    <t>——</t>
    <phoneticPr fontId="2" type="noConversion"/>
  </si>
  <si>
    <t>右眼黄色/羊水吸入史</t>
    <phoneticPr fontId="2" type="noConversion"/>
  </si>
  <si>
    <t>阅读偏好</t>
    <phoneticPr fontId="2" type="noConversion"/>
  </si>
  <si>
    <t>产妇身高</t>
    <phoneticPr fontId="2" type="noConversion"/>
  </si>
  <si>
    <t>离室影像资料</t>
    <phoneticPr fontId="2" type="noConversion"/>
  </si>
  <si>
    <t>入住房号</t>
    <phoneticPr fontId="2" type="noConversion"/>
  </si>
  <si>
    <t>入住协议编号</t>
    <phoneticPr fontId="2" type="noConversion"/>
  </si>
  <si>
    <t>协议入住天数</t>
    <phoneticPr fontId="2" type="noConversion"/>
  </si>
  <si>
    <t>实际入住天数</t>
    <phoneticPr fontId="2" type="noConversion"/>
  </si>
  <si>
    <t>电子邮箱</t>
    <phoneticPr fontId="2" type="noConversion"/>
  </si>
  <si>
    <r>
      <t>微信号/</t>
    </r>
    <r>
      <rPr>
        <sz val="11"/>
        <color theme="1"/>
        <rFont val="宋体"/>
        <family val="3"/>
        <charset val="134"/>
        <scheme val="minor"/>
      </rPr>
      <t>QQ号</t>
    </r>
    <phoneticPr fontId="2" type="noConversion"/>
  </si>
  <si>
    <t>职业/岗位</t>
    <phoneticPr fontId="2" type="noConversion"/>
  </si>
  <si>
    <t>产妇入室异常</t>
    <phoneticPr fontId="2" type="noConversion"/>
  </si>
  <si>
    <t>购买增值服务</t>
    <phoneticPr fontId="2" type="noConversion"/>
  </si>
  <si>
    <t>大宝小名</t>
    <phoneticPr fontId="2" type="noConversion"/>
  </si>
  <si>
    <t>大宝特点</t>
    <phoneticPr fontId="2" type="noConversion"/>
  </si>
  <si>
    <t>家属1姓名1</t>
    <phoneticPr fontId="2" type="noConversion"/>
  </si>
  <si>
    <t>家属1关系</t>
    <phoneticPr fontId="2" type="noConversion"/>
  </si>
  <si>
    <t>住址</t>
    <phoneticPr fontId="2" type="noConversion"/>
  </si>
  <si>
    <t>家属1特点</t>
    <phoneticPr fontId="2" type="noConversion"/>
  </si>
  <si>
    <t>家属2姓名</t>
    <phoneticPr fontId="2" type="noConversion"/>
  </si>
  <si>
    <t>家属2关系</t>
    <phoneticPr fontId="2" type="noConversion"/>
  </si>
  <si>
    <t>家属3姓名3</t>
    <phoneticPr fontId="2" type="noConversion"/>
  </si>
  <si>
    <t>家属3关系</t>
    <phoneticPr fontId="2" type="noConversion"/>
  </si>
  <si>
    <t>产妇信息</t>
    <phoneticPr fontId="10" type="noConversion"/>
  </si>
  <si>
    <t>入住房号</t>
    <phoneticPr fontId="10" type="noConversion"/>
  </si>
  <si>
    <t>入住协议编号</t>
    <phoneticPr fontId="10" type="noConversion"/>
  </si>
  <si>
    <t>房型</t>
    <phoneticPr fontId="10" type="noConversion"/>
  </si>
  <si>
    <t>协议入住天数</t>
    <phoneticPr fontId="10" type="noConversion"/>
  </si>
  <si>
    <t>实际入住天数</t>
    <phoneticPr fontId="10" type="noConversion"/>
  </si>
  <si>
    <t>电子邮箱</t>
    <phoneticPr fontId="11" type="noConversion"/>
  </si>
  <si>
    <t>微信号/QQ号</t>
    <phoneticPr fontId="11" type="noConversion"/>
  </si>
  <si>
    <t>住址</t>
    <phoneticPr fontId="11" type="noConversion"/>
  </si>
  <si>
    <t>职业/岗位</t>
    <phoneticPr fontId="10" type="noConversion"/>
  </si>
  <si>
    <t>婴幼用品偏好</t>
    <phoneticPr fontId="10" type="noConversion"/>
  </si>
  <si>
    <t>购物偏好</t>
    <phoneticPr fontId="10" type="noConversion"/>
  </si>
  <si>
    <t>饮食偏好</t>
    <phoneticPr fontId="10" type="noConversion"/>
  </si>
  <si>
    <t>旅游偏好</t>
    <phoneticPr fontId="10" type="noConversion"/>
  </si>
  <si>
    <t>音乐偏好</t>
    <phoneticPr fontId="10" type="noConversion"/>
  </si>
  <si>
    <t>运动偏好</t>
    <phoneticPr fontId="10" type="noConversion"/>
  </si>
  <si>
    <t>阅读偏好</t>
    <phoneticPr fontId="10" type="noConversion"/>
  </si>
  <si>
    <t>产妇身高</t>
    <phoneticPr fontId="10" type="noConversion"/>
  </si>
  <si>
    <t>产妇入室体重</t>
    <phoneticPr fontId="10" type="noConversion"/>
  </si>
  <si>
    <t>产妇离室体重</t>
    <phoneticPr fontId="10" type="noConversion"/>
  </si>
  <si>
    <t>产妇入室异常</t>
    <phoneticPr fontId="10" type="noConversion"/>
  </si>
  <si>
    <t>购买增值服务</t>
    <phoneticPr fontId="10" type="noConversion"/>
  </si>
  <si>
    <t>其他情况</t>
    <phoneticPr fontId="10" type="noConversion"/>
  </si>
  <si>
    <t>宝宝信息</t>
    <phoneticPr fontId="10" type="noConversion"/>
  </si>
  <si>
    <t>家属信息</t>
    <phoneticPr fontId="10" type="noConversion"/>
  </si>
  <si>
    <t>大宝姓名</t>
    <phoneticPr fontId="10" type="noConversion"/>
  </si>
  <si>
    <t>大宝小名</t>
    <phoneticPr fontId="10" type="noConversion"/>
  </si>
  <si>
    <t>大宝性别</t>
    <phoneticPr fontId="10" type="noConversion"/>
  </si>
  <si>
    <t>大宝出生年份</t>
    <phoneticPr fontId="10" type="noConversion"/>
  </si>
  <si>
    <t>大宝生日</t>
    <phoneticPr fontId="10" type="noConversion"/>
  </si>
  <si>
    <t>大宝特点</t>
    <phoneticPr fontId="10" type="noConversion"/>
  </si>
  <si>
    <t>家属1姓名</t>
    <phoneticPr fontId="11" type="noConversion"/>
  </si>
  <si>
    <t>家属1关系</t>
    <phoneticPr fontId="11" type="noConversion"/>
  </si>
  <si>
    <t>住址</t>
    <phoneticPr fontId="10" type="noConversion"/>
  </si>
  <si>
    <t>家属1特点</t>
    <phoneticPr fontId="10" type="noConversion"/>
  </si>
  <si>
    <t>家属2姓名</t>
    <phoneticPr fontId="11" type="noConversion"/>
  </si>
  <si>
    <t>家属2关系</t>
    <phoneticPr fontId="11" type="noConversion"/>
  </si>
  <si>
    <t>家属3姓名</t>
    <phoneticPr fontId="11" type="noConversion"/>
  </si>
  <si>
    <t>家属3关系</t>
    <phoneticPr fontId="11" type="noConversion"/>
  </si>
  <si>
    <t>其他信息</t>
    <phoneticPr fontId="10" type="noConversion"/>
  </si>
  <si>
    <t>影像资料</t>
    <phoneticPr fontId="10" type="noConversion"/>
  </si>
  <si>
    <t>入住介绍人</t>
    <phoneticPr fontId="10" type="noConversion"/>
  </si>
  <si>
    <t>介绍人关系</t>
    <phoneticPr fontId="10" type="noConversion"/>
  </si>
  <si>
    <t>介绍人联系方式</t>
    <phoneticPr fontId="10" type="noConversion"/>
  </si>
  <si>
    <t>介绍人联系方式</t>
    <phoneticPr fontId="2" type="noConversion"/>
  </si>
  <si>
    <t>谭澍</t>
    <phoneticPr fontId="2" type="noConversion"/>
  </si>
  <si>
    <t>郭君</t>
    <phoneticPr fontId="2" type="noConversion"/>
  </si>
  <si>
    <t>王慧勤</t>
    <phoneticPr fontId="2" type="noConversion"/>
  </si>
  <si>
    <t>叶小娇</t>
    <phoneticPr fontId="2" type="noConversion"/>
  </si>
  <si>
    <t>朱丽羽</t>
    <phoneticPr fontId="2" type="noConversion"/>
  </si>
  <si>
    <t>昂静菲</t>
    <phoneticPr fontId="2" type="noConversion"/>
  </si>
  <si>
    <t>陈焕美</t>
    <phoneticPr fontId="2" type="noConversion"/>
  </si>
  <si>
    <t>杨芸</t>
    <phoneticPr fontId="2" type="noConversion"/>
  </si>
  <si>
    <t>胡永俊</t>
    <phoneticPr fontId="2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</si>
</sst>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0" fontId="0" fillId="0" borderId="1" xfId="0" applyNumberForma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49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3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0" fillId="3" borderId="4" xfId="0" applyNumberFormat="1" applyFill="1" applyBorder="1" applyAlignment="1">
      <alignment vertical="center"/>
    </xf>
    <xf numFmtId="49" fontId="0" fillId="3" borderId="3" xfId="0" applyNumberFormat="1" applyFill="1" applyBorder="1" applyAlignment="1">
      <alignment vertical="center"/>
    </xf>
    <xf numFmtId="14" fontId="0" fillId="4" borderId="3" xfId="0" applyNumberFormat="1" applyFill="1" applyBorder="1" applyAlignment="1">
      <alignment horizontal="left"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4" fillId="0" borderId="1" xfId="1" applyFill="1" applyBorder="1" applyAlignment="1" applyProtection="1">
      <alignment horizontal="left" vertical="center"/>
    </xf>
    <xf numFmtId="0" fontId="15" fillId="0" borderId="1" xfId="1" applyFont="1" applyFill="1" applyBorder="1" applyAlignment="1" applyProtection="1">
      <alignment horizontal="left" vertical="center"/>
    </xf>
    <xf numFmtId="0" fontId="13" fillId="3" borderId="2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49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8" defaultRowHeight="20.25" customHeight="1"/>
  <cols>
    <col min="1" max="1" width="5.25" style="3" bestFit="1" customWidth="1"/>
    <col min="2" max="2" width="13" style="3" bestFit="1" customWidth="1"/>
    <col min="3" max="4" width="9" style="3" bestFit="1" customWidth="1"/>
    <col min="5" max="5" width="13" style="3" bestFit="1" customWidth="1"/>
    <col min="6" max="7" width="9" style="3" bestFit="1" customWidth="1"/>
    <col min="8" max="8" width="13" style="3" bestFit="1" customWidth="1"/>
    <col min="9" max="9" width="10.5" style="3" bestFit="1" customWidth="1"/>
    <col min="10" max="10" width="9" style="3" bestFit="1" customWidth="1"/>
    <col min="11" max="11" width="13" style="3" bestFit="1" customWidth="1"/>
    <col min="12" max="12" width="12.75" style="3" bestFit="1" customWidth="1"/>
    <col min="13" max="13" width="9" style="3" bestFit="1" customWidth="1"/>
    <col min="14" max="14" width="12.25" style="3" bestFit="1" customWidth="1"/>
    <col min="15" max="15" width="13" style="3" bestFit="1" customWidth="1"/>
    <col min="16" max="16" width="9" style="25" bestFit="1" customWidth="1"/>
    <col min="17" max="17" width="20.5" style="25" bestFit="1" customWidth="1"/>
    <col min="18" max="18" width="65.625" style="3" bestFit="1" customWidth="1"/>
    <col min="19" max="19" width="5.25" style="3" bestFit="1" customWidth="1"/>
    <col min="20" max="20" width="49" style="3" bestFit="1" customWidth="1"/>
    <col min="21" max="21" width="9" style="3" bestFit="1" customWidth="1"/>
    <col min="22" max="22" width="11" style="3" bestFit="1" customWidth="1"/>
    <col min="23" max="24" width="5.25" style="3" bestFit="1" customWidth="1"/>
    <col min="25" max="28" width="9" style="3" bestFit="1" customWidth="1"/>
    <col min="29" max="29" width="13" style="3" bestFit="1" customWidth="1"/>
    <col min="30" max="35" width="9" style="3" bestFit="1" customWidth="1"/>
    <col min="36" max="36" width="23.5" style="4" bestFit="1" customWidth="1"/>
    <col min="37" max="37" width="11" style="3" bestFit="1" customWidth="1"/>
    <col min="38" max="38" width="71.25" style="3" bestFit="1" customWidth="1"/>
    <col min="39" max="39" width="7.125" style="3" bestFit="1" customWidth="1"/>
    <col min="40" max="40" width="5.25" style="3" bestFit="1" customWidth="1"/>
    <col min="41" max="41" width="10.5" style="3" bestFit="1" customWidth="1"/>
    <col min="42" max="42" width="9" style="3" bestFit="1" customWidth="1"/>
    <col min="43" max="43" width="5.25" style="3" bestFit="1" customWidth="1"/>
    <col min="44" max="45" width="9" style="3" bestFit="1" customWidth="1"/>
    <col min="46" max="46" width="15.125" style="3" bestFit="1" customWidth="1"/>
    <col min="47" max="47" width="9" style="3" bestFit="1" customWidth="1"/>
    <col min="48" max="48" width="13" style="3" bestFit="1" customWidth="1"/>
    <col min="49" max="49" width="141.625" style="3" bestFit="1" customWidth="1"/>
    <col min="50" max="50" width="9" style="3" bestFit="1" customWidth="1"/>
    <col min="51" max="52" width="13" style="3" bestFit="1" customWidth="1"/>
    <col min="53" max="53" width="70" style="3" bestFit="1" customWidth="1"/>
    <col min="54" max="54" width="13" style="3" bestFit="1" customWidth="1"/>
    <col min="55" max="55" width="15.5" style="3" bestFit="1" customWidth="1"/>
    <col min="56" max="56" width="13" style="3" bestFit="1" customWidth="1"/>
    <col min="57" max="57" width="9" style="3" bestFit="1" customWidth="1"/>
    <col min="58" max="58" width="7.125" style="3" bestFit="1" customWidth="1"/>
    <col min="59" max="61" width="9" style="3" bestFit="1" customWidth="1"/>
    <col min="62" max="62" width="16.375" style="3" bestFit="1" customWidth="1"/>
    <col min="63" max="63" width="17.5" style="3" bestFit="1" customWidth="1"/>
    <col min="64" max="64" width="9" style="3" bestFit="1" customWidth="1"/>
    <col min="65" max="66" width="16.375" style="3" bestFit="1" customWidth="1"/>
    <col min="67" max="67" width="9" style="3" bestFit="1" customWidth="1"/>
    <col min="68" max="68" width="57.125" style="3" bestFit="1" customWidth="1"/>
    <col min="69" max="71" width="9" style="3" bestFit="1" customWidth="1"/>
    <col min="72" max="72" width="13" style="3" bestFit="1" customWidth="1"/>
    <col min="73" max="74" width="9" style="3" bestFit="1" customWidth="1"/>
    <col min="75" max="75" width="11.125" style="3" bestFit="1" customWidth="1"/>
    <col min="76" max="76" width="10" style="3" bestFit="1" customWidth="1"/>
    <col min="77" max="77" width="12.75" style="3" bestFit="1" customWidth="1"/>
    <col min="78" max="78" width="11" style="3" bestFit="1" customWidth="1"/>
    <col min="79" max="79" width="7.375" style="3" customWidth="1"/>
    <col min="80" max="82" width="10" style="3" bestFit="1" customWidth="1"/>
    <col min="83" max="83" width="12.75" style="3" bestFit="1" customWidth="1"/>
    <col min="84" max="84" width="11.125" style="3" bestFit="1" customWidth="1"/>
    <col min="85" max="85" width="10" style="3" bestFit="1" customWidth="1"/>
    <col min="86" max="86" width="12.75" style="3" bestFit="1" customWidth="1"/>
    <col min="87" max="87" width="13" style="3" bestFit="1" customWidth="1"/>
    <col min="88" max="89" width="11" style="3" bestFit="1" customWidth="1"/>
    <col min="90" max="90" width="14.5" style="3" customWidth="1"/>
    <col min="91" max="16384" width="8" style="3"/>
  </cols>
  <sheetData>
    <row r="1" spans="1:90" s="1" customFormat="1" ht="20.25" customHeight="1">
      <c r="A1" s="5" t="s">
        <v>0</v>
      </c>
      <c r="B1" s="5" t="s">
        <v>1</v>
      </c>
      <c r="C1" s="5" t="s">
        <v>2</v>
      </c>
      <c r="D1" s="14" t="s">
        <v>578</v>
      </c>
      <c r="E1" s="15" t="s">
        <v>579</v>
      </c>
      <c r="F1" s="5" t="s">
        <v>3</v>
      </c>
      <c r="G1" s="16" t="s">
        <v>202</v>
      </c>
      <c r="H1" s="14" t="s">
        <v>580</v>
      </c>
      <c r="I1" s="16" t="s">
        <v>35</v>
      </c>
      <c r="J1" s="16" t="s">
        <v>36</v>
      </c>
      <c r="K1" s="16" t="s">
        <v>581</v>
      </c>
      <c r="L1" s="5" t="s">
        <v>5</v>
      </c>
      <c r="M1" s="15" t="s">
        <v>582</v>
      </c>
      <c r="N1" s="15" t="s">
        <v>583</v>
      </c>
      <c r="O1" s="5" t="s">
        <v>203</v>
      </c>
      <c r="P1" s="16" t="s">
        <v>204</v>
      </c>
      <c r="Q1" s="16" t="s">
        <v>4</v>
      </c>
      <c r="R1" s="16" t="s">
        <v>205</v>
      </c>
      <c r="S1" s="5" t="s">
        <v>12</v>
      </c>
      <c r="T1" s="5" t="s">
        <v>6</v>
      </c>
      <c r="U1" s="5" t="s">
        <v>7</v>
      </c>
      <c r="V1" s="14" t="s">
        <v>584</v>
      </c>
      <c r="W1" s="5" t="s">
        <v>9</v>
      </c>
      <c r="X1" s="5" t="s">
        <v>8</v>
      </c>
      <c r="Y1" s="5" t="s">
        <v>10</v>
      </c>
      <c r="Z1" s="5" t="s">
        <v>11</v>
      </c>
      <c r="AA1" s="5" t="s">
        <v>13</v>
      </c>
      <c r="AB1" s="5" t="s">
        <v>14</v>
      </c>
      <c r="AC1" s="5" t="s">
        <v>482</v>
      </c>
      <c r="AD1" s="5" t="s">
        <v>477</v>
      </c>
      <c r="AE1" s="5" t="s">
        <v>478</v>
      </c>
      <c r="AF1" s="5" t="s">
        <v>479</v>
      </c>
      <c r="AG1" s="5" t="s">
        <v>481</v>
      </c>
      <c r="AH1" s="5" t="s">
        <v>480</v>
      </c>
      <c r="AI1" s="5" t="s">
        <v>575</v>
      </c>
      <c r="AJ1" s="6" t="s">
        <v>15</v>
      </c>
      <c r="AK1" s="5" t="s">
        <v>19</v>
      </c>
      <c r="AL1" s="5" t="s">
        <v>18</v>
      </c>
      <c r="AM1" s="5" t="s">
        <v>17</v>
      </c>
      <c r="AN1" s="5" t="s">
        <v>20</v>
      </c>
      <c r="AO1" s="5" t="s">
        <v>80</v>
      </c>
      <c r="AP1" s="5" t="s">
        <v>25</v>
      </c>
      <c r="AQ1" s="5" t="s">
        <v>206</v>
      </c>
      <c r="AR1" s="5" t="s">
        <v>207</v>
      </c>
      <c r="AS1" s="5" t="s">
        <v>22</v>
      </c>
      <c r="AT1" s="5" t="s">
        <v>21</v>
      </c>
      <c r="AU1" s="5" t="s">
        <v>24</v>
      </c>
      <c r="AV1" s="5" t="s">
        <v>16</v>
      </c>
      <c r="AW1" s="5" t="s">
        <v>23</v>
      </c>
      <c r="AX1" s="5" t="s">
        <v>576</v>
      </c>
      <c r="AY1" s="14" t="s">
        <v>510</v>
      </c>
      <c r="AZ1" s="14" t="s">
        <v>511</v>
      </c>
      <c r="BA1" s="14" t="s">
        <v>585</v>
      </c>
      <c r="BB1" s="15" t="s">
        <v>586</v>
      </c>
      <c r="BC1" s="16" t="s">
        <v>487</v>
      </c>
      <c r="BD1" s="16" t="s">
        <v>208</v>
      </c>
      <c r="BE1" s="16" t="s">
        <v>209</v>
      </c>
      <c r="BF1" s="16" t="s">
        <v>210</v>
      </c>
      <c r="BG1" s="5" t="s">
        <v>26</v>
      </c>
      <c r="BH1" s="5" t="s">
        <v>211</v>
      </c>
      <c r="BI1" s="5" t="s">
        <v>27</v>
      </c>
      <c r="BJ1" s="5" t="s">
        <v>28</v>
      </c>
      <c r="BK1" s="5" t="s">
        <v>29</v>
      </c>
      <c r="BL1" s="5" t="s">
        <v>32</v>
      </c>
      <c r="BM1" s="5" t="s">
        <v>30</v>
      </c>
      <c r="BN1" s="5" t="s">
        <v>31</v>
      </c>
      <c r="BO1" s="5" t="s">
        <v>34</v>
      </c>
      <c r="BP1" s="5" t="s">
        <v>33</v>
      </c>
      <c r="BQ1" s="15" t="s">
        <v>572</v>
      </c>
      <c r="BR1" s="15" t="s">
        <v>587</v>
      </c>
      <c r="BS1" s="14" t="s">
        <v>504</v>
      </c>
      <c r="BT1" s="14" t="s">
        <v>505</v>
      </c>
      <c r="BU1" s="14" t="s">
        <v>506</v>
      </c>
      <c r="BV1" s="14" t="s">
        <v>588</v>
      </c>
      <c r="BW1" s="14" t="s">
        <v>589</v>
      </c>
      <c r="BX1" s="14" t="s">
        <v>590</v>
      </c>
      <c r="BY1" s="5" t="s">
        <v>5</v>
      </c>
      <c r="BZ1" s="5" t="s">
        <v>4</v>
      </c>
      <c r="CA1" s="5" t="s">
        <v>591</v>
      </c>
      <c r="CB1" s="5" t="s">
        <v>592</v>
      </c>
      <c r="CC1" s="14" t="s">
        <v>593</v>
      </c>
      <c r="CD1" s="14" t="s">
        <v>594</v>
      </c>
      <c r="CE1" s="5" t="s">
        <v>5</v>
      </c>
      <c r="CF1" s="14" t="s">
        <v>595</v>
      </c>
      <c r="CG1" s="14" t="s">
        <v>596</v>
      </c>
      <c r="CH1" s="5" t="s">
        <v>5</v>
      </c>
      <c r="CI1" s="5" t="s">
        <v>577</v>
      </c>
      <c r="CJ1" s="5" t="s">
        <v>475</v>
      </c>
      <c r="CK1" s="5" t="s">
        <v>476</v>
      </c>
      <c r="CL1" s="14" t="s">
        <v>641</v>
      </c>
    </row>
    <row r="2" spans="1:90" s="2" customFormat="1" ht="20.25" customHeight="1">
      <c r="A2" s="8">
        <v>1</v>
      </c>
      <c r="B2" s="8">
        <v>201805001</v>
      </c>
      <c r="C2" s="54" t="s">
        <v>81</v>
      </c>
      <c r="D2" s="8">
        <v>803</v>
      </c>
      <c r="E2" s="17">
        <v>2017111002</v>
      </c>
      <c r="F2" s="8">
        <v>32800</v>
      </c>
      <c r="G2" s="8" t="s">
        <v>212</v>
      </c>
      <c r="H2" s="8">
        <v>26</v>
      </c>
      <c r="I2" s="8"/>
      <c r="J2" s="8"/>
      <c r="K2" s="8"/>
      <c r="L2" s="8">
        <v>13577175842</v>
      </c>
      <c r="M2" s="8"/>
      <c r="N2" s="8"/>
      <c r="O2" s="8">
        <v>1990</v>
      </c>
      <c r="P2" s="18" t="s">
        <v>413</v>
      </c>
      <c r="Q2" s="17" t="s">
        <v>83</v>
      </c>
      <c r="R2" s="7" t="s">
        <v>418</v>
      </c>
      <c r="S2" s="8"/>
      <c r="T2" s="7" t="s">
        <v>414</v>
      </c>
      <c r="U2" s="8"/>
      <c r="V2" s="7" t="s">
        <v>415</v>
      </c>
      <c r="W2" s="8"/>
      <c r="X2" s="7" t="s">
        <v>367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9"/>
      <c r="AK2" s="8"/>
      <c r="AL2" s="8"/>
      <c r="AM2" s="8"/>
      <c r="AN2" s="8"/>
      <c r="AO2" s="8" t="s">
        <v>82</v>
      </c>
      <c r="AP2" s="8"/>
      <c r="AQ2" s="8" t="s">
        <v>85</v>
      </c>
      <c r="AR2" s="8">
        <v>27</v>
      </c>
      <c r="AS2" s="8"/>
      <c r="AT2" s="8" t="s">
        <v>84</v>
      </c>
      <c r="AU2" s="7" t="s">
        <v>370</v>
      </c>
      <c r="AV2" s="8"/>
      <c r="AW2" s="8"/>
      <c r="AX2" s="8"/>
      <c r="AY2" s="8"/>
      <c r="AZ2" s="8"/>
      <c r="BA2" s="8"/>
      <c r="BB2" s="8"/>
      <c r="BC2" s="8"/>
      <c r="BD2" s="19">
        <v>43237</v>
      </c>
      <c r="BE2" s="8"/>
      <c r="BF2" s="8"/>
      <c r="BG2" s="8"/>
      <c r="BH2" s="7" t="s">
        <v>417</v>
      </c>
      <c r="BI2" s="7" t="s">
        <v>393</v>
      </c>
      <c r="BJ2" s="8"/>
      <c r="BK2" s="8"/>
      <c r="BL2" s="8"/>
      <c r="BM2" s="8"/>
      <c r="BN2" s="8"/>
      <c r="BO2" s="8"/>
      <c r="BP2" s="8"/>
      <c r="BQ2" s="8"/>
      <c r="BR2" s="8"/>
      <c r="BS2" s="7" t="s">
        <v>497</v>
      </c>
      <c r="BT2" s="8"/>
      <c r="BU2" s="8"/>
      <c r="BV2" s="8"/>
      <c r="BW2" s="7" t="s">
        <v>416</v>
      </c>
      <c r="BX2" s="8" t="s">
        <v>213</v>
      </c>
      <c r="BY2" s="8">
        <v>13987641884</v>
      </c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</row>
    <row r="3" spans="1:90" s="2" customFormat="1" ht="20.25" customHeight="1">
      <c r="A3" s="8">
        <v>2</v>
      </c>
      <c r="B3" s="8">
        <v>201805002</v>
      </c>
      <c r="C3" s="54" t="s">
        <v>86</v>
      </c>
      <c r="D3" s="8">
        <v>802</v>
      </c>
      <c r="E3" s="17">
        <v>2017112903</v>
      </c>
      <c r="F3" s="8">
        <v>32800</v>
      </c>
      <c r="G3" s="8" t="s">
        <v>212</v>
      </c>
      <c r="H3" s="8">
        <v>26</v>
      </c>
      <c r="I3" s="8"/>
      <c r="J3" s="8"/>
      <c r="K3" s="8"/>
      <c r="L3" s="8">
        <v>15808796371</v>
      </c>
      <c r="M3" s="8"/>
      <c r="N3" s="8"/>
      <c r="O3" s="8">
        <v>1978</v>
      </c>
      <c r="P3" s="18" t="s">
        <v>443</v>
      </c>
      <c r="Q3" s="17" t="s">
        <v>88</v>
      </c>
      <c r="R3" s="8"/>
      <c r="S3" s="8"/>
      <c r="T3" s="7" t="s">
        <v>445</v>
      </c>
      <c r="U3" s="8"/>
      <c r="V3" s="7" t="s">
        <v>368</v>
      </c>
      <c r="W3" s="8"/>
      <c r="X3" s="8" t="s">
        <v>214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9"/>
      <c r="AK3" s="8"/>
      <c r="AL3" s="8"/>
      <c r="AM3" s="8"/>
      <c r="AN3" s="8"/>
      <c r="AO3" s="8" t="s">
        <v>87</v>
      </c>
      <c r="AP3" s="8"/>
      <c r="AQ3" s="8" t="s">
        <v>90</v>
      </c>
      <c r="AR3" s="8">
        <v>39</v>
      </c>
      <c r="AS3" s="8"/>
      <c r="AT3" s="8" t="s">
        <v>89</v>
      </c>
      <c r="AU3" s="7" t="s">
        <v>370</v>
      </c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7" t="s">
        <v>444</v>
      </c>
      <c r="BI3" s="7" t="s">
        <v>369</v>
      </c>
      <c r="BJ3" s="8"/>
      <c r="BK3" s="8"/>
      <c r="BL3" s="8"/>
      <c r="BM3" s="8"/>
      <c r="BN3" s="8"/>
      <c r="BO3" s="8"/>
      <c r="BP3" s="8"/>
      <c r="BQ3" s="8"/>
      <c r="BR3" s="8"/>
      <c r="BS3" s="7" t="s">
        <v>497</v>
      </c>
      <c r="BT3" s="8"/>
      <c r="BU3" s="8"/>
      <c r="BV3" s="8"/>
      <c r="BW3" s="8" t="s">
        <v>215</v>
      </c>
      <c r="BX3" s="8" t="s">
        <v>213</v>
      </c>
      <c r="BY3" s="8">
        <v>13888142608</v>
      </c>
      <c r="BZ3" s="8"/>
      <c r="CA3" s="8"/>
      <c r="CB3" s="8"/>
      <c r="CC3" s="8"/>
      <c r="CD3" s="8"/>
      <c r="CE3" s="8">
        <v>18087242226</v>
      </c>
      <c r="CF3" s="8"/>
      <c r="CG3" s="8"/>
      <c r="CH3" s="8"/>
      <c r="CI3" s="8"/>
      <c r="CJ3" s="8"/>
      <c r="CK3" s="8"/>
      <c r="CL3" s="8"/>
    </row>
    <row r="4" spans="1:90" s="2" customFormat="1" ht="20.25" customHeight="1">
      <c r="A4" s="8">
        <v>3</v>
      </c>
      <c r="B4" s="8">
        <v>201805003</v>
      </c>
      <c r="C4" s="54" t="s">
        <v>642</v>
      </c>
      <c r="D4" s="8">
        <v>817</v>
      </c>
      <c r="E4" s="17">
        <v>2017121205</v>
      </c>
      <c r="F4" s="8">
        <v>29800</v>
      </c>
      <c r="G4" s="8" t="s">
        <v>216</v>
      </c>
      <c r="H4" s="8">
        <v>26</v>
      </c>
      <c r="I4" s="19">
        <v>43242</v>
      </c>
      <c r="J4" s="8"/>
      <c r="K4" s="8"/>
      <c r="L4" s="8">
        <v>15808825858</v>
      </c>
      <c r="M4" s="8"/>
      <c r="N4" s="8"/>
      <c r="O4" s="8">
        <v>1989</v>
      </c>
      <c r="P4" s="17" t="s">
        <v>217</v>
      </c>
      <c r="Q4" s="17" t="s">
        <v>91</v>
      </c>
      <c r="R4" s="8" t="s">
        <v>218</v>
      </c>
      <c r="S4" s="8"/>
      <c r="T4" s="8" t="s">
        <v>219</v>
      </c>
      <c r="U4" s="8"/>
      <c r="V4" s="8" t="s">
        <v>220</v>
      </c>
      <c r="W4" s="8" t="s">
        <v>520</v>
      </c>
      <c r="X4" s="8" t="s">
        <v>44</v>
      </c>
      <c r="Y4" s="8" t="s">
        <v>521</v>
      </c>
      <c r="Z4" s="8" t="s">
        <v>531</v>
      </c>
      <c r="AA4" s="8"/>
      <c r="AB4" s="8"/>
      <c r="AC4" s="8"/>
      <c r="AD4" s="8"/>
      <c r="AE4" s="8"/>
      <c r="AF4" s="8"/>
      <c r="AG4" s="8"/>
      <c r="AH4" s="8"/>
      <c r="AI4" s="8"/>
      <c r="AJ4" s="9"/>
      <c r="AK4" s="8" t="s">
        <v>533</v>
      </c>
      <c r="AL4" s="8" t="s">
        <v>533</v>
      </c>
      <c r="AM4" s="8" t="s">
        <v>533</v>
      </c>
      <c r="AN4" s="8" t="s">
        <v>532</v>
      </c>
      <c r="AO4" s="8" t="s">
        <v>82</v>
      </c>
      <c r="AP4" s="8">
        <v>41</v>
      </c>
      <c r="AQ4" s="8" t="s">
        <v>85</v>
      </c>
      <c r="AR4" s="8">
        <v>29</v>
      </c>
      <c r="AS4" s="8"/>
      <c r="AT4" s="8" t="s">
        <v>84</v>
      </c>
      <c r="AU4" s="8" t="s">
        <v>40</v>
      </c>
      <c r="AV4" s="8" t="s">
        <v>533</v>
      </c>
      <c r="AW4" s="8"/>
      <c r="AX4" s="8"/>
      <c r="AY4" s="8">
        <v>63.1</v>
      </c>
      <c r="AZ4" s="8"/>
      <c r="BA4" s="8"/>
      <c r="BB4" s="8"/>
      <c r="BC4" s="8"/>
      <c r="BD4" s="19">
        <v>43240</v>
      </c>
      <c r="BE4" s="20">
        <v>0.53888888888888886</v>
      </c>
      <c r="BF4" s="8"/>
      <c r="BG4" s="8"/>
      <c r="BH4" s="8"/>
      <c r="BI4" s="8" t="s">
        <v>41</v>
      </c>
      <c r="BJ4" s="8">
        <v>3540</v>
      </c>
      <c r="BK4" s="8">
        <v>51</v>
      </c>
      <c r="BL4" s="8"/>
      <c r="BM4" s="8">
        <v>2970</v>
      </c>
      <c r="BN4" s="8"/>
      <c r="BO4" s="8" t="s">
        <v>530</v>
      </c>
      <c r="BP4" s="8" t="s">
        <v>529</v>
      </c>
      <c r="BQ4" s="8"/>
      <c r="BR4" s="8"/>
      <c r="BS4" s="8" t="s">
        <v>90</v>
      </c>
      <c r="BT4" s="8"/>
      <c r="BU4" s="8"/>
      <c r="BV4" s="8"/>
      <c r="BW4" s="8" t="s">
        <v>221</v>
      </c>
      <c r="BX4" s="8" t="s">
        <v>213</v>
      </c>
      <c r="BY4" s="8">
        <v>18208881231</v>
      </c>
      <c r="BZ4" s="8"/>
      <c r="CA4" s="8"/>
      <c r="CB4" s="8"/>
      <c r="CC4" s="8" t="s">
        <v>222</v>
      </c>
      <c r="CD4" s="8"/>
      <c r="CE4" s="8">
        <v>13987120596</v>
      </c>
      <c r="CF4" s="8" t="s">
        <v>223</v>
      </c>
      <c r="CG4" s="8"/>
      <c r="CH4" s="8">
        <v>13708851304</v>
      </c>
      <c r="CI4" s="8"/>
      <c r="CJ4" s="8"/>
      <c r="CK4" s="8"/>
      <c r="CL4" s="8"/>
    </row>
    <row r="5" spans="1:90" s="2" customFormat="1" ht="20.25" customHeight="1">
      <c r="A5" s="8">
        <v>4</v>
      </c>
      <c r="B5" s="8">
        <v>201805004</v>
      </c>
      <c r="C5" s="54" t="s">
        <v>643</v>
      </c>
      <c r="D5" s="8">
        <v>801</v>
      </c>
      <c r="E5" s="17">
        <v>2017121404</v>
      </c>
      <c r="F5" s="8">
        <v>19400</v>
      </c>
      <c r="G5" s="8" t="s">
        <v>212</v>
      </c>
      <c r="H5" s="8">
        <v>26</v>
      </c>
      <c r="I5" s="8"/>
      <c r="J5" s="8"/>
      <c r="K5" s="8"/>
      <c r="L5" s="8">
        <v>15288494736</v>
      </c>
      <c r="M5" s="8"/>
      <c r="N5" s="8"/>
      <c r="O5" s="8">
        <v>1986</v>
      </c>
      <c r="P5" s="17" t="s">
        <v>455</v>
      </c>
      <c r="Q5" s="17" t="s">
        <v>93</v>
      </c>
      <c r="R5" s="8" t="s">
        <v>460</v>
      </c>
      <c r="S5" s="8"/>
      <c r="T5" s="8"/>
      <c r="U5" s="8"/>
      <c r="V5" s="8"/>
      <c r="W5" s="8"/>
      <c r="X5" s="8" t="s">
        <v>456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9"/>
      <c r="AK5" s="8"/>
      <c r="AL5" s="8"/>
      <c r="AM5" s="8"/>
      <c r="AN5" s="8"/>
      <c r="AO5" s="8" t="s">
        <v>92</v>
      </c>
      <c r="AP5" s="8"/>
      <c r="AQ5" s="8" t="s">
        <v>85</v>
      </c>
      <c r="AR5" s="8">
        <v>31</v>
      </c>
      <c r="AS5" s="8"/>
      <c r="AT5" s="8" t="s">
        <v>94</v>
      </c>
      <c r="AU5" s="8" t="s">
        <v>459</v>
      </c>
      <c r="AV5" s="8"/>
      <c r="AW5" s="8" t="s">
        <v>461</v>
      </c>
      <c r="AX5" s="8"/>
      <c r="AY5" s="8"/>
      <c r="AZ5" s="8"/>
      <c r="BA5" s="8"/>
      <c r="BB5" s="8"/>
      <c r="BC5" s="8"/>
      <c r="BD5" s="19">
        <v>43249</v>
      </c>
      <c r="BE5" s="8"/>
      <c r="BF5" s="8"/>
      <c r="BG5" s="8"/>
      <c r="BH5" s="8"/>
      <c r="BI5" s="8" t="s">
        <v>458</v>
      </c>
      <c r="BJ5" s="8"/>
      <c r="BK5" s="8"/>
      <c r="BL5" s="8"/>
      <c r="BM5" s="8"/>
      <c r="BN5" s="8"/>
      <c r="BO5" s="8"/>
      <c r="BP5" s="8"/>
      <c r="BQ5" s="8"/>
      <c r="BR5" s="8"/>
      <c r="BS5" s="8" t="s">
        <v>90</v>
      </c>
      <c r="BT5" s="8"/>
      <c r="BU5" s="8"/>
      <c r="BV5" s="8"/>
      <c r="BW5" s="8" t="s">
        <v>457</v>
      </c>
      <c r="BX5" s="8" t="s">
        <v>213</v>
      </c>
      <c r="BY5" s="8">
        <v>13888151517</v>
      </c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spans="1:90" s="2" customFormat="1" ht="20.25" customHeight="1">
      <c r="A6" s="8">
        <v>5</v>
      </c>
      <c r="B6" s="8">
        <v>201805005</v>
      </c>
      <c r="C6" s="54" t="s">
        <v>644</v>
      </c>
      <c r="D6" s="8">
        <v>725</v>
      </c>
      <c r="E6" s="17">
        <v>2017122501</v>
      </c>
      <c r="F6" s="8">
        <v>43800</v>
      </c>
      <c r="G6" s="8" t="s">
        <v>224</v>
      </c>
      <c r="H6" s="8">
        <v>26</v>
      </c>
      <c r="I6" s="19">
        <v>43250</v>
      </c>
      <c r="J6" s="8"/>
      <c r="K6" s="8"/>
      <c r="L6" s="8">
        <v>13211649928</v>
      </c>
      <c r="M6" s="8"/>
      <c r="N6" s="8"/>
      <c r="O6" s="8">
        <v>1979</v>
      </c>
      <c r="P6" s="17">
        <v>7.2</v>
      </c>
      <c r="Q6" s="17" t="s">
        <v>96</v>
      </c>
      <c r="R6" s="8" t="s">
        <v>225</v>
      </c>
      <c r="S6" s="8"/>
      <c r="T6" s="8" t="s">
        <v>97</v>
      </c>
      <c r="U6" s="8"/>
      <c r="V6" s="8" t="s">
        <v>226</v>
      </c>
      <c r="W6" s="8"/>
      <c r="X6" s="8" t="s">
        <v>44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9"/>
      <c r="AK6" s="8"/>
      <c r="AL6" s="8"/>
      <c r="AM6" s="8"/>
      <c r="AN6" s="8"/>
      <c r="AO6" s="8" t="s">
        <v>95</v>
      </c>
      <c r="AP6" s="8"/>
      <c r="AQ6" s="8" t="s">
        <v>90</v>
      </c>
      <c r="AR6" s="8">
        <v>38</v>
      </c>
      <c r="AS6" s="8"/>
      <c r="AT6" s="8" t="s">
        <v>84</v>
      </c>
      <c r="AU6" s="8" t="s">
        <v>40</v>
      </c>
      <c r="AV6" s="8"/>
      <c r="AW6" s="8"/>
      <c r="AX6" s="8"/>
      <c r="AY6" s="8"/>
      <c r="AZ6" s="8"/>
      <c r="BA6" s="8"/>
      <c r="BB6" s="8"/>
      <c r="BC6" s="8"/>
      <c r="BD6" s="19">
        <v>43248</v>
      </c>
      <c r="BE6" s="8"/>
      <c r="BF6" s="8"/>
      <c r="BG6" s="8"/>
      <c r="BH6" s="8"/>
      <c r="BI6" s="8" t="s">
        <v>41</v>
      </c>
      <c r="BJ6" s="8"/>
      <c r="BK6" s="8"/>
      <c r="BL6" s="8"/>
      <c r="BM6" s="8"/>
      <c r="BN6" s="8"/>
      <c r="BO6" s="8"/>
      <c r="BP6" s="8"/>
      <c r="BQ6" s="8"/>
      <c r="BR6" s="8"/>
      <c r="BS6" s="8" t="s">
        <v>90</v>
      </c>
      <c r="BT6" s="8"/>
      <c r="BU6" s="8"/>
      <c r="BV6" s="8"/>
      <c r="BW6" s="8" t="s">
        <v>227</v>
      </c>
      <c r="BX6" s="8" t="s">
        <v>213</v>
      </c>
      <c r="BY6" s="8">
        <v>13759440189</v>
      </c>
      <c r="BZ6" s="8"/>
      <c r="CA6" s="8"/>
      <c r="CB6" s="8"/>
      <c r="CC6" s="8" t="s">
        <v>228</v>
      </c>
      <c r="CD6" s="8"/>
      <c r="CE6" s="8">
        <v>13658858236</v>
      </c>
      <c r="CF6" s="8"/>
      <c r="CG6" s="8"/>
      <c r="CH6" s="8"/>
      <c r="CI6" s="8"/>
      <c r="CJ6" s="8"/>
      <c r="CK6" s="8"/>
      <c r="CL6" s="8"/>
    </row>
    <row r="7" spans="1:90" s="2" customFormat="1" ht="20.25" customHeight="1">
      <c r="A7" s="8">
        <v>6</v>
      </c>
      <c r="B7" s="8">
        <v>201805006</v>
      </c>
      <c r="C7" s="54" t="s">
        <v>645</v>
      </c>
      <c r="D7" s="8">
        <v>722</v>
      </c>
      <c r="E7" s="17">
        <v>2017122605</v>
      </c>
      <c r="F7" s="8">
        <v>32800</v>
      </c>
      <c r="G7" s="8" t="s">
        <v>212</v>
      </c>
      <c r="H7" s="8">
        <v>26</v>
      </c>
      <c r="I7" s="19">
        <v>43245</v>
      </c>
      <c r="J7" s="8"/>
      <c r="K7" s="8"/>
      <c r="L7" s="8">
        <v>15912469963</v>
      </c>
      <c r="M7" s="8"/>
      <c r="N7" s="8"/>
      <c r="O7" s="8">
        <v>1991</v>
      </c>
      <c r="P7" s="17" t="s">
        <v>229</v>
      </c>
      <c r="Q7" s="17" t="s">
        <v>99</v>
      </c>
      <c r="R7" s="8" t="s">
        <v>230</v>
      </c>
      <c r="S7" s="8"/>
      <c r="T7" s="8" t="s">
        <v>100</v>
      </c>
      <c r="U7" s="8"/>
      <c r="V7" s="8" t="s">
        <v>232</v>
      </c>
      <c r="W7" s="8"/>
      <c r="X7" s="8" t="s">
        <v>231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9" t="s">
        <v>233</v>
      </c>
      <c r="AK7" s="8"/>
      <c r="AL7" s="8"/>
      <c r="AM7" s="8"/>
      <c r="AN7" s="8"/>
      <c r="AO7" s="8" t="s">
        <v>98</v>
      </c>
      <c r="AP7" s="8"/>
      <c r="AQ7" s="8" t="s">
        <v>85</v>
      </c>
      <c r="AR7" s="8">
        <v>26</v>
      </c>
      <c r="AS7" s="8">
        <v>4</v>
      </c>
      <c r="AT7" s="8" t="s">
        <v>84</v>
      </c>
      <c r="AU7" s="8" t="s">
        <v>48</v>
      </c>
      <c r="AV7" s="8"/>
      <c r="AW7" s="8" t="s">
        <v>234</v>
      </c>
      <c r="AX7" s="8"/>
      <c r="AY7" s="8"/>
      <c r="AZ7" s="8"/>
      <c r="BA7" s="8"/>
      <c r="BB7" s="8"/>
      <c r="BC7" s="8"/>
      <c r="BD7" s="19">
        <v>43242</v>
      </c>
      <c r="BE7" s="8"/>
      <c r="BF7" s="8"/>
      <c r="BG7" s="8"/>
      <c r="BH7" s="8"/>
      <c r="BI7" s="8" t="s">
        <v>41</v>
      </c>
      <c r="BJ7" s="8">
        <v>2950</v>
      </c>
      <c r="BK7" s="8"/>
      <c r="BL7" s="8"/>
      <c r="BM7" s="8"/>
      <c r="BN7" s="8"/>
      <c r="BO7" s="8"/>
      <c r="BP7" s="8"/>
      <c r="BQ7" s="8"/>
      <c r="BR7" s="8"/>
      <c r="BS7" s="7" t="s">
        <v>497</v>
      </c>
      <c r="BT7" s="8"/>
      <c r="BU7" s="8"/>
      <c r="BV7" s="8"/>
      <c r="BW7" s="10" t="s">
        <v>235</v>
      </c>
      <c r="BX7" s="10" t="s">
        <v>236</v>
      </c>
      <c r="BY7" s="10">
        <v>15825255774</v>
      </c>
      <c r="BZ7" s="10"/>
      <c r="CA7" s="8"/>
      <c r="CB7" s="8"/>
      <c r="CC7" s="10" t="s">
        <v>237</v>
      </c>
      <c r="CD7" s="10" t="s">
        <v>213</v>
      </c>
      <c r="CE7" s="10">
        <v>15825255774</v>
      </c>
      <c r="CF7" s="11"/>
      <c r="CG7" s="11"/>
      <c r="CH7" s="11"/>
      <c r="CI7" s="8"/>
      <c r="CJ7" s="8"/>
      <c r="CK7" s="8"/>
      <c r="CL7" s="8"/>
    </row>
    <row r="8" spans="1:90" s="2" customFormat="1" ht="20.25" customHeight="1">
      <c r="A8" s="8">
        <v>7</v>
      </c>
      <c r="B8" s="8">
        <v>201805007</v>
      </c>
      <c r="C8" s="54" t="s">
        <v>646</v>
      </c>
      <c r="D8" s="8">
        <v>718</v>
      </c>
      <c r="E8" s="17">
        <v>2018010401</v>
      </c>
      <c r="F8" s="8">
        <v>33800</v>
      </c>
      <c r="G8" s="8" t="s">
        <v>212</v>
      </c>
      <c r="H8" s="8">
        <v>26</v>
      </c>
      <c r="I8" s="8"/>
      <c r="J8" s="8"/>
      <c r="K8" s="8"/>
      <c r="L8" s="8">
        <v>13888089520</v>
      </c>
      <c r="M8" s="8"/>
      <c r="N8" s="8"/>
      <c r="O8" s="8">
        <v>1988</v>
      </c>
      <c r="P8" s="17" t="s">
        <v>238</v>
      </c>
      <c r="Q8" s="17" t="s">
        <v>102</v>
      </c>
      <c r="R8" s="8" t="s">
        <v>239</v>
      </c>
      <c r="S8" s="8"/>
      <c r="T8" s="8" t="s">
        <v>240</v>
      </c>
      <c r="U8" s="8"/>
      <c r="V8" s="7" t="s">
        <v>453</v>
      </c>
      <c r="W8" s="8"/>
      <c r="X8" s="7" t="s">
        <v>367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9"/>
      <c r="AK8" s="8"/>
      <c r="AL8" s="8"/>
      <c r="AM8" s="8"/>
      <c r="AN8" s="8"/>
      <c r="AO8" s="8" t="s">
        <v>101</v>
      </c>
      <c r="AP8" s="8"/>
      <c r="AQ8" s="8" t="s">
        <v>85</v>
      </c>
      <c r="AR8" s="8">
        <v>30</v>
      </c>
      <c r="AS8" s="8"/>
      <c r="AT8" s="8" t="s">
        <v>84</v>
      </c>
      <c r="AU8" s="8" t="s">
        <v>40</v>
      </c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7" t="s">
        <v>573</v>
      </c>
      <c r="BR8" s="7"/>
      <c r="BS8" s="7" t="s">
        <v>573</v>
      </c>
      <c r="BT8" s="7" t="s">
        <v>573</v>
      </c>
      <c r="BU8" s="7" t="s">
        <v>573</v>
      </c>
      <c r="BV8" s="7"/>
      <c r="BW8" s="8" t="s">
        <v>241</v>
      </c>
      <c r="BX8" s="8" t="s">
        <v>213</v>
      </c>
      <c r="BY8" s="8">
        <v>18687174511</v>
      </c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s="2" customFormat="1" ht="20.25" customHeight="1">
      <c r="A9" s="8">
        <v>8</v>
      </c>
      <c r="B9" s="8">
        <v>201805008</v>
      </c>
      <c r="C9" s="54" t="s">
        <v>647</v>
      </c>
      <c r="D9" s="8">
        <v>716</v>
      </c>
      <c r="E9" s="17">
        <v>2018011102</v>
      </c>
      <c r="F9" s="8">
        <v>32800</v>
      </c>
      <c r="G9" s="8" t="s">
        <v>212</v>
      </c>
      <c r="H9" s="8">
        <v>26</v>
      </c>
      <c r="I9" s="19">
        <v>43248</v>
      </c>
      <c r="J9" s="8"/>
      <c r="K9" s="8"/>
      <c r="L9" s="8">
        <v>13987616090</v>
      </c>
      <c r="M9" s="8"/>
      <c r="N9" s="8"/>
      <c r="O9" s="8">
        <v>1978</v>
      </c>
      <c r="P9" s="17" t="s">
        <v>242</v>
      </c>
      <c r="Q9" s="17" t="s">
        <v>104</v>
      </c>
      <c r="R9" s="8" t="s">
        <v>243</v>
      </c>
      <c r="S9" s="8"/>
      <c r="T9" s="8" t="s">
        <v>244</v>
      </c>
      <c r="U9" s="8"/>
      <c r="V9" s="8" t="s">
        <v>246</v>
      </c>
      <c r="W9" s="8"/>
      <c r="X9" s="8" t="s">
        <v>245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9"/>
      <c r="AK9" s="8"/>
      <c r="AL9" s="8"/>
      <c r="AM9" s="8"/>
      <c r="AN9" s="8"/>
      <c r="AO9" s="8" t="s">
        <v>103</v>
      </c>
      <c r="AP9" s="8"/>
      <c r="AQ9" s="8" t="s">
        <v>85</v>
      </c>
      <c r="AR9" s="8">
        <v>40</v>
      </c>
      <c r="AS9" s="8"/>
      <c r="AT9" s="8" t="s">
        <v>89</v>
      </c>
      <c r="AU9" s="8"/>
      <c r="AV9" s="8" t="s">
        <v>247</v>
      </c>
      <c r="AW9" s="8"/>
      <c r="AX9" s="8"/>
      <c r="AY9" s="8"/>
      <c r="AZ9" s="8"/>
      <c r="BA9" s="8"/>
      <c r="BB9" s="8"/>
      <c r="BC9" s="8"/>
      <c r="BD9" s="19">
        <v>43242</v>
      </c>
      <c r="BE9" s="8"/>
      <c r="BF9" s="8"/>
      <c r="BG9" s="8"/>
      <c r="BH9" s="8"/>
      <c r="BI9" s="8" t="s">
        <v>41</v>
      </c>
      <c r="BJ9" s="8"/>
      <c r="BK9" s="8"/>
      <c r="BL9" s="8"/>
      <c r="BM9" s="8"/>
      <c r="BN9" s="8"/>
      <c r="BO9" s="8"/>
      <c r="BP9" s="8"/>
      <c r="BQ9" s="8"/>
      <c r="BR9" s="8"/>
      <c r="BS9" s="11" t="s">
        <v>90</v>
      </c>
      <c r="BT9" s="8"/>
      <c r="BU9" s="8"/>
      <c r="BV9" s="8"/>
      <c r="BW9" s="8" t="s">
        <v>248</v>
      </c>
      <c r="BX9" s="8" t="s">
        <v>213</v>
      </c>
      <c r="BY9" s="8">
        <v>13888517717</v>
      </c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 s="2" customFormat="1" ht="20.25" customHeight="1">
      <c r="A10" s="8">
        <v>9</v>
      </c>
      <c r="B10" s="8">
        <v>201805009</v>
      </c>
      <c r="C10" s="54" t="s">
        <v>648</v>
      </c>
      <c r="D10" s="8">
        <v>807</v>
      </c>
      <c r="E10" s="17">
        <v>2018011801</v>
      </c>
      <c r="F10" s="8">
        <v>34800</v>
      </c>
      <c r="G10" s="8" t="s">
        <v>212</v>
      </c>
      <c r="H10" s="8">
        <v>26</v>
      </c>
      <c r="I10" s="19">
        <v>43249</v>
      </c>
      <c r="J10" s="8"/>
      <c r="K10" s="8"/>
      <c r="L10" s="8">
        <v>15240800080</v>
      </c>
      <c r="M10" s="8"/>
      <c r="N10" s="8"/>
      <c r="O10" s="8">
        <v>1986</v>
      </c>
      <c r="P10" s="17" t="s">
        <v>249</v>
      </c>
      <c r="Q10" s="17" t="s">
        <v>106</v>
      </c>
      <c r="R10" s="8" t="s">
        <v>250</v>
      </c>
      <c r="S10" s="8"/>
      <c r="T10" s="8" t="s">
        <v>251</v>
      </c>
      <c r="U10" s="8"/>
      <c r="V10" s="8" t="s">
        <v>252</v>
      </c>
      <c r="W10" s="8" t="s">
        <v>536</v>
      </c>
      <c r="X10" s="8" t="s">
        <v>44</v>
      </c>
      <c r="Y10" s="8" t="s">
        <v>533</v>
      </c>
      <c r="Z10" s="8" t="s">
        <v>535</v>
      </c>
      <c r="AA10" s="8"/>
      <c r="AB10" s="8"/>
      <c r="AC10" s="8"/>
      <c r="AD10" s="8"/>
      <c r="AE10" s="8"/>
      <c r="AF10" s="8"/>
      <c r="AG10" s="8"/>
      <c r="AH10" s="8"/>
      <c r="AI10" s="8"/>
      <c r="AJ10" s="9" t="s">
        <v>253</v>
      </c>
      <c r="AK10" s="7" t="s">
        <v>533</v>
      </c>
      <c r="AL10" s="7" t="s">
        <v>533</v>
      </c>
      <c r="AM10" s="7" t="s">
        <v>533</v>
      </c>
      <c r="AN10" s="8" t="s">
        <v>532</v>
      </c>
      <c r="AO10" s="8" t="s">
        <v>105</v>
      </c>
      <c r="AP10" s="8">
        <v>39</v>
      </c>
      <c r="AQ10" s="8" t="s">
        <v>90</v>
      </c>
      <c r="AR10" s="8">
        <v>32</v>
      </c>
      <c r="AS10" s="8"/>
      <c r="AT10" s="8" t="s">
        <v>84</v>
      </c>
      <c r="AU10" s="8" t="s">
        <v>40</v>
      </c>
      <c r="AV10" s="7" t="s">
        <v>552</v>
      </c>
      <c r="AW10" s="8" t="s">
        <v>551</v>
      </c>
      <c r="AX10" s="8"/>
      <c r="AY10" s="8">
        <v>56.8</v>
      </c>
      <c r="AZ10" s="8"/>
      <c r="BA10" s="8"/>
      <c r="BB10" s="8"/>
      <c r="BC10" s="8"/>
      <c r="BD10" s="19">
        <v>43247</v>
      </c>
      <c r="BE10" s="20">
        <v>0.31388888888888888</v>
      </c>
      <c r="BF10" s="8"/>
      <c r="BG10" s="8"/>
      <c r="BH10" s="8"/>
      <c r="BI10" s="8" t="s">
        <v>41</v>
      </c>
      <c r="BJ10" s="8">
        <v>3675</v>
      </c>
      <c r="BK10" s="8">
        <v>51</v>
      </c>
      <c r="BL10" s="8"/>
      <c r="BM10" s="8">
        <v>3620</v>
      </c>
      <c r="BN10" s="8"/>
      <c r="BO10" s="7" t="s">
        <v>509</v>
      </c>
      <c r="BP10" s="7" t="s">
        <v>553</v>
      </c>
      <c r="BQ10" s="7" t="s">
        <v>573</v>
      </c>
      <c r="BR10" s="7"/>
      <c r="BS10" s="7" t="s">
        <v>573</v>
      </c>
      <c r="BT10" s="7" t="s">
        <v>573</v>
      </c>
      <c r="BU10" s="7" t="s">
        <v>573</v>
      </c>
      <c r="BV10" s="7"/>
      <c r="BW10" s="8" t="s">
        <v>254</v>
      </c>
      <c r="BX10" s="8" t="s">
        <v>213</v>
      </c>
      <c r="BY10" s="8">
        <v>13987650079</v>
      </c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 s="2" customFormat="1" ht="20.25" customHeight="1">
      <c r="A11" s="8">
        <v>10</v>
      </c>
      <c r="B11" s="8">
        <v>201805010</v>
      </c>
      <c r="C11" s="55" t="s">
        <v>649</v>
      </c>
      <c r="D11" s="8">
        <v>730</v>
      </c>
      <c r="E11" s="17">
        <v>2018012001</v>
      </c>
      <c r="F11" s="8">
        <v>55600</v>
      </c>
      <c r="G11" s="8" t="s">
        <v>212</v>
      </c>
      <c r="H11" s="8">
        <v>33</v>
      </c>
      <c r="I11" s="19">
        <v>43207</v>
      </c>
      <c r="J11" s="8"/>
      <c r="K11" s="8"/>
      <c r="L11" s="8">
        <v>13987651952</v>
      </c>
      <c r="M11" s="8"/>
      <c r="N11" s="8"/>
      <c r="O11" s="8">
        <v>1981</v>
      </c>
      <c r="P11" s="17" t="s">
        <v>454</v>
      </c>
      <c r="Q11" s="17" t="s">
        <v>107</v>
      </c>
      <c r="R11" s="8" t="s">
        <v>471</v>
      </c>
      <c r="S11" s="8"/>
      <c r="T11" s="8" t="s">
        <v>108</v>
      </c>
      <c r="U11" s="8"/>
      <c r="V11" s="8" t="s">
        <v>252</v>
      </c>
      <c r="W11" s="8"/>
      <c r="X11" s="8" t="s">
        <v>44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9"/>
      <c r="AK11" s="8"/>
      <c r="AL11" s="8"/>
      <c r="AM11" s="8"/>
      <c r="AN11" s="8"/>
      <c r="AO11" s="8" t="s">
        <v>105</v>
      </c>
      <c r="AP11" s="8" t="s">
        <v>472</v>
      </c>
      <c r="AQ11" s="8" t="s">
        <v>85</v>
      </c>
      <c r="AR11" s="8">
        <v>37</v>
      </c>
      <c r="AS11" s="8">
        <v>7</v>
      </c>
      <c r="AT11" s="8" t="s">
        <v>89</v>
      </c>
      <c r="AU11" s="8" t="s">
        <v>459</v>
      </c>
      <c r="AV11" s="8"/>
      <c r="AW11" s="8" t="s">
        <v>473</v>
      </c>
      <c r="AX11" s="8"/>
      <c r="AY11" s="8"/>
      <c r="AZ11" s="8"/>
      <c r="BA11" s="8"/>
      <c r="BB11" s="8"/>
      <c r="BC11" s="8"/>
      <c r="BD11" s="19">
        <v>43193</v>
      </c>
      <c r="BE11" s="20">
        <v>0.41666666666666669</v>
      </c>
      <c r="BF11" s="8" t="s">
        <v>255</v>
      </c>
      <c r="BG11" s="8"/>
      <c r="BH11" s="8"/>
      <c r="BI11" s="8" t="s">
        <v>458</v>
      </c>
      <c r="BJ11" s="8"/>
      <c r="BK11" s="8"/>
      <c r="BL11" s="8"/>
      <c r="BM11" s="8"/>
      <c r="BN11" s="8"/>
      <c r="BO11" s="8"/>
      <c r="BP11" s="8" t="s">
        <v>474</v>
      </c>
      <c r="BQ11" s="7" t="s">
        <v>573</v>
      </c>
      <c r="BR11" s="7"/>
      <c r="BS11" s="7" t="s">
        <v>573</v>
      </c>
      <c r="BT11" s="7" t="s">
        <v>573</v>
      </c>
      <c r="BU11" s="7" t="s">
        <v>573</v>
      </c>
      <c r="BV11" s="7"/>
      <c r="BW11" s="8" t="s">
        <v>256</v>
      </c>
      <c r="BX11" s="8" t="s">
        <v>213</v>
      </c>
      <c r="BY11" s="8">
        <v>15808712566</v>
      </c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2" spans="1:90" s="2" customFormat="1" ht="20.25" customHeight="1">
      <c r="A12" s="8">
        <v>11</v>
      </c>
      <c r="B12" s="8">
        <v>201805011</v>
      </c>
      <c r="C12" s="55" t="s">
        <v>650</v>
      </c>
      <c r="D12" s="8">
        <v>813</v>
      </c>
      <c r="E12" s="17">
        <v>2018012502</v>
      </c>
      <c r="F12" s="8">
        <v>30800</v>
      </c>
      <c r="G12" s="8" t="s">
        <v>216</v>
      </c>
      <c r="H12" s="8">
        <v>26</v>
      </c>
      <c r="I12" s="19">
        <v>43246</v>
      </c>
      <c r="J12" s="8"/>
      <c r="K12" s="8"/>
      <c r="L12" s="8">
        <v>15087006240</v>
      </c>
      <c r="M12" s="8"/>
      <c r="N12" s="8"/>
      <c r="O12" s="8">
        <v>1982</v>
      </c>
      <c r="P12" s="17" t="s">
        <v>257</v>
      </c>
      <c r="Q12" s="17" t="s">
        <v>110</v>
      </c>
      <c r="R12" s="8" t="s">
        <v>258</v>
      </c>
      <c r="S12" s="8"/>
      <c r="T12" s="8" t="s">
        <v>259</v>
      </c>
      <c r="U12" s="8"/>
      <c r="V12" s="8" t="s">
        <v>45</v>
      </c>
      <c r="W12" s="8" t="s">
        <v>560</v>
      </c>
      <c r="X12" s="8" t="s">
        <v>44</v>
      </c>
      <c r="Y12" s="8" t="s">
        <v>561</v>
      </c>
      <c r="Z12" s="8" t="s">
        <v>531</v>
      </c>
      <c r="AA12" s="8"/>
      <c r="AB12" s="8"/>
      <c r="AC12" s="8"/>
      <c r="AD12" s="8"/>
      <c r="AE12" s="8"/>
      <c r="AF12" s="8"/>
      <c r="AG12" s="8"/>
      <c r="AH12" s="8"/>
      <c r="AI12" s="8"/>
      <c r="AJ12" s="9"/>
      <c r="AK12" s="8"/>
      <c r="AL12" s="8" t="s">
        <v>561</v>
      </c>
      <c r="AM12" s="8" t="s">
        <v>561</v>
      </c>
      <c r="AN12" s="8" t="s">
        <v>563</v>
      </c>
      <c r="AO12" s="8" t="s">
        <v>109</v>
      </c>
      <c r="AP12" s="7" t="s">
        <v>507</v>
      </c>
      <c r="AQ12" s="8" t="s">
        <v>90</v>
      </c>
      <c r="AR12" s="8">
        <v>36</v>
      </c>
      <c r="AS12" s="8"/>
      <c r="AT12" s="8" t="s">
        <v>84</v>
      </c>
      <c r="AU12" s="8" t="s">
        <v>48</v>
      </c>
      <c r="AV12" s="8" t="s">
        <v>561</v>
      </c>
      <c r="AW12" s="8"/>
      <c r="AX12" s="8"/>
      <c r="AY12" s="8">
        <v>77.8</v>
      </c>
      <c r="AZ12" s="8"/>
      <c r="BA12" s="8"/>
      <c r="BB12" s="8"/>
      <c r="BC12" s="8"/>
      <c r="BD12" s="19">
        <v>43243</v>
      </c>
      <c r="BE12" s="20">
        <v>0.59097222222222223</v>
      </c>
      <c r="BF12" s="8"/>
      <c r="BG12" s="8" t="s">
        <v>260</v>
      </c>
      <c r="BH12" s="8"/>
      <c r="BI12" s="8" t="s">
        <v>70</v>
      </c>
      <c r="BJ12" s="8">
        <v>3250</v>
      </c>
      <c r="BK12" s="8">
        <v>49</v>
      </c>
      <c r="BL12" s="8"/>
      <c r="BM12" s="8">
        <v>3270</v>
      </c>
      <c r="BN12" s="8"/>
      <c r="BO12" s="7" t="s">
        <v>509</v>
      </c>
      <c r="BP12" s="7" t="s">
        <v>508</v>
      </c>
      <c r="BQ12" s="8"/>
      <c r="BR12" s="8"/>
      <c r="BS12" s="8" t="s">
        <v>90</v>
      </c>
      <c r="BT12" s="8"/>
      <c r="BU12" s="8"/>
      <c r="BV12" s="8"/>
      <c r="BW12" s="8" t="s">
        <v>261</v>
      </c>
      <c r="BX12" s="8" t="s">
        <v>213</v>
      </c>
      <c r="BY12" s="8">
        <v>13888363439</v>
      </c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1:90" s="2" customFormat="1" ht="20.25" customHeight="1">
      <c r="A13" s="8">
        <v>12</v>
      </c>
      <c r="B13" s="8">
        <v>201805012</v>
      </c>
      <c r="C13" s="8" t="s">
        <v>111</v>
      </c>
      <c r="D13" s="8">
        <v>855</v>
      </c>
      <c r="E13" s="17">
        <v>2018012802</v>
      </c>
      <c r="F13" s="8">
        <v>30800</v>
      </c>
      <c r="G13" s="8" t="s">
        <v>216</v>
      </c>
      <c r="H13" s="8">
        <v>26</v>
      </c>
      <c r="I13" s="8"/>
      <c r="J13" s="8"/>
      <c r="K13" s="8"/>
      <c r="L13" s="8">
        <v>18313915568</v>
      </c>
      <c r="M13" s="8"/>
      <c r="N13" s="8"/>
      <c r="O13" s="8">
        <v>1979</v>
      </c>
      <c r="P13" s="18" t="s">
        <v>405</v>
      </c>
      <c r="Q13" s="17" t="s">
        <v>113</v>
      </c>
      <c r="R13" s="8"/>
      <c r="S13" s="8"/>
      <c r="T13" s="7" t="s">
        <v>406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9"/>
      <c r="AK13" s="8"/>
      <c r="AL13" s="7" t="s">
        <v>407</v>
      </c>
      <c r="AM13" s="8"/>
      <c r="AN13" s="8"/>
      <c r="AO13" s="8" t="s">
        <v>112</v>
      </c>
      <c r="AP13" s="8"/>
      <c r="AQ13" s="8" t="s">
        <v>90</v>
      </c>
      <c r="AR13" s="8">
        <v>39</v>
      </c>
      <c r="AS13" s="8"/>
      <c r="AT13" s="8" t="s">
        <v>84</v>
      </c>
      <c r="AU13" s="7" t="s">
        <v>377</v>
      </c>
      <c r="AV13" s="8"/>
      <c r="AW13" s="8"/>
      <c r="AX13" s="8"/>
      <c r="AY13" s="8"/>
      <c r="AZ13" s="8"/>
      <c r="BA13" s="8"/>
      <c r="BB13" s="8"/>
      <c r="BC13" s="8"/>
      <c r="BD13" s="19">
        <v>43230</v>
      </c>
      <c r="BE13" s="8"/>
      <c r="BF13" s="8"/>
      <c r="BG13" s="8"/>
      <c r="BH13" s="8"/>
      <c r="BI13" s="7" t="s">
        <v>369</v>
      </c>
      <c r="BJ13" s="8"/>
      <c r="BK13" s="8"/>
      <c r="BL13" s="8"/>
      <c r="BM13" s="8"/>
      <c r="BN13" s="8"/>
      <c r="BO13" s="8"/>
      <c r="BP13" s="8" t="s">
        <v>262</v>
      </c>
      <c r="BQ13" s="8"/>
      <c r="BR13" s="8"/>
      <c r="BS13" s="8" t="s">
        <v>90</v>
      </c>
      <c r="BT13" s="8"/>
      <c r="BU13" s="8"/>
      <c r="BV13" s="8"/>
      <c r="BW13" s="8" t="s">
        <v>263</v>
      </c>
      <c r="BX13" s="8" t="s">
        <v>213</v>
      </c>
      <c r="BY13" s="8">
        <v>13888467479</v>
      </c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1:90" s="2" customFormat="1" ht="20.25" customHeight="1">
      <c r="A14" s="8">
        <v>13</v>
      </c>
      <c r="B14" s="8">
        <v>201805013</v>
      </c>
      <c r="C14" s="8" t="s">
        <v>114</v>
      </c>
      <c r="D14" s="8">
        <v>703</v>
      </c>
      <c r="E14" s="17">
        <v>2018012804</v>
      </c>
      <c r="F14" s="8">
        <v>43800</v>
      </c>
      <c r="G14" s="8" t="s">
        <v>224</v>
      </c>
      <c r="H14" s="8">
        <v>26</v>
      </c>
      <c r="I14" s="8"/>
      <c r="J14" s="8"/>
      <c r="K14" s="8"/>
      <c r="L14" s="8">
        <v>15912126007</v>
      </c>
      <c r="M14" s="8"/>
      <c r="N14" s="8"/>
      <c r="O14" s="8">
        <v>1988</v>
      </c>
      <c r="P14" s="17" t="s">
        <v>264</v>
      </c>
      <c r="Q14" s="17" t="s">
        <v>116</v>
      </c>
      <c r="R14" s="8"/>
      <c r="S14" s="8"/>
      <c r="T14" s="8" t="s">
        <v>265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9"/>
      <c r="AK14" s="8"/>
      <c r="AL14" s="8"/>
      <c r="AM14" s="8"/>
      <c r="AN14" s="8"/>
      <c r="AO14" s="8" t="s">
        <v>115</v>
      </c>
      <c r="AP14" s="8"/>
      <c r="AQ14" s="8" t="s">
        <v>85</v>
      </c>
      <c r="AR14" s="8">
        <v>30</v>
      </c>
      <c r="AS14" s="8"/>
      <c r="AT14" s="8" t="s">
        <v>67</v>
      </c>
      <c r="AU14" s="8"/>
      <c r="AV14" s="8"/>
      <c r="AW14" s="8"/>
      <c r="AX14" s="8"/>
      <c r="AY14" s="8"/>
      <c r="AZ14" s="8"/>
      <c r="BA14" s="8"/>
      <c r="BB14" s="8"/>
      <c r="BC14" s="8"/>
      <c r="BD14" s="19">
        <v>43243</v>
      </c>
      <c r="BE14" s="8"/>
      <c r="BF14" s="8"/>
      <c r="BG14" s="8"/>
      <c r="BH14" s="8"/>
      <c r="BI14" s="8" t="s">
        <v>70</v>
      </c>
      <c r="BJ14" s="8"/>
      <c r="BK14" s="8"/>
      <c r="BL14" s="8"/>
      <c r="BM14" s="8"/>
      <c r="BN14" s="8"/>
      <c r="BO14" s="8"/>
      <c r="BP14" s="8"/>
      <c r="BQ14" s="7" t="s">
        <v>573</v>
      </c>
      <c r="BR14" s="7"/>
      <c r="BS14" s="7" t="s">
        <v>573</v>
      </c>
      <c r="BT14" s="7" t="s">
        <v>573</v>
      </c>
      <c r="BU14" s="7" t="s">
        <v>573</v>
      </c>
      <c r="BV14" s="7"/>
      <c r="BW14" s="8" t="s">
        <v>266</v>
      </c>
      <c r="BX14" s="8" t="s">
        <v>213</v>
      </c>
      <c r="BY14" s="8">
        <v>13888071364</v>
      </c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1:90" s="2" customFormat="1" ht="20.25" customHeight="1">
      <c r="A15" s="8">
        <v>14</v>
      </c>
      <c r="B15" s="8">
        <v>201805014</v>
      </c>
      <c r="C15" s="8" t="s">
        <v>117</v>
      </c>
      <c r="D15" s="8">
        <v>832</v>
      </c>
      <c r="E15" s="17">
        <v>2018012808</v>
      </c>
      <c r="F15" s="8">
        <v>32800</v>
      </c>
      <c r="G15" s="8" t="s">
        <v>212</v>
      </c>
      <c r="H15" s="8">
        <v>26</v>
      </c>
      <c r="I15" s="19">
        <v>43230</v>
      </c>
      <c r="J15" s="8"/>
      <c r="K15" s="8"/>
      <c r="L15" s="8">
        <v>13888231136</v>
      </c>
      <c r="M15" s="8"/>
      <c r="N15" s="8"/>
      <c r="O15" s="8">
        <v>1981</v>
      </c>
      <c r="P15" s="18" t="s">
        <v>419</v>
      </c>
      <c r="Q15" s="18" t="s">
        <v>420</v>
      </c>
      <c r="R15" s="7" t="s">
        <v>422</v>
      </c>
      <c r="S15" s="8"/>
      <c r="T15" s="7" t="s">
        <v>421</v>
      </c>
      <c r="U15" s="8" t="s">
        <v>567</v>
      </c>
      <c r="V15" s="8"/>
      <c r="W15" s="8" t="s">
        <v>560</v>
      </c>
      <c r="X15" s="7" t="s">
        <v>367</v>
      </c>
      <c r="Y15" s="8" t="s">
        <v>561</v>
      </c>
      <c r="Z15" s="8" t="s">
        <v>568</v>
      </c>
      <c r="AA15" s="8"/>
      <c r="AB15" s="8"/>
      <c r="AC15" s="8"/>
      <c r="AD15" s="8"/>
      <c r="AE15" s="8"/>
      <c r="AF15" s="8"/>
      <c r="AG15" s="8"/>
      <c r="AH15" s="8"/>
      <c r="AI15" s="8"/>
      <c r="AJ15" s="9"/>
      <c r="AK15" s="8" t="s">
        <v>561</v>
      </c>
      <c r="AL15" s="8" t="s">
        <v>561</v>
      </c>
      <c r="AM15" s="8" t="s">
        <v>561</v>
      </c>
      <c r="AN15" s="8" t="s">
        <v>563</v>
      </c>
      <c r="AO15" s="8" t="s">
        <v>118</v>
      </c>
      <c r="AP15" s="8" t="s">
        <v>569</v>
      </c>
      <c r="AQ15" s="8" t="s">
        <v>85</v>
      </c>
      <c r="AR15" s="8">
        <v>37</v>
      </c>
      <c r="AS15" s="8">
        <v>4</v>
      </c>
      <c r="AT15" s="8" t="s">
        <v>119</v>
      </c>
      <c r="AU15" s="7" t="s">
        <v>370</v>
      </c>
      <c r="AV15" s="8" t="s">
        <v>561</v>
      </c>
      <c r="AW15" s="7" t="s">
        <v>423</v>
      </c>
      <c r="AX15" s="8"/>
      <c r="AY15" s="8">
        <v>65</v>
      </c>
      <c r="AZ15" s="8"/>
      <c r="BA15" s="8"/>
      <c r="BB15" s="8"/>
      <c r="BC15" s="8"/>
      <c r="BD15" s="19">
        <v>43226</v>
      </c>
      <c r="BE15" s="20">
        <v>0.68055555555555547</v>
      </c>
      <c r="BF15" s="8"/>
      <c r="BG15" s="8"/>
      <c r="BH15" s="8"/>
      <c r="BI15" s="7" t="s">
        <v>369</v>
      </c>
      <c r="BJ15" s="8">
        <v>3430</v>
      </c>
      <c r="BK15" s="8">
        <v>50</v>
      </c>
      <c r="BL15" s="8"/>
      <c r="BM15" s="8">
        <v>3350</v>
      </c>
      <c r="BN15" s="8"/>
      <c r="BO15" s="7" t="s">
        <v>509</v>
      </c>
      <c r="BP15" s="8"/>
      <c r="BQ15" s="7" t="s">
        <v>573</v>
      </c>
      <c r="BR15" s="7"/>
      <c r="BS15" s="7" t="s">
        <v>573</v>
      </c>
      <c r="BT15" s="7" t="s">
        <v>573</v>
      </c>
      <c r="BU15" s="7" t="s">
        <v>573</v>
      </c>
      <c r="BV15" s="7"/>
      <c r="BW15" s="8" t="s">
        <v>267</v>
      </c>
      <c r="BX15" s="8" t="s">
        <v>213</v>
      </c>
      <c r="BY15" s="8">
        <v>13518795909</v>
      </c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1:90" s="2" customFormat="1" ht="20.25" customHeight="1">
      <c r="A16" s="8">
        <v>15</v>
      </c>
      <c r="B16" s="8">
        <v>201805015</v>
      </c>
      <c r="C16" s="8" t="s">
        <v>120</v>
      </c>
      <c r="D16" s="8">
        <v>713</v>
      </c>
      <c r="E16" s="17">
        <v>2018013101</v>
      </c>
      <c r="F16" s="8">
        <v>31800</v>
      </c>
      <c r="G16" s="8" t="s">
        <v>216</v>
      </c>
      <c r="H16" s="8">
        <v>26</v>
      </c>
      <c r="I16" s="8"/>
      <c r="J16" s="8"/>
      <c r="K16" s="8"/>
      <c r="L16" s="8">
        <v>15969591296</v>
      </c>
      <c r="M16" s="8"/>
      <c r="N16" s="8"/>
      <c r="O16" s="8">
        <v>1986</v>
      </c>
      <c r="P16" s="17" t="s">
        <v>385</v>
      </c>
      <c r="Q16" s="17" t="s">
        <v>122</v>
      </c>
      <c r="R16" s="8" t="s">
        <v>388</v>
      </c>
      <c r="S16" s="8"/>
      <c r="T16" s="8" t="s">
        <v>386</v>
      </c>
      <c r="U16" s="8"/>
      <c r="V16" s="8" t="s">
        <v>387</v>
      </c>
      <c r="W16" s="8"/>
      <c r="X16" s="8" t="s">
        <v>367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9"/>
      <c r="AK16" s="8"/>
      <c r="AL16" s="8"/>
      <c r="AM16" s="8"/>
      <c r="AN16" s="8"/>
      <c r="AO16" s="8" t="s">
        <v>121</v>
      </c>
      <c r="AP16" s="8"/>
      <c r="AQ16" s="8" t="s">
        <v>85</v>
      </c>
      <c r="AR16" s="8">
        <v>32</v>
      </c>
      <c r="AS16" s="8">
        <v>4</v>
      </c>
      <c r="AT16" s="8" t="s">
        <v>94</v>
      </c>
      <c r="AU16" s="8" t="s">
        <v>377</v>
      </c>
      <c r="AV16" s="8"/>
      <c r="AW16" s="8" t="s">
        <v>389</v>
      </c>
      <c r="AX16" s="8"/>
      <c r="AY16" s="8"/>
      <c r="AZ16" s="8"/>
      <c r="BA16" s="8"/>
      <c r="BB16" s="8"/>
      <c r="BC16" s="8"/>
      <c r="BD16" s="19">
        <v>43231</v>
      </c>
      <c r="BE16" s="20">
        <v>0.50347222222222221</v>
      </c>
      <c r="BF16" s="8"/>
      <c r="BG16" s="8"/>
      <c r="BH16" s="8"/>
      <c r="BI16" s="8" t="s">
        <v>369</v>
      </c>
      <c r="BJ16" s="8">
        <v>3060</v>
      </c>
      <c r="BK16" s="8"/>
      <c r="BL16" s="8"/>
      <c r="BM16" s="8"/>
      <c r="BN16" s="8"/>
      <c r="BO16" s="8"/>
      <c r="BP16" s="8"/>
      <c r="BQ16" s="8"/>
      <c r="BR16" s="8"/>
      <c r="BS16" s="8" t="s">
        <v>163</v>
      </c>
      <c r="BT16" s="8"/>
      <c r="BU16" s="8"/>
      <c r="BV16" s="8"/>
      <c r="BW16" s="8" t="s">
        <v>268</v>
      </c>
      <c r="BX16" s="8" t="s">
        <v>213</v>
      </c>
      <c r="BY16" s="8">
        <v>15887162696</v>
      </c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1:90" s="2" customFormat="1" ht="20.25" customHeight="1">
      <c r="A17" s="8">
        <v>16</v>
      </c>
      <c r="B17" s="8">
        <v>201805016</v>
      </c>
      <c r="C17" s="8" t="s">
        <v>123</v>
      </c>
      <c r="D17" s="8">
        <v>733</v>
      </c>
      <c r="E17" s="17">
        <v>2018013103</v>
      </c>
      <c r="F17" s="8">
        <v>32800</v>
      </c>
      <c r="G17" s="8" t="s">
        <v>212</v>
      </c>
      <c r="H17" s="8">
        <v>26</v>
      </c>
      <c r="I17" s="19">
        <v>43248</v>
      </c>
      <c r="J17" s="8"/>
      <c r="K17" s="8"/>
      <c r="L17" s="8">
        <v>13700631815</v>
      </c>
      <c r="M17" s="8"/>
      <c r="N17" s="8"/>
      <c r="O17" s="8">
        <v>1989</v>
      </c>
      <c r="P17" s="17">
        <v>43390</v>
      </c>
      <c r="Q17" s="17" t="s">
        <v>125</v>
      </c>
      <c r="R17" s="8" t="s">
        <v>269</v>
      </c>
      <c r="S17" s="8"/>
      <c r="T17" s="8" t="s">
        <v>270</v>
      </c>
      <c r="U17" s="8"/>
      <c r="V17" s="8" t="s">
        <v>271</v>
      </c>
      <c r="W17" s="8"/>
      <c r="X17" s="8" t="s">
        <v>44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9"/>
      <c r="AK17" s="8"/>
      <c r="AL17" s="8"/>
      <c r="AM17" s="8"/>
      <c r="AN17" s="8"/>
      <c r="AO17" s="8" t="s">
        <v>124</v>
      </c>
      <c r="AP17" s="8"/>
      <c r="AQ17" s="8" t="s">
        <v>85</v>
      </c>
      <c r="AR17" s="8">
        <v>29</v>
      </c>
      <c r="AS17" s="8">
        <v>5</v>
      </c>
      <c r="AT17" s="8" t="s">
        <v>94</v>
      </c>
      <c r="AU17" s="8" t="s">
        <v>48</v>
      </c>
      <c r="AV17" s="8"/>
      <c r="AW17" s="8" t="s">
        <v>272</v>
      </c>
      <c r="AX17" s="8"/>
      <c r="AY17" s="8"/>
      <c r="AZ17" s="8"/>
      <c r="BA17" s="8"/>
      <c r="BB17" s="8"/>
      <c r="BC17" s="8"/>
      <c r="BD17" s="19">
        <v>43244</v>
      </c>
      <c r="BE17" s="20">
        <v>1.0416666666666701E-2</v>
      </c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7" t="s">
        <v>573</v>
      </c>
      <c r="BR17" s="7"/>
      <c r="BS17" s="7" t="s">
        <v>573</v>
      </c>
      <c r="BT17" s="7" t="s">
        <v>573</v>
      </c>
      <c r="BU17" s="7" t="s">
        <v>573</v>
      </c>
      <c r="BV17" s="7"/>
      <c r="BW17" s="8" t="s">
        <v>273</v>
      </c>
      <c r="BX17" s="8" t="s">
        <v>213</v>
      </c>
      <c r="BY17" s="8">
        <v>13708850884</v>
      </c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1:90" s="2" customFormat="1" ht="20.25" customHeight="1">
      <c r="A18" s="8">
        <v>17</v>
      </c>
      <c r="B18" s="8">
        <v>201805017</v>
      </c>
      <c r="C18" s="8" t="s">
        <v>126</v>
      </c>
      <c r="D18" s="8">
        <v>820</v>
      </c>
      <c r="E18" s="17">
        <v>2018021701</v>
      </c>
      <c r="F18" s="8">
        <v>35800</v>
      </c>
      <c r="G18" s="8" t="s">
        <v>212</v>
      </c>
      <c r="H18" s="8">
        <v>26</v>
      </c>
      <c r="I18" s="19">
        <v>43225</v>
      </c>
      <c r="J18" s="8"/>
      <c r="K18" s="8"/>
      <c r="L18" s="8">
        <v>13529098697</v>
      </c>
      <c r="M18" s="8"/>
      <c r="N18" s="8"/>
      <c r="O18" s="8">
        <v>1986</v>
      </c>
      <c r="P18" s="18" t="s">
        <v>446</v>
      </c>
      <c r="Q18" s="17" t="s">
        <v>127</v>
      </c>
      <c r="R18" s="7" t="s">
        <v>449</v>
      </c>
      <c r="S18" s="8"/>
      <c r="T18" s="7" t="s">
        <v>447</v>
      </c>
      <c r="U18" s="8"/>
      <c r="V18" s="7" t="s">
        <v>402</v>
      </c>
      <c r="W18" s="8" t="s">
        <v>536</v>
      </c>
      <c r="X18" s="7" t="s">
        <v>367</v>
      </c>
      <c r="Y18" s="8" t="s">
        <v>533</v>
      </c>
      <c r="Z18" s="8" t="s">
        <v>535</v>
      </c>
      <c r="AA18" s="8"/>
      <c r="AB18" s="8"/>
      <c r="AC18" s="8"/>
      <c r="AD18" s="8"/>
      <c r="AE18" s="8"/>
      <c r="AF18" s="8"/>
      <c r="AG18" s="8"/>
      <c r="AH18" s="8"/>
      <c r="AI18" s="8"/>
      <c r="AJ18" s="9"/>
      <c r="AK18" s="8" t="s">
        <v>533</v>
      </c>
      <c r="AL18" s="8" t="s">
        <v>533</v>
      </c>
      <c r="AM18" s="8" t="s">
        <v>533</v>
      </c>
      <c r="AN18" s="8" t="s">
        <v>532</v>
      </c>
      <c r="AO18" s="8" t="s">
        <v>87</v>
      </c>
      <c r="AP18" s="8" t="s">
        <v>541</v>
      </c>
      <c r="AQ18" s="8" t="s">
        <v>85</v>
      </c>
      <c r="AR18" s="8">
        <v>32</v>
      </c>
      <c r="AS18" s="8">
        <v>4</v>
      </c>
      <c r="AT18" s="8" t="s">
        <v>67</v>
      </c>
      <c r="AU18" s="7" t="s">
        <v>370</v>
      </c>
      <c r="AV18" s="8"/>
      <c r="AW18" s="7" t="s">
        <v>450</v>
      </c>
      <c r="AX18" s="8"/>
      <c r="AY18" s="8">
        <v>64.2</v>
      </c>
      <c r="AZ18" s="8"/>
      <c r="BA18" s="8" t="s">
        <v>540</v>
      </c>
      <c r="BB18" s="8"/>
      <c r="BC18" s="8"/>
      <c r="BD18" s="19">
        <v>43221</v>
      </c>
      <c r="BE18" s="20">
        <v>0.47500000000000003</v>
      </c>
      <c r="BF18" s="8"/>
      <c r="BG18" s="8"/>
      <c r="BH18" s="8"/>
      <c r="BI18" s="7" t="s">
        <v>369</v>
      </c>
      <c r="BJ18" s="8">
        <v>3055</v>
      </c>
      <c r="BK18" s="8"/>
      <c r="BL18" s="8"/>
      <c r="BM18" s="8">
        <v>3020</v>
      </c>
      <c r="BN18" s="8"/>
      <c r="BO18" s="8"/>
      <c r="BP18" s="8" t="s">
        <v>542</v>
      </c>
      <c r="BQ18" s="7" t="s">
        <v>573</v>
      </c>
      <c r="BR18" s="7"/>
      <c r="BS18" s="7" t="s">
        <v>573</v>
      </c>
      <c r="BT18" s="7" t="s">
        <v>573</v>
      </c>
      <c r="BU18" s="7" t="s">
        <v>573</v>
      </c>
      <c r="BV18" s="7"/>
      <c r="BW18" s="8" t="s">
        <v>274</v>
      </c>
      <c r="BX18" s="8" t="s">
        <v>213</v>
      </c>
      <c r="BY18" s="8">
        <v>13808723423</v>
      </c>
      <c r="BZ18" s="8"/>
      <c r="CA18" s="8"/>
      <c r="CB18" s="8"/>
      <c r="CC18" s="7" t="s">
        <v>448</v>
      </c>
      <c r="CD18" s="8"/>
      <c r="CE18" s="8">
        <v>13099966866</v>
      </c>
      <c r="CF18" s="8"/>
      <c r="CG18" s="8"/>
      <c r="CH18" s="8"/>
      <c r="CI18" s="8"/>
      <c r="CJ18" s="8"/>
      <c r="CK18" s="8"/>
      <c r="CL18" s="8"/>
    </row>
    <row r="19" spans="1:90" s="2" customFormat="1" ht="20.25" customHeight="1">
      <c r="A19" s="8">
        <v>18</v>
      </c>
      <c r="B19" s="8">
        <v>201805018</v>
      </c>
      <c r="C19" s="8" t="s">
        <v>128</v>
      </c>
      <c r="D19" s="8">
        <v>805</v>
      </c>
      <c r="E19" s="17">
        <v>2018022302</v>
      </c>
      <c r="F19" s="8">
        <v>10800</v>
      </c>
      <c r="G19" s="8" t="s">
        <v>212</v>
      </c>
      <c r="H19" s="8">
        <v>7</v>
      </c>
      <c r="I19" s="19">
        <v>43251</v>
      </c>
      <c r="J19" s="8"/>
      <c r="K19" s="8"/>
      <c r="L19" s="8">
        <v>13888157726</v>
      </c>
      <c r="M19" s="8"/>
      <c r="N19" s="8"/>
      <c r="O19" s="8">
        <v>1982</v>
      </c>
      <c r="P19" s="17">
        <v>2.19</v>
      </c>
      <c r="Q19" s="17" t="s">
        <v>130</v>
      </c>
      <c r="R19" s="8" t="s">
        <v>275</v>
      </c>
      <c r="S19" s="8"/>
      <c r="T19" s="8" t="s">
        <v>276</v>
      </c>
      <c r="U19" s="8"/>
      <c r="V19" s="8"/>
      <c r="W19" s="8"/>
      <c r="X19" s="8" t="s">
        <v>44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9"/>
      <c r="AK19" s="8"/>
      <c r="AL19" s="8"/>
      <c r="AM19" s="8"/>
      <c r="AN19" s="8"/>
      <c r="AO19" s="8" t="s">
        <v>129</v>
      </c>
      <c r="AP19" s="8"/>
      <c r="AQ19" s="8" t="s">
        <v>90</v>
      </c>
      <c r="AR19" s="8">
        <v>37</v>
      </c>
      <c r="AS19" s="8"/>
      <c r="AT19" s="8" t="s">
        <v>84</v>
      </c>
      <c r="AU19" s="8" t="s">
        <v>48</v>
      </c>
      <c r="AV19" s="8"/>
      <c r="AW19" s="8"/>
      <c r="AX19" s="8"/>
      <c r="AY19" s="8"/>
      <c r="AZ19" s="8"/>
      <c r="BA19" s="8"/>
      <c r="BB19" s="8"/>
      <c r="BC19" s="8"/>
      <c r="BD19" s="19">
        <v>43247</v>
      </c>
      <c r="BE19" s="8"/>
      <c r="BF19" s="8"/>
      <c r="BG19" s="8"/>
      <c r="BH19" s="8"/>
      <c r="BI19" s="8" t="s">
        <v>41</v>
      </c>
      <c r="BJ19" s="8"/>
      <c r="BK19" s="8"/>
      <c r="BL19" s="8"/>
      <c r="BM19" s="8"/>
      <c r="BN19" s="8"/>
      <c r="BO19" s="8"/>
      <c r="BP19" s="8"/>
      <c r="BQ19" s="7" t="s">
        <v>573</v>
      </c>
      <c r="BR19" s="7"/>
      <c r="BS19" s="7" t="s">
        <v>573</v>
      </c>
      <c r="BT19" s="7" t="s">
        <v>573</v>
      </c>
      <c r="BU19" s="7" t="s">
        <v>573</v>
      </c>
      <c r="BV19" s="7"/>
      <c r="BW19" s="8" t="s">
        <v>277</v>
      </c>
      <c r="BX19" s="8" t="s">
        <v>213</v>
      </c>
      <c r="BY19" s="8">
        <v>18687194563</v>
      </c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1:90" s="2" customFormat="1" ht="20.25" customHeight="1">
      <c r="A20" s="8">
        <v>19</v>
      </c>
      <c r="B20" s="8">
        <v>201805019</v>
      </c>
      <c r="C20" s="8" t="s">
        <v>131</v>
      </c>
      <c r="D20" s="8">
        <v>712</v>
      </c>
      <c r="E20" s="17">
        <v>2018022601</v>
      </c>
      <c r="F20" s="8">
        <v>34300</v>
      </c>
      <c r="G20" s="8" t="s">
        <v>216</v>
      </c>
      <c r="H20" s="8">
        <v>26</v>
      </c>
      <c r="I20" s="8"/>
      <c r="J20" s="8"/>
      <c r="K20" s="8"/>
      <c r="L20" s="8">
        <v>18687798770</v>
      </c>
      <c r="M20" s="8"/>
      <c r="N20" s="8"/>
      <c r="O20" s="8">
        <v>1987</v>
      </c>
      <c r="P20" s="18" t="s">
        <v>400</v>
      </c>
      <c r="Q20" s="17" t="s">
        <v>133</v>
      </c>
      <c r="R20" s="7" t="s">
        <v>403</v>
      </c>
      <c r="S20" s="8"/>
      <c r="T20" s="8" t="s">
        <v>134</v>
      </c>
      <c r="U20" s="8"/>
      <c r="V20" s="7" t="s">
        <v>402</v>
      </c>
      <c r="W20" s="8"/>
      <c r="X20" s="7" t="s">
        <v>401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9"/>
      <c r="AK20" s="8"/>
      <c r="AL20" s="8"/>
      <c r="AM20" s="8"/>
      <c r="AN20" s="8"/>
      <c r="AO20" s="8" t="s">
        <v>132</v>
      </c>
      <c r="AP20" s="8"/>
      <c r="AQ20" s="8" t="s">
        <v>90</v>
      </c>
      <c r="AR20" s="8">
        <v>31</v>
      </c>
      <c r="AS20" s="8">
        <v>4</v>
      </c>
      <c r="AT20" s="8" t="s">
        <v>84</v>
      </c>
      <c r="AU20" s="7" t="s">
        <v>377</v>
      </c>
      <c r="AV20" s="8"/>
      <c r="AW20" s="7" t="s">
        <v>404</v>
      </c>
      <c r="AX20" s="8"/>
      <c r="AY20" s="8"/>
      <c r="AZ20" s="8"/>
      <c r="BA20" s="8"/>
      <c r="BB20" s="8"/>
      <c r="BC20" s="8"/>
      <c r="BD20" s="19">
        <v>43227</v>
      </c>
      <c r="BE20" s="8"/>
      <c r="BF20" s="8"/>
      <c r="BG20" s="8"/>
      <c r="BH20" s="8"/>
      <c r="BI20" s="7" t="s">
        <v>369</v>
      </c>
      <c r="BJ20" s="8">
        <v>3590</v>
      </c>
      <c r="BK20" s="8"/>
      <c r="BL20" s="8"/>
      <c r="BM20" s="8"/>
      <c r="BN20" s="8"/>
      <c r="BO20" s="8"/>
      <c r="BP20" s="8"/>
      <c r="BQ20" s="7" t="s">
        <v>573</v>
      </c>
      <c r="BR20" s="7"/>
      <c r="BS20" s="7" t="s">
        <v>573</v>
      </c>
      <c r="BT20" s="7" t="s">
        <v>573</v>
      </c>
      <c r="BU20" s="7" t="s">
        <v>573</v>
      </c>
      <c r="BV20" s="7"/>
      <c r="BW20" s="8" t="s">
        <v>278</v>
      </c>
      <c r="BX20" s="8" t="s">
        <v>213</v>
      </c>
      <c r="BY20" s="8">
        <v>17787477598</v>
      </c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1:90" s="2" customFormat="1" ht="20.25" customHeight="1">
      <c r="A21" s="8">
        <v>20</v>
      </c>
      <c r="B21" s="8">
        <v>201805020</v>
      </c>
      <c r="C21" s="8" t="s">
        <v>42</v>
      </c>
      <c r="D21" s="8">
        <v>825</v>
      </c>
      <c r="E21" s="17">
        <v>2018030901</v>
      </c>
      <c r="F21" s="8">
        <v>35685</v>
      </c>
      <c r="G21" s="8" t="s">
        <v>212</v>
      </c>
      <c r="H21" s="8">
        <v>29</v>
      </c>
      <c r="I21" s="17" t="s">
        <v>52</v>
      </c>
      <c r="J21" s="8"/>
      <c r="K21" s="8"/>
      <c r="L21" s="8">
        <v>13888438799</v>
      </c>
      <c r="M21" s="8"/>
      <c r="N21" s="8"/>
      <c r="O21" s="8">
        <v>1975</v>
      </c>
      <c r="P21" s="17" t="s">
        <v>397</v>
      </c>
      <c r="Q21" s="17" t="s">
        <v>43</v>
      </c>
      <c r="R21" s="8"/>
      <c r="S21" s="8"/>
      <c r="T21" s="8" t="s">
        <v>398</v>
      </c>
      <c r="U21" s="8"/>
      <c r="V21" s="8" t="s">
        <v>45</v>
      </c>
      <c r="W21" s="8" t="s">
        <v>37</v>
      </c>
      <c r="X21" s="8" t="s">
        <v>44</v>
      </c>
      <c r="Y21" s="8" t="s">
        <v>38</v>
      </c>
      <c r="Z21" s="8" t="s">
        <v>39</v>
      </c>
      <c r="AA21" s="8"/>
      <c r="AB21" s="8"/>
      <c r="AC21" s="8"/>
      <c r="AD21" s="8"/>
      <c r="AE21" s="8"/>
      <c r="AF21" s="8"/>
      <c r="AG21" s="8"/>
      <c r="AH21" s="8"/>
      <c r="AI21" s="8"/>
      <c r="AJ21" s="9" t="s">
        <v>491</v>
      </c>
      <c r="AK21" s="8" t="s">
        <v>38</v>
      </c>
      <c r="AL21" s="8" t="s">
        <v>38</v>
      </c>
      <c r="AM21" s="8" t="s">
        <v>38</v>
      </c>
      <c r="AN21" s="8" t="s">
        <v>47</v>
      </c>
      <c r="AO21" s="8" t="s">
        <v>135</v>
      </c>
      <c r="AP21" s="8">
        <v>39</v>
      </c>
      <c r="AQ21" s="8" t="s">
        <v>90</v>
      </c>
      <c r="AR21" s="8">
        <v>43</v>
      </c>
      <c r="AS21" s="8">
        <v>5</v>
      </c>
      <c r="AT21" s="21" t="s">
        <v>399</v>
      </c>
      <c r="AU21" s="8" t="s">
        <v>48</v>
      </c>
      <c r="AV21" s="8" t="s">
        <v>46</v>
      </c>
      <c r="AW21" s="8" t="s">
        <v>489</v>
      </c>
      <c r="AX21" s="8"/>
      <c r="AY21" s="8">
        <v>69.599999999999994</v>
      </c>
      <c r="AZ21" s="8"/>
      <c r="BA21" s="8" t="s">
        <v>490</v>
      </c>
      <c r="BB21" s="8"/>
      <c r="BC21" s="8" t="s">
        <v>488</v>
      </c>
      <c r="BD21" s="17" t="s">
        <v>49</v>
      </c>
      <c r="BE21" s="17" t="s">
        <v>50</v>
      </c>
      <c r="BF21" s="8"/>
      <c r="BG21" s="8"/>
      <c r="BH21" s="8"/>
      <c r="BI21" s="8" t="s">
        <v>41</v>
      </c>
      <c r="BJ21" s="8">
        <v>3560</v>
      </c>
      <c r="BK21" s="8">
        <v>51</v>
      </c>
      <c r="BL21" s="8"/>
      <c r="BM21" s="8">
        <v>3500</v>
      </c>
      <c r="BN21" s="8"/>
      <c r="BO21" s="8" t="s">
        <v>51</v>
      </c>
      <c r="BP21" s="8" t="s">
        <v>492</v>
      </c>
      <c r="BQ21" s="7" t="s">
        <v>573</v>
      </c>
      <c r="BR21" s="7"/>
      <c r="BS21" s="7" t="s">
        <v>573</v>
      </c>
      <c r="BT21" s="7" t="s">
        <v>573</v>
      </c>
      <c r="BU21" s="7" t="s">
        <v>573</v>
      </c>
      <c r="BV21" s="7"/>
      <c r="BW21" s="8" t="s">
        <v>279</v>
      </c>
      <c r="BX21" s="8" t="s">
        <v>213</v>
      </c>
      <c r="BY21" s="8">
        <v>13987116996</v>
      </c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1:90" s="2" customFormat="1" ht="20.25" customHeight="1">
      <c r="A22" s="8">
        <v>21</v>
      </c>
      <c r="B22" s="8">
        <v>201805021</v>
      </c>
      <c r="C22" s="8" t="s">
        <v>136</v>
      </c>
      <c r="D22" s="8">
        <v>722</v>
      </c>
      <c r="E22" s="17">
        <v>2018031005</v>
      </c>
      <c r="F22" s="8">
        <v>35800</v>
      </c>
      <c r="G22" s="8" t="s">
        <v>212</v>
      </c>
      <c r="H22" s="8">
        <v>29</v>
      </c>
      <c r="I22" s="8"/>
      <c r="J22" s="8"/>
      <c r="K22" s="8"/>
      <c r="L22" s="8">
        <v>15925160003</v>
      </c>
      <c r="M22" s="8"/>
      <c r="N22" s="8"/>
      <c r="O22" s="8">
        <v>1989</v>
      </c>
      <c r="P22" s="17" t="s">
        <v>462</v>
      </c>
      <c r="Q22" s="17" t="s">
        <v>137</v>
      </c>
      <c r="R22" s="7" t="s">
        <v>451</v>
      </c>
      <c r="S22" s="8"/>
      <c r="T22" s="8" t="s">
        <v>138</v>
      </c>
      <c r="U22" s="8"/>
      <c r="V22" s="8"/>
      <c r="W22" s="8"/>
      <c r="X22" s="7" t="s">
        <v>367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9"/>
      <c r="AK22" s="8"/>
      <c r="AL22" s="8"/>
      <c r="AM22" s="8"/>
      <c r="AN22" s="8"/>
      <c r="AO22" s="8" t="s">
        <v>118</v>
      </c>
      <c r="AP22" s="8"/>
      <c r="AQ22" s="8" t="s">
        <v>85</v>
      </c>
      <c r="AR22" s="8">
        <v>29</v>
      </c>
      <c r="AS22" s="8">
        <v>5</v>
      </c>
      <c r="AT22" s="8" t="s">
        <v>89</v>
      </c>
      <c r="AU22" s="7" t="s">
        <v>377</v>
      </c>
      <c r="AV22" s="8"/>
      <c r="AW22" s="7" t="s">
        <v>452</v>
      </c>
      <c r="AX22" s="8"/>
      <c r="AY22" s="8"/>
      <c r="AZ22" s="8"/>
      <c r="BA22" s="8"/>
      <c r="BB22" s="8"/>
      <c r="BC22" s="8"/>
      <c r="BD22" s="19">
        <v>43218</v>
      </c>
      <c r="BE22" s="8"/>
      <c r="BF22" s="8"/>
      <c r="BG22" s="8"/>
      <c r="BH22" s="8"/>
      <c r="BI22" s="7" t="s">
        <v>369</v>
      </c>
      <c r="BJ22" s="8"/>
      <c r="BK22" s="8"/>
      <c r="BL22" s="8"/>
      <c r="BM22" s="8"/>
      <c r="BN22" s="8"/>
      <c r="BO22" s="8"/>
      <c r="BP22" s="8"/>
      <c r="BQ22" s="8"/>
      <c r="BR22" s="8"/>
      <c r="BS22" s="8" t="s">
        <v>90</v>
      </c>
      <c r="BT22" s="8"/>
      <c r="BU22" s="8"/>
      <c r="BV22" s="8"/>
      <c r="BW22" s="8" t="s">
        <v>280</v>
      </c>
      <c r="BX22" s="8" t="s">
        <v>213</v>
      </c>
      <c r="BY22" s="8">
        <v>15288110003</v>
      </c>
      <c r="BZ22" s="8"/>
      <c r="CA22" s="8"/>
      <c r="CB22" s="8"/>
      <c r="CC22" s="8"/>
      <c r="CD22" s="8"/>
      <c r="CE22" s="8">
        <v>18788103103</v>
      </c>
      <c r="CF22" s="8"/>
      <c r="CG22" s="8"/>
      <c r="CH22" s="8"/>
      <c r="CI22" s="8"/>
      <c r="CJ22" s="8"/>
      <c r="CK22" s="8"/>
      <c r="CL22" s="8"/>
    </row>
    <row r="23" spans="1:90" s="2" customFormat="1" ht="20.25" customHeight="1">
      <c r="A23" s="8">
        <v>22</v>
      </c>
      <c r="B23" s="8">
        <v>201805022</v>
      </c>
      <c r="C23" s="8" t="s">
        <v>139</v>
      </c>
      <c r="D23" s="8">
        <v>730</v>
      </c>
      <c r="E23" s="17">
        <v>2018032403</v>
      </c>
      <c r="F23" s="8">
        <v>35800</v>
      </c>
      <c r="G23" s="8" t="s">
        <v>212</v>
      </c>
      <c r="H23" s="8">
        <v>29</v>
      </c>
      <c r="I23" s="8"/>
      <c r="J23" s="8"/>
      <c r="K23" s="8"/>
      <c r="L23" s="8">
        <v>13681859276</v>
      </c>
      <c r="M23" s="8"/>
      <c r="N23" s="8"/>
      <c r="O23" s="8">
        <v>1990</v>
      </c>
      <c r="P23" s="17" t="s">
        <v>463</v>
      </c>
      <c r="Q23" s="17" t="s">
        <v>141</v>
      </c>
      <c r="R23" s="8" t="s">
        <v>468</v>
      </c>
      <c r="S23" s="8"/>
      <c r="T23" s="8" t="s">
        <v>467</v>
      </c>
      <c r="U23" s="8"/>
      <c r="V23" s="8"/>
      <c r="W23" s="8"/>
      <c r="X23" s="7" t="s">
        <v>367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9"/>
      <c r="AK23" s="8"/>
      <c r="AL23" s="8"/>
      <c r="AM23" s="8"/>
      <c r="AN23" s="8"/>
      <c r="AO23" s="8" t="s">
        <v>140</v>
      </c>
      <c r="AP23" s="8" t="s">
        <v>470</v>
      </c>
      <c r="AQ23" s="8" t="s">
        <v>85</v>
      </c>
      <c r="AR23" s="8">
        <v>28</v>
      </c>
      <c r="AS23" s="8"/>
      <c r="AT23" s="8" t="s">
        <v>89</v>
      </c>
      <c r="AU23" s="8" t="s">
        <v>459</v>
      </c>
      <c r="AV23" s="8"/>
      <c r="AW23" s="8" t="s">
        <v>469</v>
      </c>
      <c r="AX23" s="8"/>
      <c r="AY23" s="8"/>
      <c r="AZ23" s="8"/>
      <c r="BA23" s="8"/>
      <c r="BB23" s="8"/>
      <c r="BC23" s="8"/>
      <c r="BD23" s="19">
        <v>43248</v>
      </c>
      <c r="BE23" s="8"/>
      <c r="BF23" s="8"/>
      <c r="BG23" s="8"/>
      <c r="BH23" s="8"/>
      <c r="BI23" s="8" t="s">
        <v>466</v>
      </c>
      <c r="BJ23" s="8"/>
      <c r="BK23" s="8"/>
      <c r="BL23" s="8"/>
      <c r="BM23" s="8"/>
      <c r="BN23" s="8"/>
      <c r="BO23" s="8"/>
      <c r="BP23" s="8"/>
      <c r="BQ23" s="7" t="s">
        <v>573</v>
      </c>
      <c r="BR23" s="7"/>
      <c r="BS23" s="7" t="s">
        <v>573</v>
      </c>
      <c r="BT23" s="7" t="s">
        <v>573</v>
      </c>
      <c r="BU23" s="7" t="s">
        <v>573</v>
      </c>
      <c r="BV23" s="7"/>
      <c r="BW23" s="8" t="s">
        <v>281</v>
      </c>
      <c r="BX23" s="8" t="s">
        <v>236</v>
      </c>
      <c r="BY23" s="8">
        <v>13888665627</v>
      </c>
      <c r="BZ23" s="8"/>
      <c r="CA23" s="8"/>
      <c r="CB23" s="8"/>
      <c r="CC23" s="8" t="s">
        <v>464</v>
      </c>
      <c r="CD23" s="8" t="s">
        <v>465</v>
      </c>
      <c r="CE23" s="8">
        <v>13120757339</v>
      </c>
      <c r="CF23" s="8"/>
      <c r="CG23" s="8"/>
      <c r="CH23" s="8"/>
      <c r="CI23" s="8"/>
      <c r="CJ23" s="8"/>
      <c r="CK23" s="8"/>
      <c r="CL23" s="8"/>
    </row>
    <row r="24" spans="1:90" s="2" customFormat="1" ht="20.25" customHeight="1">
      <c r="A24" s="8">
        <v>23</v>
      </c>
      <c r="B24" s="8">
        <v>201805023</v>
      </c>
      <c r="C24" s="8" t="s">
        <v>142</v>
      </c>
      <c r="D24" s="8">
        <v>829</v>
      </c>
      <c r="E24" s="17">
        <v>2018032502</v>
      </c>
      <c r="F24" s="8">
        <v>32800</v>
      </c>
      <c r="G24" s="8" t="s">
        <v>216</v>
      </c>
      <c r="H24" s="8">
        <v>29</v>
      </c>
      <c r="I24" s="19">
        <v>43247</v>
      </c>
      <c r="J24" s="8"/>
      <c r="K24" s="8"/>
      <c r="L24" s="8">
        <v>13608818606</v>
      </c>
      <c r="M24" s="8"/>
      <c r="N24" s="8"/>
      <c r="O24" s="8">
        <v>1978</v>
      </c>
      <c r="P24" s="17" t="s">
        <v>282</v>
      </c>
      <c r="Q24" s="17" t="s">
        <v>144</v>
      </c>
      <c r="R24" s="8" t="s">
        <v>283</v>
      </c>
      <c r="S24" s="8"/>
      <c r="T24" s="8" t="s">
        <v>284</v>
      </c>
      <c r="U24" s="8"/>
      <c r="V24" s="8" t="s">
        <v>285</v>
      </c>
      <c r="W24" s="8" t="s">
        <v>496</v>
      </c>
      <c r="X24" s="8" t="s">
        <v>44</v>
      </c>
      <c r="Y24" s="8" t="s">
        <v>497</v>
      </c>
      <c r="Z24" s="8" t="s">
        <v>498</v>
      </c>
      <c r="AA24" s="8"/>
      <c r="AB24" s="8"/>
      <c r="AC24" s="8"/>
      <c r="AD24" s="8"/>
      <c r="AE24" s="8"/>
      <c r="AF24" s="8"/>
      <c r="AG24" s="8"/>
      <c r="AH24" s="8"/>
      <c r="AI24" s="8"/>
      <c r="AJ24" s="9"/>
      <c r="AK24" s="8" t="s">
        <v>497</v>
      </c>
      <c r="AL24" s="8" t="s">
        <v>497</v>
      </c>
      <c r="AM24" s="8" t="s">
        <v>497</v>
      </c>
      <c r="AN24" s="8" t="s">
        <v>501</v>
      </c>
      <c r="AO24" s="8" t="s">
        <v>143</v>
      </c>
      <c r="AP24" s="8" t="s">
        <v>286</v>
      </c>
      <c r="AQ24" s="11" t="s">
        <v>90</v>
      </c>
      <c r="AR24" s="8">
        <v>40</v>
      </c>
      <c r="AS24" s="8"/>
      <c r="AT24" s="21" t="s">
        <v>495</v>
      </c>
      <c r="AU24" s="8" t="s">
        <v>500</v>
      </c>
      <c r="AV24" s="8"/>
      <c r="AW24" s="8" t="s">
        <v>499</v>
      </c>
      <c r="AX24" s="8"/>
      <c r="AY24" s="8">
        <v>63</v>
      </c>
      <c r="AZ24" s="8"/>
      <c r="BA24" s="8" t="s">
        <v>503</v>
      </c>
      <c r="BB24" s="8"/>
      <c r="BC24" s="8"/>
      <c r="BD24" s="19">
        <v>43243</v>
      </c>
      <c r="BE24" s="20">
        <v>0.26041666666666669</v>
      </c>
      <c r="BF24" s="8"/>
      <c r="BG24" s="8"/>
      <c r="BH24" s="8"/>
      <c r="BI24" s="8" t="s">
        <v>70</v>
      </c>
      <c r="BJ24" s="8">
        <v>3250</v>
      </c>
      <c r="BK24" s="8">
        <v>50</v>
      </c>
      <c r="BL24" s="8"/>
      <c r="BM24" s="8">
        <v>3340</v>
      </c>
      <c r="BN24" s="8"/>
      <c r="BO24" s="7" t="s">
        <v>509</v>
      </c>
      <c r="BP24" s="8" t="s">
        <v>557</v>
      </c>
      <c r="BQ24" s="7" t="s">
        <v>573</v>
      </c>
      <c r="BR24" s="7"/>
      <c r="BS24" s="7" t="s">
        <v>573</v>
      </c>
      <c r="BT24" s="7" t="s">
        <v>573</v>
      </c>
      <c r="BU24" s="7" t="s">
        <v>573</v>
      </c>
      <c r="BV24" s="7"/>
      <c r="BW24" s="8" t="s">
        <v>287</v>
      </c>
      <c r="BX24" s="8" t="s">
        <v>213</v>
      </c>
      <c r="BY24" s="8">
        <v>13888203316</v>
      </c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1:90" s="2" customFormat="1" ht="20.25" customHeight="1">
      <c r="A25" s="8">
        <v>24</v>
      </c>
      <c r="B25" s="8">
        <v>201805024</v>
      </c>
      <c r="C25" s="8" t="s">
        <v>145</v>
      </c>
      <c r="D25" s="8">
        <v>815</v>
      </c>
      <c r="E25" s="17">
        <v>2018032602</v>
      </c>
      <c r="F25" s="8">
        <v>32800</v>
      </c>
      <c r="G25" s="8" t="s">
        <v>216</v>
      </c>
      <c r="H25" s="8">
        <v>29</v>
      </c>
      <c r="I25" s="19">
        <v>43247</v>
      </c>
      <c r="J25" s="8"/>
      <c r="K25" s="8"/>
      <c r="L25" s="8">
        <v>13988447343</v>
      </c>
      <c r="M25" s="8"/>
      <c r="N25" s="8"/>
      <c r="O25" s="8">
        <v>1981</v>
      </c>
      <c r="P25" s="17" t="s">
        <v>288</v>
      </c>
      <c r="Q25" s="17" t="s">
        <v>147</v>
      </c>
      <c r="R25" s="8" t="s">
        <v>289</v>
      </c>
      <c r="S25" s="8"/>
      <c r="T25" s="8" t="s">
        <v>148</v>
      </c>
      <c r="U25" s="8"/>
      <c r="V25" s="7" t="s">
        <v>512</v>
      </c>
      <c r="W25" s="7" t="s">
        <v>496</v>
      </c>
      <c r="X25" s="8" t="s">
        <v>44</v>
      </c>
      <c r="Y25" s="7" t="s">
        <v>497</v>
      </c>
      <c r="Z25" s="7" t="s">
        <v>513</v>
      </c>
      <c r="AA25" s="8"/>
      <c r="AB25" s="8"/>
      <c r="AC25" s="8"/>
      <c r="AD25" s="8"/>
      <c r="AE25" s="8"/>
      <c r="AF25" s="8"/>
      <c r="AG25" s="8"/>
      <c r="AH25" s="8"/>
      <c r="AI25" s="8"/>
      <c r="AJ25" s="9"/>
      <c r="AK25" s="8"/>
      <c r="AL25" s="7" t="s">
        <v>497</v>
      </c>
      <c r="AM25" s="7" t="s">
        <v>497</v>
      </c>
      <c r="AN25" s="7" t="s">
        <v>515</v>
      </c>
      <c r="AO25" s="8" t="s">
        <v>146</v>
      </c>
      <c r="AP25" s="7" t="s">
        <v>517</v>
      </c>
      <c r="AQ25" s="8" t="s">
        <v>85</v>
      </c>
      <c r="AR25" s="8">
        <v>37</v>
      </c>
      <c r="AS25" s="8"/>
      <c r="AT25" s="8" t="s">
        <v>84</v>
      </c>
      <c r="AU25" s="8" t="s">
        <v>40</v>
      </c>
      <c r="AV25" s="7" t="s">
        <v>497</v>
      </c>
      <c r="AW25" s="7" t="s">
        <v>514</v>
      </c>
      <c r="AX25" s="7"/>
      <c r="AY25" s="8">
        <v>75.599999999999994</v>
      </c>
      <c r="AZ25" s="8"/>
      <c r="BA25" s="7" t="s">
        <v>516</v>
      </c>
      <c r="BB25" s="8"/>
      <c r="BC25" s="8"/>
      <c r="BD25" s="19">
        <v>43245</v>
      </c>
      <c r="BE25" s="20">
        <v>0.6430555555555556</v>
      </c>
      <c r="BF25" s="8"/>
      <c r="BG25" s="8"/>
      <c r="BH25" s="8"/>
      <c r="BI25" s="7" t="s">
        <v>518</v>
      </c>
      <c r="BJ25" s="8">
        <v>3000</v>
      </c>
      <c r="BK25" s="8">
        <v>49</v>
      </c>
      <c r="BL25" s="8"/>
      <c r="BM25" s="8">
        <v>2830</v>
      </c>
      <c r="BN25" s="8"/>
      <c r="BO25" s="7" t="s">
        <v>502</v>
      </c>
      <c r="BP25" s="7" t="s">
        <v>519</v>
      </c>
      <c r="BQ25" s="8"/>
      <c r="BR25" s="8"/>
      <c r="BS25" s="8" t="s">
        <v>90</v>
      </c>
      <c r="BT25" s="8"/>
      <c r="BU25" s="8"/>
      <c r="BV25" s="8"/>
      <c r="BW25" s="8" t="s">
        <v>290</v>
      </c>
      <c r="BX25" s="8" t="s">
        <v>213</v>
      </c>
      <c r="BY25" s="8">
        <v>13577712902</v>
      </c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1:90" s="2" customFormat="1" ht="20.25" customHeight="1">
      <c r="A26" s="8">
        <v>25</v>
      </c>
      <c r="B26" s="8">
        <v>201805025</v>
      </c>
      <c r="C26" s="8" t="s">
        <v>149</v>
      </c>
      <c r="D26" s="8">
        <v>736</v>
      </c>
      <c r="E26" s="17">
        <v>2018040201</v>
      </c>
      <c r="F26" s="8">
        <v>21850</v>
      </c>
      <c r="G26" s="8" t="s">
        <v>212</v>
      </c>
      <c r="H26" s="8">
        <v>15</v>
      </c>
      <c r="I26" s="8"/>
      <c r="J26" s="8"/>
      <c r="K26" s="8"/>
      <c r="L26" s="8">
        <v>15911624504</v>
      </c>
      <c r="M26" s="8"/>
      <c r="N26" s="8"/>
      <c r="O26" s="8">
        <v>1988</v>
      </c>
      <c r="P26" s="17" t="s">
        <v>291</v>
      </c>
      <c r="Q26" s="17" t="s">
        <v>151</v>
      </c>
      <c r="R26" s="8" t="s">
        <v>292</v>
      </c>
      <c r="S26" s="8"/>
      <c r="T26" s="8" t="s">
        <v>152</v>
      </c>
      <c r="U26" s="8"/>
      <c r="V26" s="8" t="s">
        <v>293</v>
      </c>
      <c r="W26" s="8"/>
      <c r="X26" s="8" t="s">
        <v>44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9"/>
      <c r="AK26" s="8"/>
      <c r="AL26" s="8"/>
      <c r="AM26" s="8"/>
      <c r="AN26" s="8"/>
      <c r="AO26" s="8" t="s">
        <v>150</v>
      </c>
      <c r="AP26" s="8"/>
      <c r="AQ26" s="8" t="s">
        <v>85</v>
      </c>
      <c r="AR26" s="8">
        <v>30</v>
      </c>
      <c r="AS26" s="8"/>
      <c r="AT26" s="8" t="s">
        <v>94</v>
      </c>
      <c r="AU26" s="8" t="s">
        <v>40</v>
      </c>
      <c r="AV26" s="8"/>
      <c r="AW26" s="8"/>
      <c r="AX26" s="8"/>
      <c r="AY26" s="8"/>
      <c r="AZ26" s="8"/>
      <c r="BA26" s="8"/>
      <c r="BB26" s="8"/>
      <c r="BC26" s="8"/>
      <c r="BD26" s="19">
        <v>43234</v>
      </c>
      <c r="BE26" s="8"/>
      <c r="BF26" s="8"/>
      <c r="BG26" s="8"/>
      <c r="BH26" s="8"/>
      <c r="BI26" s="8" t="s">
        <v>41</v>
      </c>
      <c r="BJ26" s="8"/>
      <c r="BK26" s="8"/>
      <c r="BL26" s="8"/>
      <c r="BM26" s="8"/>
      <c r="BN26" s="8"/>
      <c r="BO26" s="8"/>
      <c r="BP26" s="8"/>
      <c r="BQ26" s="7" t="s">
        <v>573</v>
      </c>
      <c r="BR26" s="7"/>
      <c r="BS26" s="7" t="s">
        <v>573</v>
      </c>
      <c r="BT26" s="7" t="s">
        <v>573</v>
      </c>
      <c r="BU26" s="7" t="s">
        <v>573</v>
      </c>
      <c r="BV26" s="7"/>
      <c r="BW26" s="8" t="s">
        <v>294</v>
      </c>
      <c r="BX26" s="8" t="s">
        <v>213</v>
      </c>
      <c r="BY26" s="8">
        <v>15969516951</v>
      </c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1:90" s="2" customFormat="1" ht="20.25" customHeight="1">
      <c r="A27" s="8">
        <v>26</v>
      </c>
      <c r="B27" s="8">
        <v>201805026</v>
      </c>
      <c r="C27" s="8" t="s">
        <v>534</v>
      </c>
      <c r="D27" s="8">
        <v>705</v>
      </c>
      <c r="E27" s="17">
        <v>2018040601</v>
      </c>
      <c r="F27" s="8">
        <v>35800</v>
      </c>
      <c r="G27" s="8" t="s">
        <v>212</v>
      </c>
      <c r="H27" s="8">
        <v>26</v>
      </c>
      <c r="I27" s="8"/>
      <c r="J27" s="8"/>
      <c r="K27" s="8"/>
      <c r="L27" s="8">
        <v>15925156956</v>
      </c>
      <c r="M27" s="8"/>
      <c r="N27" s="8"/>
      <c r="O27" s="11">
        <v>1986</v>
      </c>
      <c r="P27" s="22" t="s">
        <v>238</v>
      </c>
      <c r="Q27" s="22" t="s">
        <v>295</v>
      </c>
      <c r="R27" s="8" t="s">
        <v>296</v>
      </c>
      <c r="S27" s="8"/>
      <c r="T27" s="8" t="s">
        <v>154</v>
      </c>
      <c r="U27" s="8"/>
      <c r="V27" s="8"/>
      <c r="W27" s="8"/>
      <c r="X27" s="8" t="s">
        <v>44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9"/>
      <c r="AK27" s="8"/>
      <c r="AL27" s="8"/>
      <c r="AM27" s="8"/>
      <c r="AN27" s="8"/>
      <c r="AO27" s="8" t="s">
        <v>146</v>
      </c>
      <c r="AP27" s="8"/>
      <c r="AQ27" s="8" t="s">
        <v>90</v>
      </c>
      <c r="AR27" s="8">
        <v>32</v>
      </c>
      <c r="AS27" s="8"/>
      <c r="AT27" s="8" t="s">
        <v>153</v>
      </c>
      <c r="AU27" s="8" t="s">
        <v>48</v>
      </c>
      <c r="AV27" s="8"/>
      <c r="AW27" s="8"/>
      <c r="AX27" s="8"/>
      <c r="AY27" s="8"/>
      <c r="AZ27" s="8"/>
      <c r="BA27" s="8"/>
      <c r="BB27" s="8"/>
      <c r="BC27" s="8"/>
      <c r="BD27" s="19">
        <v>43238</v>
      </c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7" t="s">
        <v>573</v>
      </c>
      <c r="BR27" s="7"/>
      <c r="BS27" s="7" t="s">
        <v>573</v>
      </c>
      <c r="BT27" s="7" t="s">
        <v>573</v>
      </c>
      <c r="BU27" s="7" t="s">
        <v>573</v>
      </c>
      <c r="BV27" s="7"/>
      <c r="BW27" s="8" t="s">
        <v>297</v>
      </c>
      <c r="BX27" s="8" t="s">
        <v>213</v>
      </c>
      <c r="BY27" s="8">
        <v>13769118400</v>
      </c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1:90" s="2" customFormat="1" ht="20.25" customHeight="1">
      <c r="A28" s="8">
        <v>27</v>
      </c>
      <c r="B28" s="8">
        <v>201805027</v>
      </c>
      <c r="C28" s="8" t="s">
        <v>155</v>
      </c>
      <c r="D28" s="8">
        <v>709</v>
      </c>
      <c r="E28" s="17">
        <v>2018041004</v>
      </c>
      <c r="F28" s="8">
        <v>32800</v>
      </c>
      <c r="G28" s="8" t="s">
        <v>216</v>
      </c>
      <c r="H28" s="8">
        <v>26</v>
      </c>
      <c r="I28" s="8"/>
      <c r="J28" s="8"/>
      <c r="K28" s="8"/>
      <c r="L28" s="8">
        <v>13648851967</v>
      </c>
      <c r="M28" s="8"/>
      <c r="N28" s="8"/>
      <c r="O28" s="8">
        <v>1977</v>
      </c>
      <c r="P28" s="17" t="s">
        <v>298</v>
      </c>
      <c r="Q28" s="17" t="s">
        <v>156</v>
      </c>
      <c r="R28" s="8" t="s">
        <v>299</v>
      </c>
      <c r="S28" s="8"/>
      <c r="T28" s="8" t="s">
        <v>157</v>
      </c>
      <c r="U28" s="8"/>
      <c r="V28" s="8" t="s">
        <v>300</v>
      </c>
      <c r="W28" s="8"/>
      <c r="X28" s="8" t="s">
        <v>44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9"/>
      <c r="AK28" s="8"/>
      <c r="AL28" s="8"/>
      <c r="AM28" s="8"/>
      <c r="AN28" s="8"/>
      <c r="AO28" s="8" t="s">
        <v>150</v>
      </c>
      <c r="AP28" s="8"/>
      <c r="AQ28" s="8" t="s">
        <v>90</v>
      </c>
      <c r="AR28" s="8">
        <v>38</v>
      </c>
      <c r="AS28" s="8">
        <v>4</v>
      </c>
      <c r="AT28" s="8" t="s">
        <v>94</v>
      </c>
      <c r="AU28" s="8"/>
      <c r="AV28" s="8"/>
      <c r="AW28" s="8" t="s">
        <v>301</v>
      </c>
      <c r="AX28" s="8"/>
      <c r="AY28" s="8"/>
      <c r="AZ28" s="8"/>
      <c r="BA28" s="8"/>
      <c r="BB28" s="8"/>
      <c r="BC28" s="8"/>
      <c r="BD28" s="19">
        <v>43231</v>
      </c>
      <c r="BE28" s="8"/>
      <c r="BF28" s="8"/>
      <c r="BG28" s="8"/>
      <c r="BH28" s="8"/>
      <c r="BI28" s="8" t="s">
        <v>41</v>
      </c>
      <c r="BJ28" s="8"/>
      <c r="BK28" s="8"/>
      <c r="BL28" s="8"/>
      <c r="BM28" s="8"/>
      <c r="BN28" s="8"/>
      <c r="BO28" s="8"/>
      <c r="BP28" s="8"/>
      <c r="BQ28" s="8"/>
      <c r="BR28" s="8"/>
      <c r="BS28" s="8" t="s">
        <v>90</v>
      </c>
      <c r="BT28" s="8"/>
      <c r="BU28" s="8"/>
      <c r="BV28" s="8"/>
      <c r="BW28" s="8" t="s">
        <v>302</v>
      </c>
      <c r="BX28" s="8" t="s">
        <v>213</v>
      </c>
      <c r="BY28" s="8">
        <v>13368802217</v>
      </c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1:90" s="2" customFormat="1" ht="20.25" customHeight="1">
      <c r="A29" s="8">
        <v>28</v>
      </c>
      <c r="B29" s="8">
        <v>201805028</v>
      </c>
      <c r="C29" s="8" t="s">
        <v>158</v>
      </c>
      <c r="D29" s="8">
        <v>735</v>
      </c>
      <c r="E29" s="17">
        <v>2018041103</v>
      </c>
      <c r="F29" s="8">
        <v>38300</v>
      </c>
      <c r="G29" s="8" t="s">
        <v>212</v>
      </c>
      <c r="H29" s="8">
        <v>26</v>
      </c>
      <c r="I29" s="8"/>
      <c r="J29" s="8"/>
      <c r="K29" s="8"/>
      <c r="L29" s="8">
        <v>13577045872</v>
      </c>
      <c r="M29" s="8"/>
      <c r="N29" s="8"/>
      <c r="O29" s="8">
        <v>1984</v>
      </c>
      <c r="P29" s="18" t="s">
        <v>408</v>
      </c>
      <c r="Q29" s="17" t="s">
        <v>159</v>
      </c>
      <c r="R29" s="7" t="s">
        <v>411</v>
      </c>
      <c r="S29" s="8"/>
      <c r="T29" s="8" t="s">
        <v>160</v>
      </c>
      <c r="U29" s="8"/>
      <c r="V29" s="7" t="s">
        <v>409</v>
      </c>
      <c r="W29" s="8"/>
      <c r="X29" s="7" t="s">
        <v>367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9"/>
      <c r="AK29" s="8"/>
      <c r="AL29" s="8"/>
      <c r="AM29" s="8"/>
      <c r="AN29" s="8"/>
      <c r="AO29" s="8" t="s">
        <v>103</v>
      </c>
      <c r="AP29" s="8"/>
      <c r="AQ29" s="8" t="s">
        <v>85</v>
      </c>
      <c r="AR29" s="8">
        <v>34</v>
      </c>
      <c r="AS29" s="8">
        <v>5</v>
      </c>
      <c r="AT29" s="8" t="s">
        <v>84</v>
      </c>
      <c r="AU29" s="7" t="s">
        <v>370</v>
      </c>
      <c r="AV29" s="8"/>
      <c r="AW29" s="7" t="s">
        <v>412</v>
      </c>
      <c r="AX29" s="8"/>
      <c r="AY29" s="8"/>
      <c r="AZ29" s="8"/>
      <c r="BA29" s="8"/>
      <c r="BB29" s="8"/>
      <c r="BC29" s="8"/>
      <c r="BD29" s="19">
        <v>43229</v>
      </c>
      <c r="BE29" s="8"/>
      <c r="BF29" s="8"/>
      <c r="BG29" s="8"/>
      <c r="BH29" s="8"/>
      <c r="BI29" s="7" t="s">
        <v>369</v>
      </c>
      <c r="BJ29" s="8">
        <v>2745</v>
      </c>
      <c r="BK29" s="8"/>
      <c r="BL29" s="8"/>
      <c r="BM29" s="8"/>
      <c r="BN29" s="8"/>
      <c r="BO29" s="8"/>
      <c r="BP29" s="8"/>
      <c r="BQ29" s="8"/>
      <c r="BR29" s="8"/>
      <c r="BS29" s="8" t="s">
        <v>90</v>
      </c>
      <c r="BT29" s="8"/>
      <c r="BU29" s="8"/>
      <c r="BV29" s="8"/>
      <c r="BW29" s="7" t="s">
        <v>410</v>
      </c>
      <c r="BX29" s="8" t="s">
        <v>213</v>
      </c>
      <c r="BY29" s="8">
        <v>13700629801</v>
      </c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s="2" customFormat="1" ht="20.25" customHeight="1">
      <c r="A30" s="8">
        <v>29</v>
      </c>
      <c r="B30" s="8">
        <v>201805029</v>
      </c>
      <c r="C30" s="8" t="s">
        <v>71</v>
      </c>
      <c r="D30" s="8">
        <v>812</v>
      </c>
      <c r="E30" s="17">
        <v>2018041402</v>
      </c>
      <c r="F30" s="8">
        <v>35300</v>
      </c>
      <c r="G30" s="8" t="s">
        <v>216</v>
      </c>
      <c r="H30" s="8">
        <v>26</v>
      </c>
      <c r="I30" s="8"/>
      <c r="J30" s="8"/>
      <c r="K30" s="8"/>
      <c r="L30" s="8">
        <v>15987157547</v>
      </c>
      <c r="M30" s="8"/>
      <c r="N30" s="8"/>
      <c r="O30" s="8">
        <v>1986</v>
      </c>
      <c r="P30" s="17" t="s">
        <v>303</v>
      </c>
      <c r="Q30" s="17" t="s">
        <v>72</v>
      </c>
      <c r="R30" s="8" t="s">
        <v>304</v>
      </c>
      <c r="S30" s="8"/>
      <c r="T30" s="8" t="s">
        <v>305</v>
      </c>
      <c r="U30" s="8"/>
      <c r="V30" s="8" t="s">
        <v>73</v>
      </c>
      <c r="W30" s="8" t="s">
        <v>37</v>
      </c>
      <c r="X30" s="8" t="s">
        <v>44</v>
      </c>
      <c r="Y30" s="8" t="s">
        <v>38</v>
      </c>
      <c r="Z30" s="8" t="s">
        <v>39</v>
      </c>
      <c r="AA30" s="8"/>
      <c r="AB30" s="8"/>
      <c r="AC30" s="8"/>
      <c r="AD30" s="8"/>
      <c r="AE30" s="8"/>
      <c r="AF30" s="8"/>
      <c r="AG30" s="8"/>
      <c r="AH30" s="8"/>
      <c r="AI30" s="8"/>
      <c r="AJ30" s="8" t="s">
        <v>74</v>
      </c>
      <c r="AK30" s="8" t="s">
        <v>76</v>
      </c>
      <c r="AL30" s="8" t="s">
        <v>75</v>
      </c>
      <c r="AM30" s="8" t="s">
        <v>38</v>
      </c>
      <c r="AN30" s="8" t="s">
        <v>47</v>
      </c>
      <c r="AO30" s="8" t="s">
        <v>150</v>
      </c>
      <c r="AP30" s="8" t="s">
        <v>77</v>
      </c>
      <c r="AQ30" s="8" t="s">
        <v>85</v>
      </c>
      <c r="AR30" s="8">
        <v>32</v>
      </c>
      <c r="AS30" s="8"/>
      <c r="AT30" s="23" t="s">
        <v>571</v>
      </c>
      <c r="AU30" s="8" t="s">
        <v>48</v>
      </c>
      <c r="AV30" s="8"/>
      <c r="AW30" s="8" t="s">
        <v>483</v>
      </c>
      <c r="AX30" s="8"/>
      <c r="AY30" s="8">
        <v>58</v>
      </c>
      <c r="AZ30" s="8"/>
      <c r="BA30" s="8" t="s">
        <v>484</v>
      </c>
      <c r="BB30" s="8"/>
      <c r="BC30" s="8"/>
      <c r="BD30" s="17" t="s">
        <v>78</v>
      </c>
      <c r="BE30" s="17" t="s">
        <v>79</v>
      </c>
      <c r="BF30" s="8"/>
      <c r="BG30" s="8" t="s">
        <v>306</v>
      </c>
      <c r="BH30" s="8"/>
      <c r="BI30" s="8" t="s">
        <v>570</v>
      </c>
      <c r="BJ30" s="8">
        <v>3600</v>
      </c>
      <c r="BK30" s="8">
        <v>52</v>
      </c>
      <c r="BL30" s="8"/>
      <c r="BM30" s="8">
        <v>3750</v>
      </c>
      <c r="BN30" s="8"/>
      <c r="BO30" s="8" t="s">
        <v>51</v>
      </c>
      <c r="BP30" s="7" t="s">
        <v>574</v>
      </c>
      <c r="BQ30" s="7" t="s">
        <v>573</v>
      </c>
      <c r="BR30" s="7"/>
      <c r="BS30" s="7" t="s">
        <v>573</v>
      </c>
      <c r="BT30" s="7" t="s">
        <v>573</v>
      </c>
      <c r="BU30" s="7" t="s">
        <v>573</v>
      </c>
      <c r="BV30" s="7"/>
      <c r="BW30" s="8" t="s">
        <v>307</v>
      </c>
      <c r="BX30" s="8" t="s">
        <v>213</v>
      </c>
      <c r="BY30" s="8">
        <v>18587195404</v>
      </c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1:90" s="2" customFormat="1" ht="20.25" customHeight="1">
      <c r="A31" s="8">
        <v>30</v>
      </c>
      <c r="B31" s="8">
        <v>201805030</v>
      </c>
      <c r="C31" s="8" t="s">
        <v>161</v>
      </c>
      <c r="D31" s="8">
        <v>799</v>
      </c>
      <c r="E31" s="17">
        <v>2018041501</v>
      </c>
      <c r="F31" s="8">
        <v>52800</v>
      </c>
      <c r="G31" s="8" t="s">
        <v>308</v>
      </c>
      <c r="H31" s="8">
        <v>26</v>
      </c>
      <c r="I31" s="8"/>
      <c r="J31" s="8"/>
      <c r="K31" s="8"/>
      <c r="L31" s="8">
        <v>13987653199</v>
      </c>
      <c r="M31" s="8"/>
      <c r="N31" s="8"/>
      <c r="O31" s="8">
        <v>1980</v>
      </c>
      <c r="P31" s="17" t="s">
        <v>309</v>
      </c>
      <c r="Q31" s="17" t="s">
        <v>162</v>
      </c>
      <c r="R31" s="8"/>
      <c r="S31" s="8"/>
      <c r="T31" s="8" t="s">
        <v>164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9"/>
      <c r="AK31" s="8"/>
      <c r="AL31" s="8" t="s">
        <v>310</v>
      </c>
      <c r="AM31" s="8"/>
      <c r="AN31" s="8" t="s">
        <v>66</v>
      </c>
      <c r="AO31" s="8" t="s">
        <v>135</v>
      </c>
      <c r="AP31" s="8"/>
      <c r="AQ31" s="8" t="s">
        <v>163</v>
      </c>
      <c r="AR31" s="8">
        <v>38</v>
      </c>
      <c r="AS31" s="8"/>
      <c r="AT31" s="8" t="s">
        <v>89</v>
      </c>
      <c r="AU31" s="8" t="s">
        <v>40</v>
      </c>
      <c r="AV31" s="8"/>
      <c r="AW31" s="8"/>
      <c r="AX31" s="8"/>
      <c r="AY31" s="8"/>
      <c r="AZ31" s="8"/>
      <c r="BA31" s="8"/>
      <c r="BB31" s="8"/>
      <c r="BC31" s="8"/>
      <c r="BD31" s="19">
        <v>43256</v>
      </c>
      <c r="BE31" s="8"/>
      <c r="BF31" s="8"/>
      <c r="BG31" s="8"/>
      <c r="BH31" s="8"/>
      <c r="BI31" s="8" t="s">
        <v>70</v>
      </c>
      <c r="BJ31" s="8"/>
      <c r="BK31" s="8"/>
      <c r="BL31" s="8"/>
      <c r="BM31" s="8"/>
      <c r="BN31" s="8"/>
      <c r="BO31" s="8"/>
      <c r="BP31" s="8"/>
      <c r="BQ31" s="8"/>
      <c r="BR31" s="8"/>
      <c r="BS31" s="12"/>
      <c r="BT31" s="8"/>
      <c r="BU31" s="8"/>
      <c r="BV31" s="8"/>
      <c r="BW31" s="8" t="s">
        <v>311</v>
      </c>
      <c r="BX31" s="8" t="s">
        <v>213</v>
      </c>
      <c r="BY31" s="8">
        <v>13330635022</v>
      </c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1:90" s="2" customFormat="1" ht="20.25" customHeight="1">
      <c r="A32" s="8">
        <v>31</v>
      </c>
      <c r="B32" s="8">
        <v>201805031</v>
      </c>
      <c r="C32" s="8" t="s">
        <v>165</v>
      </c>
      <c r="D32" s="8">
        <v>708</v>
      </c>
      <c r="E32" s="17">
        <v>2018041602</v>
      </c>
      <c r="F32" s="8">
        <v>37300</v>
      </c>
      <c r="G32" s="8" t="s">
        <v>212</v>
      </c>
      <c r="H32" s="8">
        <v>26</v>
      </c>
      <c r="I32" s="8"/>
      <c r="J32" s="8"/>
      <c r="K32" s="8"/>
      <c r="L32" s="8">
        <v>15887828535</v>
      </c>
      <c r="M32" s="8"/>
      <c r="N32" s="8"/>
      <c r="O32" s="8">
        <v>1987</v>
      </c>
      <c r="P32" s="17" t="s">
        <v>373</v>
      </c>
      <c r="Q32" s="17" t="s">
        <v>167</v>
      </c>
      <c r="R32" s="8" t="s">
        <v>378</v>
      </c>
      <c r="S32" s="8"/>
      <c r="T32" s="8" t="s">
        <v>168</v>
      </c>
      <c r="U32" s="8"/>
      <c r="V32" s="8" t="s">
        <v>374</v>
      </c>
      <c r="W32" s="8"/>
      <c r="X32" s="8" t="s">
        <v>367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9"/>
      <c r="AK32" s="8"/>
      <c r="AL32" s="8"/>
      <c r="AM32" s="8"/>
      <c r="AN32" s="8"/>
      <c r="AO32" s="8" t="s">
        <v>166</v>
      </c>
      <c r="AP32" s="8"/>
      <c r="AQ32" s="8" t="s">
        <v>85</v>
      </c>
      <c r="AR32" s="8">
        <v>31</v>
      </c>
      <c r="AS32" s="8">
        <v>2</v>
      </c>
      <c r="AT32" s="8" t="s">
        <v>84</v>
      </c>
      <c r="AU32" s="8" t="s">
        <v>377</v>
      </c>
      <c r="AV32" s="8"/>
      <c r="AW32" s="8" t="s">
        <v>379</v>
      </c>
      <c r="AX32" s="8"/>
      <c r="AY32" s="8"/>
      <c r="AZ32" s="8"/>
      <c r="BA32" s="8"/>
      <c r="BB32" s="8"/>
      <c r="BC32" s="8"/>
      <c r="BD32" s="8" t="s">
        <v>376</v>
      </c>
      <c r="BE32" s="8"/>
      <c r="BF32" s="8"/>
      <c r="BG32" s="8" t="s">
        <v>375</v>
      </c>
      <c r="BH32" s="8"/>
      <c r="BI32" s="8" t="s">
        <v>369</v>
      </c>
      <c r="BJ32" s="8">
        <v>2375</v>
      </c>
      <c r="BK32" s="8"/>
      <c r="BL32" s="8"/>
      <c r="BM32" s="8"/>
      <c r="BN32" s="8"/>
      <c r="BO32" s="8"/>
      <c r="BP32" s="8"/>
      <c r="BQ32" s="7" t="s">
        <v>573</v>
      </c>
      <c r="BR32" s="7"/>
      <c r="BS32" s="7" t="s">
        <v>573</v>
      </c>
      <c r="BT32" s="7" t="s">
        <v>573</v>
      </c>
      <c r="BU32" s="7" t="s">
        <v>573</v>
      </c>
      <c r="BV32" s="7"/>
      <c r="BW32" s="8" t="s">
        <v>312</v>
      </c>
      <c r="BX32" s="8" t="s">
        <v>213</v>
      </c>
      <c r="BY32" s="8">
        <v>13330438535</v>
      </c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1:90" s="2" customFormat="1" ht="20.25" customHeight="1">
      <c r="A33" s="8">
        <v>32</v>
      </c>
      <c r="B33" s="8">
        <v>201805032</v>
      </c>
      <c r="C33" s="8" t="s">
        <v>169</v>
      </c>
      <c r="D33" s="8">
        <v>721</v>
      </c>
      <c r="E33" s="17">
        <v>2018041704</v>
      </c>
      <c r="F33" s="8">
        <v>35300</v>
      </c>
      <c r="G33" s="8" t="s">
        <v>216</v>
      </c>
      <c r="H33" s="8">
        <v>26</v>
      </c>
      <c r="I33" s="8"/>
      <c r="J33" s="8"/>
      <c r="K33" s="8"/>
      <c r="L33" s="8">
        <v>13564141200</v>
      </c>
      <c r="M33" s="8"/>
      <c r="N33" s="8"/>
      <c r="O33" s="8">
        <v>1986</v>
      </c>
      <c r="P33" s="17" t="s">
        <v>390</v>
      </c>
      <c r="Q33" s="17" t="s">
        <v>171</v>
      </c>
      <c r="R33" s="8" t="s">
        <v>396</v>
      </c>
      <c r="S33" s="8"/>
      <c r="T33" s="8" t="s">
        <v>391</v>
      </c>
      <c r="U33" s="8"/>
      <c r="V33" s="8"/>
      <c r="W33" s="8"/>
      <c r="X33" s="8" t="s">
        <v>367</v>
      </c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9"/>
      <c r="AK33" s="8"/>
      <c r="AL33" s="8"/>
      <c r="AM33" s="8"/>
      <c r="AN33" s="8"/>
      <c r="AO33" s="8" t="s">
        <v>170</v>
      </c>
      <c r="AP33" s="8"/>
      <c r="AQ33" s="8" t="s">
        <v>85</v>
      </c>
      <c r="AR33" s="8">
        <v>32</v>
      </c>
      <c r="AS33" s="8"/>
      <c r="AT33" s="8" t="s">
        <v>84</v>
      </c>
      <c r="AU33" s="8" t="s">
        <v>377</v>
      </c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 t="s">
        <v>392</v>
      </c>
      <c r="BH33" s="8"/>
      <c r="BI33" s="8" t="s">
        <v>393</v>
      </c>
      <c r="BJ33" s="8"/>
      <c r="BK33" s="8"/>
      <c r="BL33" s="8"/>
      <c r="BM33" s="8"/>
      <c r="BN33" s="8"/>
      <c r="BO33" s="8"/>
      <c r="BP33" s="8"/>
      <c r="BQ33" s="8"/>
      <c r="BR33" s="8"/>
      <c r="BS33" s="7" t="s">
        <v>440</v>
      </c>
      <c r="BT33" s="8"/>
      <c r="BU33" s="8"/>
      <c r="BV33" s="8"/>
      <c r="BW33" s="8" t="s">
        <v>313</v>
      </c>
      <c r="BX33" s="8" t="s">
        <v>236</v>
      </c>
      <c r="BY33" s="8">
        <v>18725156386</v>
      </c>
      <c r="BZ33" s="8"/>
      <c r="CA33" s="8"/>
      <c r="CB33" s="8"/>
      <c r="CC33" s="8" t="s">
        <v>394</v>
      </c>
      <c r="CD33" s="8" t="s">
        <v>395</v>
      </c>
      <c r="CE33" s="8">
        <v>13911526346</v>
      </c>
      <c r="CF33" s="8"/>
      <c r="CG33" s="8"/>
      <c r="CH33" s="8"/>
      <c r="CI33" s="8"/>
      <c r="CJ33" s="8"/>
      <c r="CK33" s="8"/>
      <c r="CL33" s="8"/>
    </row>
    <row r="34" spans="1:90" s="2" customFormat="1" ht="20.25" customHeight="1">
      <c r="A34" s="8">
        <v>33</v>
      </c>
      <c r="B34" s="8">
        <v>201805033</v>
      </c>
      <c r="C34" s="8" t="s">
        <v>61</v>
      </c>
      <c r="D34" s="8">
        <v>809</v>
      </c>
      <c r="E34" s="17">
        <v>2018041706</v>
      </c>
      <c r="F34" s="8">
        <v>38300</v>
      </c>
      <c r="G34" s="8" t="s">
        <v>212</v>
      </c>
      <c r="H34" s="8">
        <v>26</v>
      </c>
      <c r="I34" s="8"/>
      <c r="J34" s="8"/>
      <c r="K34" s="8"/>
      <c r="L34" s="8">
        <v>13888604730</v>
      </c>
      <c r="M34" s="8"/>
      <c r="N34" s="8"/>
      <c r="O34" s="8">
        <v>1977</v>
      </c>
      <c r="P34" s="18" t="s">
        <v>431</v>
      </c>
      <c r="Q34" s="17" t="s">
        <v>62</v>
      </c>
      <c r="R34" s="7" t="s">
        <v>433</v>
      </c>
      <c r="S34" s="8"/>
      <c r="T34" s="7" t="s">
        <v>432</v>
      </c>
      <c r="U34" s="8"/>
      <c r="V34" s="8" t="s">
        <v>63</v>
      </c>
      <c r="W34" s="8" t="s">
        <v>37</v>
      </c>
      <c r="X34" s="8" t="s">
        <v>44</v>
      </c>
      <c r="Y34" s="8" t="s">
        <v>38</v>
      </c>
      <c r="Z34" s="8" t="s">
        <v>39</v>
      </c>
      <c r="AA34" s="8"/>
      <c r="AB34" s="8"/>
      <c r="AC34" s="8"/>
      <c r="AD34" s="8"/>
      <c r="AE34" s="8"/>
      <c r="AF34" s="8"/>
      <c r="AG34" s="8"/>
      <c r="AH34" s="8"/>
      <c r="AI34" s="8"/>
      <c r="AJ34" s="9"/>
      <c r="AK34" s="8" t="s">
        <v>38</v>
      </c>
      <c r="AL34" s="8" t="s">
        <v>38</v>
      </c>
      <c r="AM34" s="8" t="s">
        <v>65</v>
      </c>
      <c r="AN34" s="8" t="s">
        <v>66</v>
      </c>
      <c r="AO34" s="8" t="s">
        <v>87</v>
      </c>
      <c r="AP34" s="7" t="s">
        <v>434</v>
      </c>
      <c r="AQ34" s="8" t="s">
        <v>85</v>
      </c>
      <c r="AR34" s="8">
        <v>41</v>
      </c>
      <c r="AS34" s="8">
        <v>3</v>
      </c>
      <c r="AT34" s="8" t="s">
        <v>67</v>
      </c>
      <c r="AU34" s="8" t="s">
        <v>40</v>
      </c>
      <c r="AV34" s="8" t="s">
        <v>64</v>
      </c>
      <c r="AW34" s="8" t="s">
        <v>494</v>
      </c>
      <c r="AX34" s="8"/>
      <c r="AY34" s="8">
        <v>61.8</v>
      </c>
      <c r="AZ34" s="8"/>
      <c r="BA34" s="8" t="s">
        <v>493</v>
      </c>
      <c r="BB34" s="8"/>
      <c r="BC34" s="8"/>
      <c r="BD34" s="17" t="s">
        <v>49</v>
      </c>
      <c r="BE34" s="17" t="s">
        <v>69</v>
      </c>
      <c r="BF34" s="8"/>
      <c r="BG34" s="8"/>
      <c r="BH34" s="8"/>
      <c r="BI34" s="8" t="s">
        <v>70</v>
      </c>
      <c r="BJ34" s="8">
        <v>3025</v>
      </c>
      <c r="BK34" s="8">
        <v>49</v>
      </c>
      <c r="BL34" s="8"/>
      <c r="BM34" s="8">
        <v>2960</v>
      </c>
      <c r="BN34" s="8"/>
      <c r="BO34" s="8" t="s">
        <v>51</v>
      </c>
      <c r="BP34" s="8"/>
      <c r="BQ34" s="8"/>
      <c r="BR34" s="8"/>
      <c r="BS34" s="8"/>
      <c r="BT34" s="8"/>
      <c r="BU34" s="8"/>
      <c r="BV34" s="8"/>
      <c r="BW34" s="8" t="s">
        <v>314</v>
      </c>
      <c r="BX34" s="8" t="s">
        <v>213</v>
      </c>
      <c r="BY34" s="8">
        <v>13888154951</v>
      </c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1:90" s="2" customFormat="1" ht="20.25" customHeight="1">
      <c r="A35" s="8">
        <v>34</v>
      </c>
      <c r="B35" s="8">
        <v>201805034</v>
      </c>
      <c r="C35" s="8" t="s">
        <v>172</v>
      </c>
      <c r="D35" s="8">
        <v>766</v>
      </c>
      <c r="E35" s="17">
        <v>2018042202</v>
      </c>
      <c r="F35" s="8">
        <v>49800</v>
      </c>
      <c r="G35" s="8" t="s">
        <v>308</v>
      </c>
      <c r="H35" s="8">
        <v>26</v>
      </c>
      <c r="I35" s="8"/>
      <c r="J35" s="8"/>
      <c r="K35" s="8"/>
      <c r="L35" s="8">
        <v>13987103999</v>
      </c>
      <c r="M35" s="8"/>
      <c r="N35" s="8"/>
      <c r="O35" s="8">
        <v>1981</v>
      </c>
      <c r="P35" s="17" t="s">
        <v>315</v>
      </c>
      <c r="Q35" s="17" t="s">
        <v>174</v>
      </c>
      <c r="R35" s="8" t="s">
        <v>316</v>
      </c>
      <c r="S35" s="8"/>
      <c r="T35" s="8" t="s">
        <v>175</v>
      </c>
      <c r="U35" s="8"/>
      <c r="V35" s="8" t="s">
        <v>317</v>
      </c>
      <c r="W35" s="8"/>
      <c r="X35" s="8" t="s">
        <v>44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9"/>
      <c r="AK35" s="8"/>
      <c r="AL35" s="8"/>
      <c r="AM35" s="8"/>
      <c r="AN35" s="8"/>
      <c r="AO35" s="8" t="s">
        <v>173</v>
      </c>
      <c r="AP35" s="8"/>
      <c r="AQ35" s="8" t="s">
        <v>85</v>
      </c>
      <c r="AR35" s="8">
        <v>37</v>
      </c>
      <c r="AS35" s="8"/>
      <c r="AT35" s="8" t="s">
        <v>94</v>
      </c>
      <c r="AU35" s="8" t="s">
        <v>48</v>
      </c>
      <c r="AV35" s="8"/>
      <c r="AW35" s="8"/>
      <c r="AX35" s="8"/>
      <c r="AY35" s="8"/>
      <c r="AZ35" s="8"/>
      <c r="BA35" s="8"/>
      <c r="BB35" s="8"/>
      <c r="BC35" s="8"/>
      <c r="BD35" s="19">
        <v>43238</v>
      </c>
      <c r="BE35" s="8"/>
      <c r="BF35" s="8"/>
      <c r="BG35" s="8"/>
      <c r="BH35" s="8"/>
      <c r="BI35" s="8" t="s">
        <v>41</v>
      </c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 t="s">
        <v>318</v>
      </c>
      <c r="BX35" s="8" t="s">
        <v>213</v>
      </c>
      <c r="BY35" s="8">
        <v>13033333333</v>
      </c>
      <c r="BZ35" s="8"/>
      <c r="CA35" s="8"/>
      <c r="CB35" s="8"/>
      <c r="CC35" s="8"/>
      <c r="CD35" s="8"/>
      <c r="CE35" s="8">
        <v>13888833333</v>
      </c>
      <c r="CF35" s="8"/>
      <c r="CG35" s="8"/>
      <c r="CH35" s="8">
        <v>13888472820</v>
      </c>
      <c r="CI35" s="8"/>
      <c r="CJ35" s="8"/>
      <c r="CK35" s="8"/>
      <c r="CL35" s="8"/>
    </row>
    <row r="36" spans="1:90" s="2" customFormat="1" ht="20.25" customHeight="1">
      <c r="A36" s="8">
        <v>35</v>
      </c>
      <c r="B36" s="8">
        <v>201805035</v>
      </c>
      <c r="C36" s="8" t="s">
        <v>176</v>
      </c>
      <c r="D36" s="8">
        <v>819</v>
      </c>
      <c r="E36" s="17">
        <v>2018042601</v>
      </c>
      <c r="F36" s="8">
        <v>35800</v>
      </c>
      <c r="G36" s="8" t="s">
        <v>212</v>
      </c>
      <c r="H36" s="8">
        <v>26</v>
      </c>
      <c r="I36" s="19">
        <v>43250</v>
      </c>
      <c r="J36" s="8"/>
      <c r="K36" s="8"/>
      <c r="L36" s="8">
        <v>13988218168</v>
      </c>
      <c r="M36" s="8"/>
      <c r="N36" s="8"/>
      <c r="O36" s="8">
        <v>1986</v>
      </c>
      <c r="P36" s="17">
        <v>3.9</v>
      </c>
      <c r="Q36" s="17" t="s">
        <v>177</v>
      </c>
      <c r="R36" s="8" t="s">
        <v>319</v>
      </c>
      <c r="S36" s="8"/>
      <c r="T36" s="8" t="s">
        <v>320</v>
      </c>
      <c r="U36" s="8"/>
      <c r="V36" s="8" t="s">
        <v>321</v>
      </c>
      <c r="W36" s="8" t="s">
        <v>536</v>
      </c>
      <c r="X36" s="8" t="s">
        <v>231</v>
      </c>
      <c r="Y36" s="8" t="s">
        <v>533</v>
      </c>
      <c r="Z36" s="8" t="s">
        <v>535</v>
      </c>
      <c r="AA36" s="8"/>
      <c r="AB36" s="8"/>
      <c r="AC36" s="8"/>
      <c r="AD36" s="8"/>
      <c r="AE36" s="8"/>
      <c r="AF36" s="8"/>
      <c r="AG36" s="8"/>
      <c r="AH36" s="8"/>
      <c r="AI36" s="8"/>
      <c r="AJ36" s="9" t="s">
        <v>322</v>
      </c>
      <c r="AK36" s="8" t="s">
        <v>533</v>
      </c>
      <c r="AL36" s="8" t="s">
        <v>533</v>
      </c>
      <c r="AM36" s="8" t="s">
        <v>533</v>
      </c>
      <c r="AN36" s="8" t="s">
        <v>532</v>
      </c>
      <c r="AO36" s="8" t="s">
        <v>92</v>
      </c>
      <c r="AP36" s="8">
        <v>39</v>
      </c>
      <c r="AQ36" s="8" t="s">
        <v>85</v>
      </c>
      <c r="AR36" s="8">
        <v>32</v>
      </c>
      <c r="AS36" s="8"/>
      <c r="AT36" s="8" t="s">
        <v>94</v>
      </c>
      <c r="AU36" s="8" t="s">
        <v>40</v>
      </c>
      <c r="AV36" s="8"/>
      <c r="AW36" s="8" t="s">
        <v>537</v>
      </c>
      <c r="AX36" s="8"/>
      <c r="AY36" s="8">
        <v>81.099999999999994</v>
      </c>
      <c r="AZ36" s="8"/>
      <c r="BA36" s="8"/>
      <c r="BB36" s="8"/>
      <c r="BC36" s="8"/>
      <c r="BD36" s="19">
        <v>43248</v>
      </c>
      <c r="BE36" s="20">
        <v>0.72569444444444453</v>
      </c>
      <c r="BF36" s="8"/>
      <c r="BG36" s="8"/>
      <c r="BH36" s="8"/>
      <c r="BI36" s="8" t="s">
        <v>70</v>
      </c>
      <c r="BJ36" s="8">
        <v>2840</v>
      </c>
      <c r="BK36" s="8">
        <v>49</v>
      </c>
      <c r="BL36" s="8"/>
      <c r="BM36" s="8">
        <v>2770</v>
      </c>
      <c r="BN36" s="8"/>
      <c r="BO36" s="8" t="s">
        <v>539</v>
      </c>
      <c r="BP36" s="8" t="s">
        <v>538</v>
      </c>
      <c r="BQ36" s="8"/>
      <c r="BR36" s="8"/>
      <c r="BS36" s="8"/>
      <c r="BT36" s="8"/>
      <c r="BU36" s="8"/>
      <c r="BV36" s="8"/>
      <c r="BW36" s="8" t="s">
        <v>323</v>
      </c>
      <c r="BX36" s="8" t="s">
        <v>213</v>
      </c>
      <c r="BY36" s="8">
        <v>18608829817</v>
      </c>
      <c r="BZ36" s="8"/>
      <c r="CA36" s="8"/>
      <c r="CB36" s="8"/>
      <c r="CC36" s="8"/>
      <c r="CD36" s="8"/>
      <c r="CE36" s="8">
        <v>13578212827</v>
      </c>
      <c r="CF36" s="8"/>
      <c r="CG36" s="8"/>
      <c r="CH36" s="8"/>
      <c r="CI36" s="8"/>
      <c r="CJ36" s="8"/>
      <c r="CK36" s="8"/>
      <c r="CL36" s="8"/>
    </row>
    <row r="37" spans="1:90" s="2" customFormat="1" ht="20.25" customHeight="1">
      <c r="A37" s="8">
        <v>36</v>
      </c>
      <c r="B37" s="8">
        <v>201805036</v>
      </c>
      <c r="C37" s="8" t="s">
        <v>178</v>
      </c>
      <c r="D37" s="8">
        <v>816</v>
      </c>
      <c r="E37" s="17">
        <v>2018050902</v>
      </c>
      <c r="F37" s="8">
        <v>20600</v>
      </c>
      <c r="G37" s="8" t="s">
        <v>216</v>
      </c>
      <c r="H37" s="8">
        <v>15</v>
      </c>
      <c r="I37" s="19">
        <v>43238</v>
      </c>
      <c r="J37" s="8"/>
      <c r="K37" s="8"/>
      <c r="L37" s="8">
        <v>13608814116</v>
      </c>
      <c r="M37" s="8"/>
      <c r="N37" s="8"/>
      <c r="O37" s="8">
        <v>1978</v>
      </c>
      <c r="P37" s="17" t="s">
        <v>324</v>
      </c>
      <c r="Q37" s="17" t="s">
        <v>325</v>
      </c>
      <c r="R37" s="8" t="s">
        <v>326</v>
      </c>
      <c r="S37" s="8"/>
      <c r="T37" s="8" t="s">
        <v>179</v>
      </c>
      <c r="U37" s="8"/>
      <c r="V37" s="8" t="s">
        <v>271</v>
      </c>
      <c r="W37" s="8" t="s">
        <v>520</v>
      </c>
      <c r="X37" s="8" t="s">
        <v>44</v>
      </c>
      <c r="Y37" s="8" t="s">
        <v>521</v>
      </c>
      <c r="Z37" s="8" t="s">
        <v>522</v>
      </c>
      <c r="AA37" s="8"/>
      <c r="AB37" s="8"/>
      <c r="AC37" s="8"/>
      <c r="AD37" s="8"/>
      <c r="AE37" s="8"/>
      <c r="AF37" s="8"/>
      <c r="AG37" s="8"/>
      <c r="AH37" s="8"/>
      <c r="AI37" s="8"/>
      <c r="AJ37" s="9"/>
      <c r="AK37" s="8" t="s">
        <v>527</v>
      </c>
      <c r="AL37" s="8" t="s">
        <v>526</v>
      </c>
      <c r="AM37" s="8" t="s">
        <v>521</v>
      </c>
      <c r="AN37" s="8" t="s">
        <v>524</v>
      </c>
      <c r="AO37" s="8" t="s">
        <v>146</v>
      </c>
      <c r="AP37" s="8">
        <v>39</v>
      </c>
      <c r="AQ37" s="8" t="s">
        <v>90</v>
      </c>
      <c r="AR37" s="8">
        <v>40</v>
      </c>
      <c r="AS37" s="8"/>
      <c r="AT37" s="8" t="s">
        <v>84</v>
      </c>
      <c r="AU37" s="8" t="s">
        <v>40</v>
      </c>
      <c r="AV37" s="8" t="s">
        <v>525</v>
      </c>
      <c r="AW37" s="8" t="s">
        <v>523</v>
      </c>
      <c r="AX37" s="8"/>
      <c r="AY37" s="8">
        <v>67</v>
      </c>
      <c r="AZ37" s="8"/>
      <c r="BA37" s="8"/>
      <c r="BB37" s="8"/>
      <c r="BC37" s="8"/>
      <c r="BD37" s="19">
        <v>43236</v>
      </c>
      <c r="BE37" s="8"/>
      <c r="BF37" s="8"/>
      <c r="BG37" s="8"/>
      <c r="BH37" s="8"/>
      <c r="BI37" s="8" t="s">
        <v>41</v>
      </c>
      <c r="BJ37" s="8">
        <v>2730</v>
      </c>
      <c r="BK37" s="8">
        <v>47</v>
      </c>
      <c r="BL37" s="8"/>
      <c r="BM37" s="8">
        <v>2640</v>
      </c>
      <c r="BN37" s="8"/>
      <c r="BO37" s="8" t="s">
        <v>528</v>
      </c>
      <c r="BP37" s="8"/>
      <c r="BQ37" s="8"/>
      <c r="BR37" s="8"/>
      <c r="BS37" s="8"/>
      <c r="BT37" s="8"/>
      <c r="BU37" s="8"/>
      <c r="BV37" s="8"/>
      <c r="BW37" s="8" t="s">
        <v>327</v>
      </c>
      <c r="BX37" s="8" t="s">
        <v>213</v>
      </c>
      <c r="BY37" s="8">
        <v>13608800321</v>
      </c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1:90" s="2" customFormat="1" ht="20.25" customHeight="1">
      <c r="A38" s="8">
        <v>37</v>
      </c>
      <c r="B38" s="8">
        <v>201805037</v>
      </c>
      <c r="C38" s="8" t="s">
        <v>180</v>
      </c>
      <c r="D38" s="8">
        <v>706</v>
      </c>
      <c r="E38" s="17">
        <v>2018051202</v>
      </c>
      <c r="F38" s="8">
        <v>35800</v>
      </c>
      <c r="G38" s="8" t="s">
        <v>212</v>
      </c>
      <c r="H38" s="8">
        <v>29</v>
      </c>
      <c r="I38" s="8"/>
      <c r="J38" s="8"/>
      <c r="K38" s="8"/>
      <c r="L38" s="8">
        <v>15198869226</v>
      </c>
      <c r="M38" s="8"/>
      <c r="N38" s="8"/>
      <c r="O38" s="8">
        <v>1990</v>
      </c>
      <c r="P38" s="17" t="s">
        <v>328</v>
      </c>
      <c r="Q38" s="17" t="s">
        <v>182</v>
      </c>
      <c r="R38" s="8" t="s">
        <v>329</v>
      </c>
      <c r="S38" s="8"/>
      <c r="T38" s="8" t="s">
        <v>183</v>
      </c>
      <c r="U38" s="8"/>
      <c r="V38" s="8" t="s">
        <v>331</v>
      </c>
      <c r="W38" s="8"/>
      <c r="X38" s="8" t="s">
        <v>330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9"/>
      <c r="AK38" s="8"/>
      <c r="AL38" s="8"/>
      <c r="AM38" s="8"/>
      <c r="AN38" s="8"/>
      <c r="AO38" s="8" t="s">
        <v>181</v>
      </c>
      <c r="AP38" s="8"/>
      <c r="AQ38" s="8" t="s">
        <v>85</v>
      </c>
      <c r="AR38" s="8">
        <v>28</v>
      </c>
      <c r="AS38" s="8">
        <v>3</v>
      </c>
      <c r="AT38" s="8" t="s">
        <v>94</v>
      </c>
      <c r="AU38" s="8" t="s">
        <v>40</v>
      </c>
      <c r="AV38" s="8"/>
      <c r="AW38" s="8" t="s">
        <v>332</v>
      </c>
      <c r="AX38" s="8"/>
      <c r="AY38" s="8"/>
      <c r="AZ38" s="8"/>
      <c r="BA38" s="8"/>
      <c r="BB38" s="8"/>
      <c r="BC38" s="8"/>
      <c r="BD38" s="19">
        <v>43240</v>
      </c>
      <c r="BE38" s="20">
        <v>0.50416666666666698</v>
      </c>
      <c r="BF38" s="8"/>
      <c r="BG38" s="8"/>
      <c r="BH38" s="8"/>
      <c r="BI38" s="8" t="s">
        <v>70</v>
      </c>
      <c r="BJ38" s="8">
        <v>3300</v>
      </c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 t="s">
        <v>333</v>
      </c>
      <c r="BX38" s="8" t="s">
        <v>213</v>
      </c>
      <c r="BY38" s="8">
        <v>18669078733</v>
      </c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1:90" s="2" customFormat="1" ht="20.25" customHeight="1">
      <c r="A39" s="8">
        <v>38</v>
      </c>
      <c r="B39" s="8">
        <v>201805038</v>
      </c>
      <c r="C39" s="8" t="s">
        <v>184</v>
      </c>
      <c r="D39" s="8">
        <v>857</v>
      </c>
      <c r="E39" s="17">
        <v>2018051501</v>
      </c>
      <c r="F39" s="8">
        <v>9800</v>
      </c>
      <c r="G39" s="8" t="s">
        <v>216</v>
      </c>
      <c r="H39" s="8">
        <v>7</v>
      </c>
      <c r="I39" s="8"/>
      <c r="J39" s="8"/>
      <c r="K39" s="8"/>
      <c r="L39" s="8">
        <v>15288368097</v>
      </c>
      <c r="M39" s="8"/>
      <c r="N39" s="8"/>
      <c r="O39" s="8">
        <v>1988</v>
      </c>
      <c r="P39" s="17" t="s">
        <v>380</v>
      </c>
      <c r="Q39" s="17" t="s">
        <v>186</v>
      </c>
      <c r="R39" s="8" t="s">
        <v>383</v>
      </c>
      <c r="S39" s="8"/>
      <c r="T39" s="8" t="s">
        <v>381</v>
      </c>
      <c r="U39" s="8"/>
      <c r="V39" s="8" t="s">
        <v>382</v>
      </c>
      <c r="W39" s="8"/>
      <c r="X39" s="8" t="s">
        <v>367</v>
      </c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9"/>
      <c r="AK39" s="8"/>
      <c r="AL39" s="8"/>
      <c r="AM39" s="8"/>
      <c r="AN39" s="8"/>
      <c r="AO39" s="8" t="s">
        <v>185</v>
      </c>
      <c r="AP39" s="8"/>
      <c r="AQ39" s="8" t="s">
        <v>85</v>
      </c>
      <c r="AR39" s="8">
        <v>30</v>
      </c>
      <c r="AS39" s="8">
        <v>4</v>
      </c>
      <c r="AT39" s="8" t="s">
        <v>187</v>
      </c>
      <c r="AU39" s="8" t="s">
        <v>377</v>
      </c>
      <c r="AV39" s="8"/>
      <c r="AW39" s="8" t="s">
        <v>384</v>
      </c>
      <c r="AX39" s="8"/>
      <c r="AY39" s="8"/>
      <c r="AZ39" s="8"/>
      <c r="BA39" s="8"/>
      <c r="BB39" s="8"/>
      <c r="BC39" s="8"/>
      <c r="BD39" s="19">
        <v>43232</v>
      </c>
      <c r="BE39" s="20">
        <v>0.94374999999999998</v>
      </c>
      <c r="BF39" s="8"/>
      <c r="BG39" s="8"/>
      <c r="BH39" s="8"/>
      <c r="BI39" s="8"/>
      <c r="BJ39" s="8">
        <v>2170</v>
      </c>
      <c r="BK39" s="8">
        <v>46</v>
      </c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 t="s">
        <v>334</v>
      </c>
      <c r="BX39" s="8" t="s">
        <v>213</v>
      </c>
      <c r="BY39" s="8">
        <v>13116950256</v>
      </c>
      <c r="BZ39" s="8"/>
      <c r="CA39" s="8"/>
      <c r="CB39" s="8"/>
      <c r="CC39" s="8"/>
      <c r="CD39" s="8"/>
      <c r="CE39" s="8">
        <v>15559989961</v>
      </c>
      <c r="CF39" s="8"/>
      <c r="CG39" s="8"/>
      <c r="CH39" s="8"/>
      <c r="CI39" s="8"/>
      <c r="CJ39" s="8"/>
      <c r="CK39" s="8"/>
      <c r="CL39" s="8"/>
    </row>
    <row r="40" spans="1:90" s="2" customFormat="1" ht="20.25" customHeight="1">
      <c r="A40" s="8">
        <v>39</v>
      </c>
      <c r="B40" s="8">
        <v>201805039</v>
      </c>
      <c r="C40" s="8" t="s">
        <v>189</v>
      </c>
      <c r="D40" s="8">
        <v>721</v>
      </c>
      <c r="E40" s="17">
        <v>2018051701</v>
      </c>
      <c r="F40" s="8">
        <v>22600</v>
      </c>
      <c r="G40" s="8" t="s">
        <v>212</v>
      </c>
      <c r="H40" s="8">
        <v>15</v>
      </c>
      <c r="I40" s="8"/>
      <c r="J40" s="8"/>
      <c r="K40" s="8"/>
      <c r="L40" s="8">
        <v>18687162998</v>
      </c>
      <c r="M40" s="8"/>
      <c r="N40" s="8"/>
      <c r="O40" s="8">
        <v>1981</v>
      </c>
      <c r="P40" s="17" t="s">
        <v>335</v>
      </c>
      <c r="Q40" s="17" t="s">
        <v>190</v>
      </c>
      <c r="R40" s="8" t="s">
        <v>372</v>
      </c>
      <c r="S40" s="8"/>
      <c r="T40" s="8" t="s">
        <v>191</v>
      </c>
      <c r="U40" s="8"/>
      <c r="V40" s="8" t="s">
        <v>368</v>
      </c>
      <c r="W40" s="8"/>
      <c r="X40" s="8" t="s">
        <v>367</v>
      </c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9"/>
      <c r="AK40" s="8"/>
      <c r="AL40" s="8"/>
      <c r="AM40" s="8"/>
      <c r="AN40" s="8"/>
      <c r="AO40" s="8" t="s">
        <v>188</v>
      </c>
      <c r="AP40" s="8"/>
      <c r="AQ40" s="8" t="s">
        <v>90</v>
      </c>
      <c r="AR40" s="8">
        <v>37</v>
      </c>
      <c r="AS40" s="8"/>
      <c r="AT40" s="8" t="s">
        <v>89</v>
      </c>
      <c r="AU40" s="8" t="s">
        <v>370</v>
      </c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 t="s">
        <v>369</v>
      </c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 t="s">
        <v>336</v>
      </c>
      <c r="BX40" s="8" t="s">
        <v>213</v>
      </c>
      <c r="BY40" s="8">
        <v>18687138999</v>
      </c>
      <c r="BZ40" s="8"/>
      <c r="CA40" s="8"/>
      <c r="CB40" s="8"/>
      <c r="CC40" s="8"/>
      <c r="CD40" s="8" t="s">
        <v>371</v>
      </c>
      <c r="CE40" s="8">
        <v>13678762422</v>
      </c>
      <c r="CF40" s="8"/>
      <c r="CG40" s="8"/>
      <c r="CH40" s="8"/>
      <c r="CI40" s="8"/>
      <c r="CJ40" s="8"/>
      <c r="CK40" s="8"/>
      <c r="CL40" s="8"/>
    </row>
    <row r="41" spans="1:90" s="2" customFormat="1" ht="20.25" customHeight="1">
      <c r="A41" s="8">
        <v>40</v>
      </c>
      <c r="B41" s="8">
        <v>201805040</v>
      </c>
      <c r="C41" s="8" t="s">
        <v>193</v>
      </c>
      <c r="D41" s="8">
        <v>720</v>
      </c>
      <c r="E41" s="17">
        <v>2018051901</v>
      </c>
      <c r="F41" s="8">
        <v>32800</v>
      </c>
      <c r="G41" s="8" t="s">
        <v>216</v>
      </c>
      <c r="H41" s="8">
        <v>26</v>
      </c>
      <c r="I41" s="8"/>
      <c r="J41" s="8"/>
      <c r="K41" s="8"/>
      <c r="L41" s="8">
        <v>13987110200</v>
      </c>
      <c r="M41" s="8"/>
      <c r="N41" s="8"/>
      <c r="O41" s="8">
        <v>1981</v>
      </c>
      <c r="P41" s="17" t="s">
        <v>337</v>
      </c>
      <c r="Q41" s="17" t="s">
        <v>194</v>
      </c>
      <c r="R41" s="8" t="s">
        <v>338</v>
      </c>
      <c r="S41" s="8"/>
      <c r="T41" s="8" t="s">
        <v>195</v>
      </c>
      <c r="U41" s="8"/>
      <c r="V41" s="8" t="s">
        <v>45</v>
      </c>
      <c r="W41" s="8"/>
      <c r="X41" s="8" t="s">
        <v>44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9"/>
      <c r="AK41" s="8"/>
      <c r="AL41" s="8"/>
      <c r="AM41" s="8"/>
      <c r="AN41" s="8"/>
      <c r="AO41" s="8" t="s">
        <v>192</v>
      </c>
      <c r="AP41" s="8"/>
      <c r="AQ41" s="8" t="s">
        <v>85</v>
      </c>
      <c r="AR41" s="8">
        <v>37</v>
      </c>
      <c r="AS41" s="8">
        <v>4</v>
      </c>
      <c r="AT41" s="8" t="s">
        <v>84</v>
      </c>
      <c r="AU41" s="8" t="s">
        <v>48</v>
      </c>
      <c r="AV41" s="8"/>
      <c r="AW41" s="8" t="s">
        <v>339</v>
      </c>
      <c r="AX41" s="8"/>
      <c r="AY41" s="8"/>
      <c r="AZ41" s="8"/>
      <c r="BA41" s="8"/>
      <c r="BB41" s="8"/>
      <c r="BC41" s="8"/>
      <c r="BD41" s="19">
        <v>43224</v>
      </c>
      <c r="BE41" s="8"/>
      <c r="BF41" s="8"/>
      <c r="BG41" s="8"/>
      <c r="BH41" s="8"/>
      <c r="BI41" s="8" t="s">
        <v>70</v>
      </c>
      <c r="BJ41" s="8">
        <v>3050</v>
      </c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 t="s">
        <v>340</v>
      </c>
      <c r="BX41" s="8" t="s">
        <v>213</v>
      </c>
      <c r="BY41" s="8">
        <v>13577162277</v>
      </c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1:90" s="2" customFormat="1" ht="20.25" customHeight="1">
      <c r="A42" s="8">
        <v>41</v>
      </c>
      <c r="B42" s="8">
        <v>201805041</v>
      </c>
      <c r="C42" s="8" t="s">
        <v>196</v>
      </c>
      <c r="D42" s="8">
        <v>838</v>
      </c>
      <c r="E42" s="17">
        <v>2018052801</v>
      </c>
      <c r="F42" s="8">
        <v>21100</v>
      </c>
      <c r="G42" s="8" t="s">
        <v>212</v>
      </c>
      <c r="H42" s="8">
        <v>15</v>
      </c>
      <c r="I42" s="19">
        <v>43248</v>
      </c>
      <c r="J42" s="8"/>
      <c r="K42" s="8"/>
      <c r="L42" s="8">
        <v>18787063613</v>
      </c>
      <c r="M42" s="8"/>
      <c r="N42" s="8"/>
      <c r="O42" s="8">
        <v>1992</v>
      </c>
      <c r="P42" s="17" t="s">
        <v>341</v>
      </c>
      <c r="Q42" s="17" t="s">
        <v>197</v>
      </c>
      <c r="R42" s="8" t="s">
        <v>342</v>
      </c>
      <c r="S42" s="8"/>
      <c r="T42" s="8" t="s">
        <v>198</v>
      </c>
      <c r="U42" s="8"/>
      <c r="V42" s="8" t="s">
        <v>45</v>
      </c>
      <c r="W42" s="8"/>
      <c r="X42" s="8" t="s">
        <v>44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9"/>
      <c r="AK42" s="8"/>
      <c r="AL42" s="8"/>
      <c r="AM42" s="8"/>
      <c r="AN42" s="8"/>
      <c r="AO42" s="8" t="s">
        <v>124</v>
      </c>
      <c r="AP42" s="8"/>
      <c r="AQ42" s="8" t="s">
        <v>85</v>
      </c>
      <c r="AR42" s="8">
        <v>26</v>
      </c>
      <c r="AS42" s="8"/>
      <c r="AT42" s="8" t="s">
        <v>84</v>
      </c>
      <c r="AU42" s="8" t="s">
        <v>40</v>
      </c>
      <c r="AV42" s="8"/>
      <c r="AW42" s="8"/>
      <c r="AX42" s="8"/>
      <c r="AY42" s="8"/>
      <c r="AZ42" s="8"/>
      <c r="BA42" s="8"/>
      <c r="BB42" s="8"/>
      <c r="BC42" s="8"/>
      <c r="BD42" s="19">
        <v>43245</v>
      </c>
      <c r="BE42" s="8"/>
      <c r="BF42" s="8"/>
      <c r="BG42" s="8"/>
      <c r="BH42" s="8"/>
      <c r="BI42" s="8" t="s">
        <v>70</v>
      </c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 t="s">
        <v>343</v>
      </c>
      <c r="BX42" s="8" t="s">
        <v>213</v>
      </c>
      <c r="BY42" s="8">
        <v>13529213400</v>
      </c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1:90" s="2" customFormat="1" ht="20.25" customHeight="1">
      <c r="A43" s="8">
        <v>42</v>
      </c>
      <c r="B43" s="8">
        <v>201805042</v>
      </c>
      <c r="C43" s="8" t="s">
        <v>200</v>
      </c>
      <c r="D43" s="8">
        <v>828</v>
      </c>
      <c r="E43" s="17">
        <v>2018052901</v>
      </c>
      <c r="F43" s="8">
        <v>13800</v>
      </c>
      <c r="G43" s="8" t="s">
        <v>224</v>
      </c>
      <c r="H43" s="8">
        <v>7</v>
      </c>
      <c r="I43" s="8"/>
      <c r="J43" s="8"/>
      <c r="K43" s="8"/>
      <c r="L43" s="8">
        <v>13888920346</v>
      </c>
      <c r="M43" s="8"/>
      <c r="N43" s="8"/>
      <c r="O43" s="8">
        <v>1979</v>
      </c>
      <c r="P43" s="17">
        <v>2.2000000000000002</v>
      </c>
      <c r="Q43" s="17" t="s">
        <v>201</v>
      </c>
      <c r="R43" s="8" t="s">
        <v>344</v>
      </c>
      <c r="S43" s="8"/>
      <c r="T43" s="8" t="s">
        <v>345</v>
      </c>
      <c r="U43" s="8"/>
      <c r="V43" s="8" t="s">
        <v>346</v>
      </c>
      <c r="W43" s="7" t="s">
        <v>536</v>
      </c>
      <c r="X43" s="8" t="s">
        <v>44</v>
      </c>
      <c r="Y43" s="7" t="s">
        <v>533</v>
      </c>
      <c r="Z43" s="7" t="s">
        <v>554</v>
      </c>
      <c r="AA43" s="8"/>
      <c r="AB43" s="8"/>
      <c r="AC43" s="8"/>
      <c r="AD43" s="8"/>
      <c r="AE43" s="8"/>
      <c r="AF43" s="8"/>
      <c r="AG43" s="8"/>
      <c r="AH43" s="8"/>
      <c r="AI43" s="8"/>
      <c r="AJ43" s="9"/>
      <c r="AK43" s="7" t="s">
        <v>533</v>
      </c>
      <c r="AL43" s="7" t="s">
        <v>533</v>
      </c>
      <c r="AM43" s="7" t="s">
        <v>533</v>
      </c>
      <c r="AN43" s="7" t="s">
        <v>556</v>
      </c>
      <c r="AO43" s="8" t="s">
        <v>199</v>
      </c>
      <c r="AP43" s="8"/>
      <c r="AQ43" s="8" t="s">
        <v>90</v>
      </c>
      <c r="AR43" s="8">
        <v>39</v>
      </c>
      <c r="AS43" s="8"/>
      <c r="AT43" s="8" t="s">
        <v>84</v>
      </c>
      <c r="AU43" s="8" t="s">
        <v>48</v>
      </c>
      <c r="AV43" s="7" t="s">
        <v>533</v>
      </c>
      <c r="AW43" s="7" t="s">
        <v>555</v>
      </c>
      <c r="AX43" s="8"/>
      <c r="AY43" s="8">
        <v>57</v>
      </c>
      <c r="AZ43" s="8"/>
      <c r="BA43" s="8"/>
      <c r="BB43" s="8"/>
      <c r="BC43" s="8"/>
      <c r="BD43" s="19">
        <v>43245</v>
      </c>
      <c r="BE43" s="20">
        <v>0.62083333333333335</v>
      </c>
      <c r="BF43" s="8"/>
      <c r="BG43" s="8"/>
      <c r="BH43" s="8"/>
      <c r="BI43" s="8" t="s">
        <v>70</v>
      </c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 t="s">
        <v>347</v>
      </c>
      <c r="BX43" s="8" t="s">
        <v>213</v>
      </c>
      <c r="BY43" s="8">
        <v>13708465396</v>
      </c>
      <c r="BZ43" s="8"/>
      <c r="CA43" s="8"/>
      <c r="CB43" s="8"/>
      <c r="CC43" s="8"/>
      <c r="CD43" s="8"/>
      <c r="CE43" s="8">
        <v>15808751627</v>
      </c>
      <c r="CF43" s="8"/>
      <c r="CG43" s="8"/>
      <c r="CH43" s="8"/>
      <c r="CI43" s="8"/>
      <c r="CJ43" s="8"/>
      <c r="CK43" s="8"/>
      <c r="CL43" s="8"/>
    </row>
    <row r="44" spans="1:90" s="2" customFormat="1" ht="20.25" customHeight="1">
      <c r="A44" s="8">
        <v>43</v>
      </c>
      <c r="B44" s="8">
        <v>201805043</v>
      </c>
      <c r="C44" s="8" t="s">
        <v>53</v>
      </c>
      <c r="D44" s="8">
        <v>823</v>
      </c>
      <c r="E44" s="8">
        <v>2018052903</v>
      </c>
      <c r="F44" s="8">
        <v>35600</v>
      </c>
      <c r="G44" s="8" t="s">
        <v>212</v>
      </c>
      <c r="H44" s="8">
        <v>26</v>
      </c>
      <c r="I44" s="17" t="s">
        <v>60</v>
      </c>
      <c r="J44" s="8"/>
      <c r="K44" s="8"/>
      <c r="L44" s="8">
        <v>13888399808</v>
      </c>
      <c r="M44" s="8"/>
      <c r="N44" s="8"/>
      <c r="O44" s="8">
        <v>1977</v>
      </c>
      <c r="P44" s="17" t="s">
        <v>348</v>
      </c>
      <c r="Q44" s="17" t="s">
        <v>54</v>
      </c>
      <c r="R44" s="8" t="s">
        <v>349</v>
      </c>
      <c r="S44" s="8"/>
      <c r="T44" s="8" t="s">
        <v>350</v>
      </c>
      <c r="U44" s="8"/>
      <c r="V44" s="8" t="s">
        <v>45</v>
      </c>
      <c r="W44" s="8" t="s">
        <v>37</v>
      </c>
      <c r="X44" s="8" t="s">
        <v>44</v>
      </c>
      <c r="Y44" s="8" t="s">
        <v>38</v>
      </c>
      <c r="Z44" s="8" t="s">
        <v>39</v>
      </c>
      <c r="AA44" s="8"/>
      <c r="AB44" s="8"/>
      <c r="AC44" s="8"/>
      <c r="AD44" s="8"/>
      <c r="AE44" s="8"/>
      <c r="AF44" s="8"/>
      <c r="AG44" s="8"/>
      <c r="AH44" s="8"/>
      <c r="AI44" s="8"/>
      <c r="AJ44" s="9"/>
      <c r="AK44" s="8" t="s">
        <v>38</v>
      </c>
      <c r="AL44" s="8" t="s">
        <v>486</v>
      </c>
      <c r="AM44" s="8" t="s">
        <v>38</v>
      </c>
      <c r="AN44" s="8" t="s">
        <v>56</v>
      </c>
      <c r="AO44" s="8" t="s">
        <v>181</v>
      </c>
      <c r="AP44" s="8">
        <v>34</v>
      </c>
      <c r="AQ44" s="8" t="s">
        <v>90</v>
      </c>
      <c r="AR44" s="8">
        <v>41</v>
      </c>
      <c r="AS44" s="8"/>
      <c r="AT44" s="8" t="s">
        <v>94</v>
      </c>
      <c r="AU44" s="19" t="s">
        <v>40</v>
      </c>
      <c r="AV44" s="8" t="s">
        <v>55</v>
      </c>
      <c r="AW44" s="8" t="s">
        <v>485</v>
      </c>
      <c r="AX44" s="8"/>
      <c r="AY44" s="8">
        <v>65</v>
      </c>
      <c r="AZ44" s="8"/>
      <c r="BA44" s="8" t="s">
        <v>57</v>
      </c>
      <c r="BB44" s="8"/>
      <c r="BC44" s="8"/>
      <c r="BD44" s="17" t="s">
        <v>58</v>
      </c>
      <c r="BE44" s="17" t="s">
        <v>59</v>
      </c>
      <c r="BF44" s="8"/>
      <c r="BG44" s="8"/>
      <c r="BH44" s="8"/>
      <c r="BI44" s="8" t="s">
        <v>41</v>
      </c>
      <c r="BJ44" s="8">
        <v>3140</v>
      </c>
      <c r="BK44" s="8">
        <v>50</v>
      </c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 t="s">
        <v>351</v>
      </c>
      <c r="BX44" s="8" t="s">
        <v>213</v>
      </c>
      <c r="BY44" s="8">
        <v>13888399808</v>
      </c>
      <c r="BZ44" s="8"/>
      <c r="CA44" s="8"/>
      <c r="CB44" s="8"/>
      <c r="CC44" s="8"/>
      <c r="CD44" s="8"/>
      <c r="CE44" s="8">
        <v>13888456721</v>
      </c>
      <c r="CF44" s="8"/>
      <c r="CG44" s="8"/>
      <c r="CH44" s="8"/>
      <c r="CI44" s="8"/>
      <c r="CJ44" s="8"/>
      <c r="CK44" s="8"/>
      <c r="CL44" s="8"/>
    </row>
    <row r="45" spans="1:90" s="2" customFormat="1" ht="20.25" customHeight="1">
      <c r="A45" s="8">
        <v>44</v>
      </c>
      <c r="B45" s="8">
        <v>201805044</v>
      </c>
      <c r="C45" s="8" t="s">
        <v>352</v>
      </c>
      <c r="D45" s="8">
        <v>831</v>
      </c>
      <c r="E45" s="8"/>
      <c r="F45" s="8"/>
      <c r="G45" s="8"/>
      <c r="H45" s="8"/>
      <c r="I45" s="19">
        <v>43250</v>
      </c>
      <c r="J45" s="8"/>
      <c r="K45" s="8"/>
      <c r="L45" s="8">
        <v>18608886708</v>
      </c>
      <c r="M45" s="8"/>
      <c r="N45" s="8"/>
      <c r="O45" s="8">
        <v>1989</v>
      </c>
      <c r="P45" s="17">
        <v>12.24</v>
      </c>
      <c r="Q45" s="17" t="s">
        <v>353</v>
      </c>
      <c r="R45" s="8" t="s">
        <v>354</v>
      </c>
      <c r="S45" s="8"/>
      <c r="T45" s="8" t="s">
        <v>355</v>
      </c>
      <c r="U45" s="8"/>
      <c r="V45" s="8" t="s">
        <v>271</v>
      </c>
      <c r="W45" s="8" t="s">
        <v>560</v>
      </c>
      <c r="X45" s="8" t="s">
        <v>356</v>
      </c>
      <c r="Y45" s="8" t="s">
        <v>561</v>
      </c>
      <c r="Z45" s="8" t="s">
        <v>562</v>
      </c>
      <c r="AA45" s="8"/>
      <c r="AB45" s="8"/>
      <c r="AC45" s="8"/>
      <c r="AD45" s="8"/>
      <c r="AE45" s="8"/>
      <c r="AF45" s="8"/>
      <c r="AG45" s="8"/>
      <c r="AH45" s="8"/>
      <c r="AI45" s="8"/>
      <c r="AJ45" s="9" t="s">
        <v>566</v>
      </c>
      <c r="AK45" s="8" t="s">
        <v>561</v>
      </c>
      <c r="AL45" s="8" t="s">
        <v>561</v>
      </c>
      <c r="AM45" s="8" t="s">
        <v>561</v>
      </c>
      <c r="AN45" s="8" t="s">
        <v>563</v>
      </c>
      <c r="AO45" s="8"/>
      <c r="AP45" s="8" t="s">
        <v>68</v>
      </c>
      <c r="AQ45" s="8" t="s">
        <v>85</v>
      </c>
      <c r="AR45" s="8">
        <v>28</v>
      </c>
      <c r="AS45" s="8">
        <v>7</v>
      </c>
      <c r="AT45" s="8" t="s">
        <v>357</v>
      </c>
      <c r="AU45" s="8" t="s">
        <v>40</v>
      </c>
      <c r="AV45" s="8" t="s">
        <v>564</v>
      </c>
      <c r="AW45" s="8" t="s">
        <v>358</v>
      </c>
      <c r="AX45" s="8"/>
      <c r="AY45" s="8">
        <v>65</v>
      </c>
      <c r="AZ45" s="8"/>
      <c r="BA45" s="8" t="s">
        <v>565</v>
      </c>
      <c r="BB45" s="8"/>
      <c r="BC45" s="8"/>
      <c r="BD45" s="19">
        <v>43246</v>
      </c>
      <c r="BE45" s="20">
        <v>0.95763888888888904</v>
      </c>
      <c r="BF45" s="8"/>
      <c r="BG45" s="8" t="s">
        <v>359</v>
      </c>
      <c r="BH45" s="8"/>
      <c r="BI45" s="8" t="s">
        <v>70</v>
      </c>
      <c r="BJ45" s="8">
        <v>3140</v>
      </c>
      <c r="BK45" s="8">
        <v>50</v>
      </c>
      <c r="BL45" s="8"/>
      <c r="BM45" s="8"/>
      <c r="BN45" s="8"/>
      <c r="BO45" s="8" t="s">
        <v>559</v>
      </c>
      <c r="BP45" s="8" t="s">
        <v>558</v>
      </c>
      <c r="BQ45" s="8"/>
      <c r="BR45" s="8"/>
      <c r="BS45" s="8"/>
      <c r="BT45" s="8"/>
      <c r="BU45" s="8"/>
      <c r="BV45" s="8"/>
      <c r="BW45" s="8" t="s">
        <v>360</v>
      </c>
      <c r="BX45" s="8" t="s">
        <v>236</v>
      </c>
      <c r="BY45" s="8">
        <v>13908887179</v>
      </c>
      <c r="BZ45" s="8"/>
      <c r="CA45" s="8"/>
      <c r="CB45" s="8"/>
      <c r="CC45" s="8"/>
      <c r="CD45" s="8"/>
      <c r="CE45" s="8">
        <v>13908880100</v>
      </c>
      <c r="CF45" s="8"/>
      <c r="CG45" s="8"/>
      <c r="CH45" s="8"/>
      <c r="CI45" s="8"/>
      <c r="CJ45" s="8"/>
      <c r="CK45" s="8"/>
      <c r="CL45" s="8"/>
    </row>
    <row r="46" spans="1:90" ht="20.25" customHeight="1">
      <c r="A46" s="8">
        <v>45</v>
      </c>
      <c r="B46" s="8">
        <v>201805045</v>
      </c>
      <c r="C46" s="12" t="s">
        <v>361</v>
      </c>
      <c r="D46" s="12">
        <v>732</v>
      </c>
      <c r="E46" s="12"/>
      <c r="F46" s="12"/>
      <c r="G46" s="12"/>
      <c r="H46" s="12"/>
      <c r="I46" s="12"/>
      <c r="J46" s="12"/>
      <c r="K46" s="12"/>
      <c r="L46" s="12">
        <v>15887290509</v>
      </c>
      <c r="M46" s="12"/>
      <c r="N46" s="12"/>
      <c r="O46" s="12">
        <v>1986</v>
      </c>
      <c r="P46" s="24"/>
      <c r="Q46" s="24"/>
      <c r="R46" s="12" t="s">
        <v>362</v>
      </c>
      <c r="S46" s="12"/>
      <c r="T46" s="12"/>
      <c r="U46" s="12"/>
      <c r="V46" s="12" t="s">
        <v>45</v>
      </c>
      <c r="W46" s="12"/>
      <c r="X46" s="12" t="s">
        <v>44</v>
      </c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3"/>
      <c r="AK46" s="12"/>
      <c r="AL46" s="12"/>
      <c r="AM46" s="12"/>
      <c r="AN46" s="12"/>
      <c r="AO46" s="12"/>
      <c r="AP46" s="12"/>
      <c r="AQ46" s="12"/>
      <c r="AR46" s="12"/>
      <c r="AS46" s="12"/>
      <c r="AT46" s="12" t="s">
        <v>363</v>
      </c>
      <c r="AU46" s="12" t="s">
        <v>40</v>
      </c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 t="s">
        <v>364</v>
      </c>
      <c r="BI46" s="12" t="s">
        <v>41</v>
      </c>
      <c r="BJ46" s="12"/>
      <c r="BK46" s="12"/>
      <c r="BL46" s="12"/>
      <c r="BM46" s="12"/>
      <c r="BN46" s="12"/>
      <c r="BO46" s="12"/>
      <c r="BP46" s="12" t="s">
        <v>365</v>
      </c>
      <c r="BQ46" s="12"/>
      <c r="BR46" s="12"/>
      <c r="BS46" s="12"/>
      <c r="BT46" s="12"/>
      <c r="BU46" s="12"/>
      <c r="BV46" s="12"/>
      <c r="BW46" s="12" t="s">
        <v>366</v>
      </c>
      <c r="BX46" s="12" t="s">
        <v>213</v>
      </c>
      <c r="BY46" s="12">
        <v>15198869185</v>
      </c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</row>
    <row r="47" spans="1:90" s="2" customFormat="1" ht="20.25" customHeight="1">
      <c r="A47" s="8">
        <v>46</v>
      </c>
      <c r="B47" s="8">
        <v>201805046</v>
      </c>
      <c r="C47" s="7" t="s">
        <v>424</v>
      </c>
      <c r="D47" s="8">
        <v>730</v>
      </c>
      <c r="E47" s="8"/>
      <c r="F47" s="8"/>
      <c r="G47" s="8"/>
      <c r="H47" s="8"/>
      <c r="I47" s="8"/>
      <c r="J47" s="8"/>
      <c r="K47" s="8"/>
      <c r="L47" s="8">
        <v>17708589969</v>
      </c>
      <c r="M47" s="8"/>
      <c r="N47" s="8"/>
      <c r="O47" s="8">
        <v>1982</v>
      </c>
      <c r="P47" s="18" t="s">
        <v>425</v>
      </c>
      <c r="Q47" s="18" t="s">
        <v>426</v>
      </c>
      <c r="R47" s="7" t="s">
        <v>430</v>
      </c>
      <c r="S47" s="8"/>
      <c r="T47" s="8"/>
      <c r="U47" s="8"/>
      <c r="V47" s="7" t="s">
        <v>428</v>
      </c>
      <c r="W47" s="8"/>
      <c r="X47" s="7" t="s">
        <v>367</v>
      </c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9"/>
      <c r="AK47" s="8"/>
      <c r="AL47" s="8"/>
      <c r="AM47" s="8"/>
      <c r="AN47" s="8"/>
      <c r="AO47" s="19">
        <v>43220</v>
      </c>
      <c r="AP47" s="8"/>
      <c r="AQ47" s="7" t="s">
        <v>429</v>
      </c>
      <c r="AR47" s="8"/>
      <c r="AS47" s="8"/>
      <c r="AT47" s="8"/>
      <c r="AU47" s="7" t="s">
        <v>370</v>
      </c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7" t="s">
        <v>393</v>
      </c>
      <c r="BJ47" s="8"/>
      <c r="BK47" s="8"/>
      <c r="BL47" s="8"/>
      <c r="BM47" s="8"/>
      <c r="BN47" s="8"/>
      <c r="BO47" s="8"/>
      <c r="BP47" s="8"/>
      <c r="BQ47" s="8"/>
      <c r="BR47" s="8"/>
      <c r="BS47" s="7"/>
      <c r="BT47" s="7"/>
      <c r="BU47" s="7"/>
      <c r="BV47" s="7"/>
      <c r="BW47" s="7" t="s">
        <v>427</v>
      </c>
      <c r="BX47" s="7" t="s">
        <v>395</v>
      </c>
      <c r="BY47" s="8">
        <v>18985497791</v>
      </c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</row>
    <row r="48" spans="1:90" s="2" customFormat="1" ht="20.25" customHeight="1">
      <c r="A48" s="8">
        <v>47</v>
      </c>
      <c r="B48" s="8">
        <v>201805047</v>
      </c>
      <c r="C48" s="7" t="s">
        <v>435</v>
      </c>
      <c r="D48" s="8">
        <v>710</v>
      </c>
      <c r="E48" s="8"/>
      <c r="F48" s="8"/>
      <c r="G48" s="8"/>
      <c r="H48" s="8"/>
      <c r="I48" s="8"/>
      <c r="J48" s="8"/>
      <c r="K48" s="8"/>
      <c r="L48" s="8">
        <v>13888709121</v>
      </c>
      <c r="M48" s="8"/>
      <c r="N48" s="8"/>
      <c r="O48" s="8">
        <v>1978</v>
      </c>
      <c r="P48" s="18" t="s">
        <v>436</v>
      </c>
      <c r="Q48" s="18" t="s">
        <v>437</v>
      </c>
      <c r="R48" s="7" t="s">
        <v>441</v>
      </c>
      <c r="S48" s="8"/>
      <c r="T48" s="7" t="s">
        <v>438</v>
      </c>
      <c r="U48" s="8"/>
      <c r="V48" s="7" t="s">
        <v>428</v>
      </c>
      <c r="W48" s="8"/>
      <c r="X48" s="7" t="s">
        <v>367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9"/>
      <c r="AK48" s="8"/>
      <c r="AL48" s="7"/>
      <c r="AM48" s="8"/>
      <c r="AN48" s="8"/>
      <c r="AO48" s="8"/>
      <c r="AP48" s="8"/>
      <c r="AQ48" s="7" t="s">
        <v>440</v>
      </c>
      <c r="AR48" s="8"/>
      <c r="AS48" s="8"/>
      <c r="AT48" s="7" t="s">
        <v>439</v>
      </c>
      <c r="AU48" s="7" t="s">
        <v>370</v>
      </c>
      <c r="AV48" s="8"/>
      <c r="AW48" s="7" t="s">
        <v>442</v>
      </c>
      <c r="AX48" s="8"/>
      <c r="AY48" s="8"/>
      <c r="AZ48" s="8"/>
      <c r="BA48" s="8"/>
      <c r="BB48" s="8"/>
      <c r="BC48" s="8"/>
      <c r="BD48" s="19">
        <v>43224</v>
      </c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7"/>
      <c r="BT48" s="7"/>
      <c r="BU48" s="7"/>
      <c r="BV48" s="7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</row>
    <row r="49" spans="1:90" s="2" customFormat="1" ht="20.25" customHeight="1">
      <c r="A49" s="8">
        <v>48</v>
      </c>
      <c r="B49" s="8">
        <v>201805048</v>
      </c>
      <c r="C49" s="8" t="s">
        <v>543</v>
      </c>
      <c r="D49" s="8">
        <v>806</v>
      </c>
      <c r="E49" s="8"/>
      <c r="F49" s="8"/>
      <c r="G49" s="8"/>
      <c r="H49" s="8"/>
      <c r="I49" s="19">
        <v>43225</v>
      </c>
      <c r="J49" s="8"/>
      <c r="K49" s="8"/>
      <c r="L49" s="8">
        <v>18669216556</v>
      </c>
      <c r="M49" s="8"/>
      <c r="N49" s="8"/>
      <c r="O49" s="8"/>
      <c r="P49" s="17"/>
      <c r="Q49" s="17"/>
      <c r="R49" s="8"/>
      <c r="S49" s="8"/>
      <c r="T49" s="8"/>
      <c r="U49" s="8"/>
      <c r="V49" s="8" t="s">
        <v>545</v>
      </c>
      <c r="W49" s="8" t="s">
        <v>536</v>
      </c>
      <c r="X49" s="8" t="s">
        <v>544</v>
      </c>
      <c r="Y49" s="8" t="s">
        <v>533</v>
      </c>
      <c r="Z49" s="8" t="s">
        <v>535</v>
      </c>
      <c r="AA49" s="8"/>
      <c r="AB49" s="8"/>
      <c r="AC49" s="8"/>
      <c r="AD49" s="8"/>
      <c r="AE49" s="8"/>
      <c r="AF49" s="8"/>
      <c r="AG49" s="8"/>
      <c r="AH49" s="8"/>
      <c r="AI49" s="8"/>
      <c r="AJ49" s="9"/>
      <c r="AK49" s="8" t="s">
        <v>533</v>
      </c>
      <c r="AL49" s="8" t="s">
        <v>533</v>
      </c>
      <c r="AM49" s="8" t="s">
        <v>547</v>
      </c>
      <c r="AN49" s="8" t="s">
        <v>56</v>
      </c>
      <c r="AO49" s="8"/>
      <c r="AP49" s="8"/>
      <c r="AQ49" s="8"/>
      <c r="AR49" s="8"/>
      <c r="AS49" s="8"/>
      <c r="AT49" s="8"/>
      <c r="AU49" s="8" t="s">
        <v>370</v>
      </c>
      <c r="AV49" s="8" t="s">
        <v>546</v>
      </c>
      <c r="AW49" s="8" t="s">
        <v>549</v>
      </c>
      <c r="AX49" s="8"/>
      <c r="AY49" s="8">
        <v>74.8</v>
      </c>
      <c r="AZ49" s="8"/>
      <c r="BA49" s="8"/>
      <c r="BB49" s="8"/>
      <c r="BC49" s="8"/>
      <c r="BD49" s="19">
        <v>43220</v>
      </c>
      <c r="BE49" s="20">
        <v>0.46319444444444446</v>
      </c>
      <c r="BF49" s="8"/>
      <c r="BG49" s="8"/>
      <c r="BH49" s="8"/>
      <c r="BI49" s="8" t="s">
        <v>548</v>
      </c>
      <c r="BJ49" s="8">
        <v>3600</v>
      </c>
      <c r="BK49" s="8">
        <v>52</v>
      </c>
      <c r="BL49" s="8"/>
      <c r="BM49" s="8">
        <v>3510</v>
      </c>
      <c r="BN49" s="8"/>
      <c r="BO49" s="8" t="s">
        <v>539</v>
      </c>
      <c r="BP49" s="8" t="s">
        <v>550</v>
      </c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</row>
  </sheetData>
  <phoneticPr fontId="2" type="noConversion"/>
  <hyperlinks>
    <hyperlink ref="C2" location="李骜!A1" display="李骜"/>
    <hyperlink ref="C3" location="马翥!A1" display="马翥"/>
    <hyperlink ref="C4" location="谭澍!A1" display="谭澍"/>
    <hyperlink ref="C5" location="郭君!A1" display="郭君"/>
    <hyperlink ref="C6" location="王慧勤!A1" display="王慧勤"/>
    <hyperlink ref="C7" location="叶小娇!A1" display="叶小娇"/>
    <hyperlink ref="C8" location="朱丽羽!A1" display="朱丽羽"/>
    <hyperlink ref="C9" location="昂静菲!A1" display="昂静菲"/>
    <hyperlink ref="C10" location="陈焕美!A1" display="陈焕美"/>
    <hyperlink ref="C11" location="杨芸!A1" display="杨芸"/>
    <hyperlink ref="C12" location="胡永俊!A1" display="胡永俊"/>
  </hyperlink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I18" sqref="I18"/>
    </sheetView>
  </sheetViews>
  <sheetFormatPr defaultRowHeight="17.25" customHeight="1"/>
  <cols>
    <col min="1" max="1" width="5" style="36" customWidth="1"/>
    <col min="2" max="2" width="15" style="2" customWidth="1"/>
    <col min="3" max="3" width="15.5" style="2" bestFit="1" customWidth="1"/>
    <col min="4" max="7" width="15.625" style="2" customWidth="1"/>
    <col min="8" max="8" width="5.25" style="2" bestFit="1" customWidth="1"/>
    <col min="9" max="11" width="9" style="2"/>
    <col min="12" max="12" width="13" style="2" bestFit="1" customWidth="1"/>
    <col min="13" max="13" width="9" style="2"/>
    <col min="14" max="15" width="11" style="2" bestFit="1" customWidth="1"/>
    <col min="16" max="16" width="7.5" style="2" bestFit="1" customWidth="1"/>
    <col min="17" max="17" width="9" style="2"/>
    <col min="18" max="18" width="7.5" style="2" bestFit="1" customWidth="1"/>
    <col min="19" max="20" width="5.25" style="2" bestFit="1" customWidth="1"/>
    <col min="21" max="22" width="9" style="2"/>
    <col min="23" max="23" width="5.25" style="2" bestFit="1" customWidth="1"/>
    <col min="24" max="31" width="9" style="2"/>
    <col min="32" max="32" width="13" style="2" bestFit="1" customWidth="1"/>
    <col min="33" max="33" width="9" style="2"/>
    <col min="34" max="34" width="11" style="2" bestFit="1" customWidth="1"/>
    <col min="35" max="37" width="7.125" style="2" bestFit="1" customWidth="1"/>
    <col min="38" max="39" width="5.25" style="2" bestFit="1" customWidth="1"/>
    <col min="40" max="44" width="9" style="2"/>
    <col min="45" max="47" width="13" style="2" bestFit="1" customWidth="1"/>
    <col min="48" max="48" width="9" style="2"/>
    <col min="49" max="49" width="7.125" style="2" bestFit="1" customWidth="1"/>
    <col min="50" max="50" width="13" style="2" bestFit="1" customWidth="1"/>
    <col min="51" max="51" width="9" style="2"/>
    <col min="52" max="52" width="7.125" style="2" bestFit="1" customWidth="1"/>
    <col min="53" max="55" width="9" style="2"/>
    <col min="56" max="56" width="16.375" style="2" bestFit="1" customWidth="1"/>
    <col min="57" max="57" width="17.5" style="2" bestFit="1" customWidth="1"/>
    <col min="58" max="59" width="16.375" style="2" bestFit="1" customWidth="1"/>
    <col min="60" max="60" width="9" style="2"/>
    <col min="61" max="61" width="13" style="2" bestFit="1" customWidth="1"/>
    <col min="62" max="64" width="9" style="2"/>
    <col min="65" max="65" width="17.25" style="2" bestFit="1" customWidth="1"/>
    <col min="66" max="68" width="9" style="2"/>
    <col min="69" max="69" width="13" style="2" bestFit="1" customWidth="1"/>
    <col min="70" max="70" width="9" style="2"/>
    <col min="71" max="71" width="10" style="2" bestFit="1" customWidth="1"/>
    <col min="72" max="72" width="9" style="2"/>
    <col min="73" max="73" width="11" style="2" bestFit="1" customWidth="1"/>
    <col min="74" max="74" width="9" style="2"/>
    <col min="75" max="75" width="10" style="2" bestFit="1" customWidth="1"/>
    <col min="76" max="77" width="9" style="2"/>
    <col min="78" max="78" width="10" style="2" bestFit="1" customWidth="1"/>
    <col min="79" max="80" width="9" style="2"/>
    <col min="81" max="82" width="11" style="2" bestFit="1" customWidth="1"/>
    <col min="83" max="16384" width="9" style="2"/>
  </cols>
  <sheetData>
    <row r="1" spans="1:13" ht="17.25" customHeight="1">
      <c r="A1" s="53" t="s">
        <v>597</v>
      </c>
      <c r="B1" s="26" t="s">
        <v>1</v>
      </c>
      <c r="C1" s="39">
        <v>201805009</v>
      </c>
      <c r="D1" s="40"/>
      <c r="E1" s="40"/>
      <c r="F1" s="40"/>
      <c r="G1" s="34"/>
    </row>
    <row r="2" spans="1:13" s="28" customFormat="1" ht="17.25" customHeight="1">
      <c r="A2" s="53"/>
      <c r="B2" s="26" t="s">
        <v>2</v>
      </c>
      <c r="C2" s="26" t="str">
        <f>VLOOKUP($C$1,详尽档案总表!$B$1:$CL$49,2,FALSE)</f>
        <v>陈焕美</v>
      </c>
      <c r="D2" s="26" t="s">
        <v>598</v>
      </c>
      <c r="E2" s="26">
        <f>VLOOKUP($C$1,详尽档案总表!$B$1:$CL$49,3,FALSE)</f>
        <v>807</v>
      </c>
      <c r="F2" s="27" t="s">
        <v>599</v>
      </c>
      <c r="G2" s="26">
        <f>VLOOKUP($C$1,详尽档案总表!$B$1:$CL$49,4,FALSE)</f>
        <v>2018011801</v>
      </c>
    </row>
    <row r="3" spans="1:13" ht="17.25" customHeight="1">
      <c r="A3" s="53"/>
      <c r="B3" s="26" t="s">
        <v>3</v>
      </c>
      <c r="C3" s="26">
        <f>VLOOKUP($C$1,详尽档案总表!$B$1:$CL$49,5,FALSE)</f>
        <v>34800</v>
      </c>
      <c r="D3" s="27" t="s">
        <v>600</v>
      </c>
      <c r="E3" s="26" t="str">
        <f>VLOOKUP($C$1,详尽档案总表!$B$1:$CL$49,6,FALSE)</f>
        <v>舒心房</v>
      </c>
      <c r="F3" s="26" t="s">
        <v>601</v>
      </c>
      <c r="G3" s="26">
        <f>VLOOKUP($C$1,详尽档案总表!$B$1:$CL$49,7,FALSE)</f>
        <v>26</v>
      </c>
    </row>
    <row r="4" spans="1:13" ht="17.25" customHeight="1">
      <c r="A4" s="53"/>
      <c r="B4" s="27" t="s">
        <v>35</v>
      </c>
      <c r="C4" s="26">
        <f>VLOOKUP($C$1,详尽档案总表!$B$1:$CL$49,8,FALSE)</f>
        <v>43249</v>
      </c>
      <c r="D4" s="27" t="s">
        <v>36</v>
      </c>
      <c r="E4" s="26">
        <f>VLOOKUP($C$1,详尽档案总表!$B$1:$CL$49,9,FALSE)</f>
        <v>0</v>
      </c>
      <c r="F4" s="26" t="s">
        <v>602</v>
      </c>
      <c r="G4" s="26">
        <f>VLOOKUP($C$1,详尽档案总表!$B$1:$CL$49,10,FALSE)</f>
        <v>0</v>
      </c>
    </row>
    <row r="5" spans="1:13" ht="17.25" customHeight="1">
      <c r="A5" s="53"/>
      <c r="B5" s="26" t="s">
        <v>5</v>
      </c>
      <c r="C5" s="26">
        <f>VLOOKUP($C$1,详尽档案总表!$B$1:$CL$49,11,FALSE)</f>
        <v>15240800080</v>
      </c>
      <c r="D5" s="26" t="s">
        <v>603</v>
      </c>
      <c r="E5" s="26">
        <f>VLOOKUP($C$1,详尽档案总表!$B$1:$CL$49,12,FALSE)</f>
        <v>0</v>
      </c>
      <c r="F5" s="26" t="s">
        <v>604</v>
      </c>
      <c r="G5" s="26">
        <f>VLOOKUP($C$1,详尽档案总表!$B$1:$CL$49,13,FALSE)</f>
        <v>0</v>
      </c>
    </row>
    <row r="6" spans="1:13" ht="17.25" customHeight="1">
      <c r="A6" s="53"/>
      <c r="B6" s="27" t="s">
        <v>4</v>
      </c>
      <c r="C6" s="50" t="str">
        <f>VLOOKUP($C$1,详尽档案总表!$B$1:$CL$49,16,FALSE)</f>
        <v>532128198604200585</v>
      </c>
      <c r="D6" s="27" t="s">
        <v>205</v>
      </c>
      <c r="E6" s="49" t="str">
        <f>VLOOKUP($C$1,详尽档案总表!$B$1:$CL$49,17,FALSE)</f>
        <v>云南省昭通市镇雄县中屯乡柳林村民委员会中田坝村民小组30号</v>
      </c>
      <c r="F6" s="42"/>
      <c r="G6" s="43"/>
    </row>
    <row r="7" spans="1:13" ht="17.25" customHeight="1">
      <c r="A7" s="53"/>
      <c r="B7" s="26" t="s">
        <v>12</v>
      </c>
      <c r="C7" s="26">
        <f>VLOOKUP($C$1,详尽档案总表!$B$1:$CL$49,18,FALSE)</f>
        <v>0</v>
      </c>
      <c r="D7" s="27" t="s">
        <v>605</v>
      </c>
      <c r="E7" s="26" t="str">
        <f>VLOOKUP($C$1,详尽档案总表!$B$1:$CL$49,19,FALSE)</f>
        <v>昆明市官渡区民航路格林威治小区1幢4单元1201</v>
      </c>
      <c r="F7" s="42"/>
      <c r="G7" s="43"/>
    </row>
    <row r="8" spans="1:13" ht="17.25" customHeight="1">
      <c r="A8" s="53"/>
      <c r="B8" s="26" t="s">
        <v>7</v>
      </c>
      <c r="C8" s="26">
        <f>VLOOKUP($C$1,详尽档案总表!$B$1:$CL$49,20,FALSE)</f>
        <v>0</v>
      </c>
      <c r="D8" s="27" t="s">
        <v>606</v>
      </c>
      <c r="E8" s="26" t="str">
        <f>VLOOKUP($C$1,详尽档案总表!$B$1:$CL$49,21,FALSE)</f>
        <v>职员</v>
      </c>
      <c r="F8" s="27" t="s">
        <v>9</v>
      </c>
      <c r="G8" s="26" t="str">
        <f>VLOOKUP($C$1,详尽档案总表!$B$1:$CL$49,22,FALSE)</f>
        <v>是</v>
      </c>
    </row>
    <row r="9" spans="1:13" ht="17.25" customHeight="1">
      <c r="A9" s="53"/>
      <c r="B9" s="26" t="s">
        <v>8</v>
      </c>
      <c r="C9" s="26" t="str">
        <f>VLOOKUP($C$1,详尽档案总表!$B$1:$CL$49,23,FALSE)</f>
        <v>汉</v>
      </c>
      <c r="D9" s="27" t="s">
        <v>10</v>
      </c>
      <c r="E9" s="26" t="str">
        <f>VLOOKUP($C$1,详尽档案总表!$B$1:$CL$49,24,FALSE)</f>
        <v>无</v>
      </c>
      <c r="F9" s="26" t="s">
        <v>11</v>
      </c>
      <c r="G9" s="26" t="str">
        <f>VLOOKUP($C$1,详尽档案总表!$B$1:$CL$49,25,FALSE)</f>
        <v>大学本科</v>
      </c>
    </row>
    <row r="10" spans="1:13" ht="17.25" customHeight="1">
      <c r="A10" s="53"/>
      <c r="B10" s="26" t="s">
        <v>13</v>
      </c>
      <c r="C10" s="26">
        <f>VLOOKUP($C$1,详尽档案总表!$B$1:$CL$49,26,FALSE)</f>
        <v>0</v>
      </c>
      <c r="D10" s="26" t="s">
        <v>14</v>
      </c>
      <c r="E10" s="26">
        <f>VLOOKUP($C$1,详尽档案总表!$B$1:$CL$49,27,FALSE)</f>
        <v>0</v>
      </c>
      <c r="F10" s="26" t="s">
        <v>607</v>
      </c>
      <c r="G10" s="26">
        <f>VLOOKUP($C$1,详尽档案总表!$B$1:$CL$49,28,FALSE)</f>
        <v>0</v>
      </c>
    </row>
    <row r="11" spans="1:13" ht="17.25" customHeight="1">
      <c r="A11" s="53"/>
      <c r="B11" s="26" t="s">
        <v>608</v>
      </c>
      <c r="C11" s="26">
        <f>VLOOKUP($C$1,详尽档案总表!$B$1:$CL$49,29,FALSE)</f>
        <v>0</v>
      </c>
      <c r="D11" s="26" t="s">
        <v>609</v>
      </c>
      <c r="E11" s="26">
        <f>VLOOKUP($C$1,详尽档案总表!$B$1:$CL$49,30,FALSE)</f>
        <v>0</v>
      </c>
      <c r="F11" s="26" t="s">
        <v>610</v>
      </c>
      <c r="G11" s="26">
        <f>VLOOKUP($C$1,详尽档案总表!$B$1:$CL$49,31,FALSE)</f>
        <v>0</v>
      </c>
    </row>
    <row r="12" spans="1:13" ht="17.25" customHeight="1">
      <c r="A12" s="53"/>
      <c r="B12" s="26" t="s">
        <v>611</v>
      </c>
      <c r="C12" s="26">
        <f>VLOOKUP($C$1,详尽档案总表!$B$1:$CL$49,32,FALSE)</f>
        <v>0</v>
      </c>
      <c r="D12" s="26" t="s">
        <v>612</v>
      </c>
      <c r="E12" s="26">
        <f>VLOOKUP($C$1,详尽档案总表!$B$1:$CL$49,33,FALSE)</f>
        <v>0</v>
      </c>
      <c r="F12" s="26" t="s">
        <v>613</v>
      </c>
      <c r="G12" s="26">
        <f>VLOOKUP($C$1,详尽档案总表!$B$1:$CL$49,34,FALSE)</f>
        <v>0</v>
      </c>
    </row>
    <row r="13" spans="1:13" ht="17.25" customHeight="1">
      <c r="A13" s="53"/>
      <c r="B13" s="26" t="s">
        <v>15</v>
      </c>
      <c r="C13" s="39" t="str">
        <f>VLOOKUP($C$1,详尽档案总表!$B$1:$CL$49,35,FALSE)</f>
        <v>不喜欢吃姜</v>
      </c>
      <c r="D13" s="40"/>
      <c r="E13" s="40"/>
      <c r="F13" s="40"/>
      <c r="G13" s="34"/>
    </row>
    <row r="14" spans="1:13" ht="17.25" customHeight="1">
      <c r="A14" s="53"/>
      <c r="B14" s="26" t="s">
        <v>19</v>
      </c>
      <c r="C14" s="26" t="str">
        <f>VLOOKUP($C$1,详尽档案总表!$B$1:$CL$49,36,FALSE)</f>
        <v>无</v>
      </c>
      <c r="D14" s="26" t="s">
        <v>18</v>
      </c>
      <c r="E14" s="26" t="str">
        <f>VLOOKUP($C$1,详尽档案总表!$B$1:$CL$49,37,FALSE)</f>
        <v>无</v>
      </c>
      <c r="F14" s="26" t="s">
        <v>17</v>
      </c>
      <c r="G14" s="26" t="str">
        <f>VLOOKUP($C$1,详尽档案总表!$B$1:$CL$49,38,FALSE)</f>
        <v>无</v>
      </c>
    </row>
    <row r="15" spans="1:13" ht="17.25" customHeight="1">
      <c r="A15" s="53"/>
      <c r="B15" s="26" t="s">
        <v>20</v>
      </c>
      <c r="C15" s="26" t="str">
        <f>VLOOKUP($C$1,详尽档案总表!$B$1:$CL$49,39,FALSE)</f>
        <v>A</v>
      </c>
      <c r="D15" s="26" t="s">
        <v>80</v>
      </c>
      <c r="E15" s="26" t="str">
        <f>VLOOKUP($C$1,详尽档案总表!$B$1:$CL$49,40,FALSE)</f>
        <v>2018.5.20</v>
      </c>
      <c r="F15" s="26" t="s">
        <v>25</v>
      </c>
      <c r="G15" s="26">
        <f>VLOOKUP($C$1,详尽档案总表!$B$1:$CL$49,41,FALSE)</f>
        <v>39</v>
      </c>
    </row>
    <row r="16" spans="1:13" ht="17.25" customHeight="1">
      <c r="A16" s="53"/>
      <c r="B16" s="26" t="s">
        <v>206</v>
      </c>
      <c r="C16" s="26" t="str">
        <f>VLOOKUP($C$1,详尽档案总表!$B$1:$CL$49,42,FALSE)</f>
        <v>二胎</v>
      </c>
      <c r="D16" s="26" t="s">
        <v>207</v>
      </c>
      <c r="E16" s="26">
        <f>VLOOKUP($C$1,详尽档案总表!$B$1:$CL$49,43,FALSE)</f>
        <v>32</v>
      </c>
      <c r="F16" s="26" t="s">
        <v>22</v>
      </c>
      <c r="G16" s="26">
        <f>VLOOKUP($C$1,详尽档案总表!$B$1:$CL$49,44,FALSE)</f>
        <v>0</v>
      </c>
      <c r="M16" s="41"/>
    </row>
    <row r="17" spans="1:7" ht="17.25" customHeight="1">
      <c r="A17" s="53"/>
      <c r="B17" s="26" t="s">
        <v>21</v>
      </c>
      <c r="C17" s="26" t="str">
        <f>VLOOKUP($C$1,详尽档案总表!$B$1:$CL$49,45,FALSE)</f>
        <v>市妇幼</v>
      </c>
      <c r="D17" s="26" t="s">
        <v>24</v>
      </c>
      <c r="E17" s="26" t="str">
        <f>VLOOKUP($C$1,详尽档案总表!$B$1:$CL$49,46,FALSE)</f>
        <v>顺产</v>
      </c>
      <c r="F17" s="26" t="s">
        <v>16</v>
      </c>
      <c r="G17" s="26" t="str">
        <f>VLOOKUP($C$1,详尽档案总表!$B$1:$CL$49,47,FALSE)</f>
        <v>会阴裂伤Ⅱ度</v>
      </c>
    </row>
    <row r="18" spans="1:7" ht="17.25" customHeight="1">
      <c r="A18" s="53"/>
      <c r="B18" s="26" t="s">
        <v>23</v>
      </c>
      <c r="C18" s="39" t="str">
        <f>VLOOKUP($C$1,详尽档案总表!$B$1:$CL$49,48,FALSE)</f>
        <v>G2P2孕39周/顺产</v>
      </c>
      <c r="D18" s="37"/>
      <c r="E18" s="37"/>
      <c r="F18" s="37"/>
      <c r="G18" s="38"/>
    </row>
    <row r="19" spans="1:7" ht="17.25" customHeight="1">
      <c r="A19" s="53"/>
      <c r="B19" s="26" t="s">
        <v>614</v>
      </c>
      <c r="C19" s="26">
        <f>VLOOKUP($C$1,详尽档案总表!$B$1:$CL$49,49,FALSE)</f>
        <v>0</v>
      </c>
      <c r="D19" s="29" t="s">
        <v>615</v>
      </c>
      <c r="E19" s="26">
        <f>VLOOKUP($C$1,详尽档案总表!$B$1:$CL$49,50,FALSE)</f>
        <v>56.8</v>
      </c>
      <c r="F19" s="29" t="s">
        <v>616</v>
      </c>
      <c r="G19" s="26">
        <f>VLOOKUP($C$1,详尽档案总表!$B$1:$CL$49,51,FALSE)</f>
        <v>0</v>
      </c>
    </row>
    <row r="20" spans="1:7" ht="17.25" customHeight="1">
      <c r="A20" s="53"/>
      <c r="B20" s="26" t="s">
        <v>617</v>
      </c>
      <c r="C20" s="39">
        <f>VLOOKUP($C$1,详尽档案总表!$B$1:$CL$49,52,FALSE)</f>
        <v>0</v>
      </c>
      <c r="D20" s="37"/>
      <c r="E20" s="37"/>
      <c r="F20" s="37"/>
      <c r="G20" s="38"/>
    </row>
    <row r="21" spans="1:7" ht="17.25" customHeight="1">
      <c r="A21" s="53"/>
      <c r="B21" s="27" t="s">
        <v>618</v>
      </c>
      <c r="C21" s="39">
        <f>VLOOKUP($C$1,详尽档案总表!$B$1:$CL$49,53,FALSE)</f>
        <v>0</v>
      </c>
      <c r="D21" s="42"/>
      <c r="E21" s="42"/>
      <c r="F21" s="42"/>
      <c r="G21" s="43"/>
    </row>
    <row r="22" spans="1:7" ht="17.25" customHeight="1">
      <c r="A22" s="53"/>
      <c r="B22" s="27" t="s">
        <v>619</v>
      </c>
      <c r="C22" s="39">
        <f>VLOOKUP($C$1,详尽档案总表!$B$1:$CL$49,54,FALSE)</f>
        <v>0</v>
      </c>
      <c r="D22" s="42"/>
      <c r="E22" s="42"/>
      <c r="F22" s="42"/>
      <c r="G22" s="43"/>
    </row>
    <row r="23" spans="1:7" ht="17.25" customHeight="1">
      <c r="A23" s="51" t="s">
        <v>620</v>
      </c>
      <c r="B23" s="30" t="s">
        <v>208</v>
      </c>
      <c r="C23" s="44">
        <f>VLOOKUP($C$1,详尽档案总表!$B$1:$CL$49,55,FALSE)</f>
        <v>43247</v>
      </c>
      <c r="D23" s="31" t="s">
        <v>209</v>
      </c>
      <c r="E23" s="31">
        <f>VLOOKUP($C$1,详尽档案总表!$B$1:$CL$49,56,FALSE)</f>
        <v>0.31388888888888888</v>
      </c>
      <c r="F23" s="31" t="s">
        <v>210</v>
      </c>
      <c r="G23" s="31">
        <f>VLOOKUP($C$1,详尽档案总表!$B$1:$CL$49,57,FALSE)</f>
        <v>0</v>
      </c>
    </row>
    <row r="24" spans="1:7" ht="17.25" customHeight="1">
      <c r="A24" s="52"/>
      <c r="B24" s="31" t="s">
        <v>26</v>
      </c>
      <c r="C24" s="31">
        <f>VLOOKUP($C$1,详尽档案总表!$B$1:$CL$49,58,FALSE)</f>
        <v>0</v>
      </c>
      <c r="D24" s="31" t="s">
        <v>211</v>
      </c>
      <c r="E24" s="31">
        <f>VLOOKUP($C$1,详尽档案总表!$B$1:$CL$49,59,FALSE)</f>
        <v>0</v>
      </c>
      <c r="F24" s="31" t="s">
        <v>27</v>
      </c>
      <c r="G24" s="31" t="str">
        <f>VLOOKUP($C$1,详尽档案总表!$B$1:$CL$49,60,FALSE)</f>
        <v>男</v>
      </c>
    </row>
    <row r="25" spans="1:7" ht="17.25" customHeight="1">
      <c r="A25" s="52"/>
      <c r="B25" s="31" t="s">
        <v>28</v>
      </c>
      <c r="C25" s="31">
        <f>VLOOKUP($C$1,详尽档案总表!$B$1:$CL$49,61,FALSE)</f>
        <v>3675</v>
      </c>
      <c r="D25" s="31" t="s">
        <v>29</v>
      </c>
      <c r="E25" s="31">
        <f>VLOOKUP($C$1,详尽档案总表!$B$1:$CL$49,62,FALSE)</f>
        <v>51</v>
      </c>
      <c r="F25" s="31" t="s">
        <v>32</v>
      </c>
      <c r="G25" s="31">
        <f>VLOOKUP($C$1,详尽档案总表!$B$1:$CL$49,63,FALSE)</f>
        <v>0</v>
      </c>
    </row>
    <row r="26" spans="1:7" ht="17.25" customHeight="1">
      <c r="A26" s="52"/>
      <c r="B26" s="31" t="s">
        <v>30</v>
      </c>
      <c r="C26" s="31">
        <f>VLOOKUP($C$1,详尽档案总表!$B$1:$CL$49,64,FALSE)</f>
        <v>3620</v>
      </c>
      <c r="D26" s="31" t="s">
        <v>31</v>
      </c>
      <c r="E26" s="31">
        <f>VLOOKUP($C$1,详尽档案总表!$B$1:$CL$49,65,FALSE)</f>
        <v>0</v>
      </c>
      <c r="F26" s="31" t="s">
        <v>34</v>
      </c>
      <c r="G26" s="31" t="str">
        <f>VLOOKUP($C$1,详尽档案总表!$B$1:$CL$49,66,FALSE)</f>
        <v>混合喂养</v>
      </c>
    </row>
    <row r="27" spans="1:7" ht="17.25" customHeight="1">
      <c r="A27" s="52"/>
      <c r="B27" s="31" t="s">
        <v>33</v>
      </c>
      <c r="C27" s="31" t="str">
        <f>VLOOKUP($C$1,详尽档案总表!$B$1:$CL$49,67,FALSE)</f>
        <v>颈部胎脂/面部散在皮疹</v>
      </c>
      <c r="D27" s="45"/>
      <c r="E27" s="45"/>
      <c r="F27" s="45"/>
      <c r="G27" s="46"/>
    </row>
    <row r="28" spans="1:7" ht="17.25" customHeight="1">
      <c r="A28" s="53" t="s">
        <v>621</v>
      </c>
      <c r="B28" s="32" t="s">
        <v>622</v>
      </c>
      <c r="C28" s="26" t="str">
        <f>VLOOKUP($C$1,详尽档案总表!$B$1:$CL$49,68,FALSE)</f>
        <v>——</v>
      </c>
      <c r="D28" s="29" t="s">
        <v>623</v>
      </c>
      <c r="E28" s="26">
        <f>VLOOKUP($C$1,详尽档案总表!$B$1:$CL$49,69,FALSE)</f>
        <v>0</v>
      </c>
      <c r="F28" s="29" t="s">
        <v>624</v>
      </c>
      <c r="G28" s="26" t="str">
        <f>VLOOKUP($C$1,详尽档案总表!$B$1:$CL$49,70,FALSE)</f>
        <v>——</v>
      </c>
    </row>
    <row r="29" spans="1:7" ht="17.25" customHeight="1">
      <c r="A29" s="53"/>
      <c r="B29" s="33" t="s">
        <v>625</v>
      </c>
      <c r="C29" s="26" t="str">
        <f>VLOOKUP($C$1,详尽档案总表!$B$1:$CL$49,71,FALSE)</f>
        <v>——</v>
      </c>
      <c r="D29" s="29" t="s">
        <v>626</v>
      </c>
      <c r="E29" s="26" t="str">
        <f>VLOOKUP($C$1,详尽档案总表!$B$1:$CL$49,72,FALSE)</f>
        <v>——</v>
      </c>
      <c r="F29" s="29" t="s">
        <v>627</v>
      </c>
      <c r="G29" s="26" t="str">
        <f>VLOOKUP($C$1,详尽档案总表!$B$1:$CL$49,72,FALSE)</f>
        <v>——</v>
      </c>
    </row>
    <row r="30" spans="1:7" ht="17.25" customHeight="1">
      <c r="A30" s="53"/>
      <c r="B30" s="34" t="s">
        <v>628</v>
      </c>
      <c r="C30" s="26" t="str">
        <f>VLOOKUP($C$1,详尽档案总表!$B$1:$CL$49,74,FALSE)</f>
        <v>苏文煊</v>
      </c>
      <c r="D30" s="26" t="s">
        <v>629</v>
      </c>
      <c r="E30" s="26" t="str">
        <f>VLOOKUP($C$1,详尽档案总表!$B$1:$CL$49,75,FALSE)</f>
        <v>丈夫</v>
      </c>
      <c r="F30" s="26" t="s">
        <v>5</v>
      </c>
      <c r="G30" s="26">
        <f>VLOOKUP($C$1,详尽档案总表!$B$1:$CL$49,76,FALSE)</f>
        <v>13987650079</v>
      </c>
    </row>
    <row r="31" spans="1:7" ht="17.25" customHeight="1">
      <c r="A31" s="53"/>
      <c r="B31" s="34" t="s">
        <v>4</v>
      </c>
      <c r="C31" s="26">
        <f>VLOOKUP($C$1,详尽档案总表!$B$1:$CL$49,77,FALSE)</f>
        <v>0</v>
      </c>
      <c r="D31" s="26" t="s">
        <v>630</v>
      </c>
      <c r="E31" s="26">
        <f>VLOOKUP($C$1,详尽档案总表!$B$1:$CL$49,78,FALSE)</f>
        <v>0</v>
      </c>
      <c r="F31" s="26" t="s">
        <v>631</v>
      </c>
      <c r="G31" s="26">
        <f>VLOOKUP($C$1,详尽档案总表!$B$1:$CL$49,79,FALSE)</f>
        <v>0</v>
      </c>
    </row>
    <row r="32" spans="1:7" ht="17.25" customHeight="1">
      <c r="A32" s="53"/>
      <c r="B32" s="34" t="s">
        <v>632</v>
      </c>
      <c r="C32" s="26">
        <f>VLOOKUP($C$1,详尽档案总表!$B$1:$CL$49,80,FALSE)</f>
        <v>0</v>
      </c>
      <c r="D32" s="26" t="s">
        <v>633</v>
      </c>
      <c r="E32" s="26">
        <f>VLOOKUP($C$1,详尽档案总表!$B$1:$CL$49,81,FALSE)</f>
        <v>0</v>
      </c>
      <c r="F32" s="26" t="s">
        <v>5</v>
      </c>
      <c r="G32" s="26">
        <f>VLOOKUP($C$1,详尽档案总表!$B$1:$CL$49,82,FALSE)</f>
        <v>0</v>
      </c>
    </row>
    <row r="33" spans="1:7" ht="17.25" customHeight="1">
      <c r="A33" s="53"/>
      <c r="B33" s="34" t="s">
        <v>634</v>
      </c>
      <c r="C33" s="26">
        <f>VLOOKUP($C$1,详尽档案总表!$B$1:$CL$49,83,FALSE)</f>
        <v>0</v>
      </c>
      <c r="D33" s="26" t="s">
        <v>635</v>
      </c>
      <c r="E33" s="26">
        <f>VLOOKUP($C$1,详尽档案总表!$B$1:$CL$49,84,FALSE)</f>
        <v>0</v>
      </c>
      <c r="F33" s="26" t="s">
        <v>5</v>
      </c>
      <c r="G33" s="26">
        <f>VLOOKUP($C$1,详尽档案总表!$B$1:$CL$49,85,FALSE)</f>
        <v>0</v>
      </c>
    </row>
    <row r="34" spans="1:7" ht="17.25" customHeight="1">
      <c r="A34" s="52" t="s">
        <v>636</v>
      </c>
      <c r="B34" s="35" t="s">
        <v>637</v>
      </c>
      <c r="C34" s="47">
        <f>VLOOKUP($C$1,详尽档案总表!$B$1:$CL$49,86,FALSE)</f>
        <v>0</v>
      </c>
      <c r="D34" s="48"/>
      <c r="E34" s="48"/>
      <c r="F34" s="48"/>
      <c r="G34" s="31"/>
    </row>
    <row r="35" spans="1:7" ht="17.25" customHeight="1">
      <c r="A35" s="52"/>
      <c r="B35" s="31" t="s">
        <v>638</v>
      </c>
      <c r="C35" s="31">
        <f>VLOOKUP($C$1,详尽档案总表!$B$1:$CL$49,87,FALSE)</f>
        <v>0</v>
      </c>
      <c r="D35" s="31" t="s">
        <v>639</v>
      </c>
      <c r="E35" s="31">
        <f>VLOOKUP($C$1,详尽档案总表!$B$1:$CL$49,88,FALSE)</f>
        <v>0</v>
      </c>
      <c r="F35" s="31" t="s">
        <v>640</v>
      </c>
      <c r="G35" s="31">
        <f>VLOOKUP($C$1,详尽档案总表!$B$1:$CL$49,89,FALSE)</f>
        <v>0</v>
      </c>
    </row>
  </sheetData>
  <mergeCells count="4">
    <mergeCell ref="A1:A22"/>
    <mergeCell ref="A23:A27"/>
    <mergeCell ref="A28:A33"/>
    <mergeCell ref="A34:A3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K28" sqref="K28"/>
    </sheetView>
  </sheetViews>
  <sheetFormatPr defaultRowHeight="17.25" customHeight="1"/>
  <cols>
    <col min="1" max="1" width="5" style="36" customWidth="1"/>
    <col min="2" max="2" width="15" style="2" customWidth="1"/>
    <col min="3" max="3" width="15.5" style="2" bestFit="1" customWidth="1"/>
    <col min="4" max="7" width="15.625" style="2" customWidth="1"/>
    <col min="8" max="8" width="5.25" style="2" bestFit="1" customWidth="1"/>
    <col min="9" max="11" width="9" style="2"/>
    <col min="12" max="12" width="13" style="2" bestFit="1" customWidth="1"/>
    <col min="13" max="13" width="9" style="2"/>
    <col min="14" max="15" width="11" style="2" bestFit="1" customWidth="1"/>
    <col min="16" max="16" width="7.5" style="2" bestFit="1" customWidth="1"/>
    <col min="17" max="17" width="9" style="2"/>
    <col min="18" max="18" width="7.5" style="2" bestFit="1" customWidth="1"/>
    <col min="19" max="20" width="5.25" style="2" bestFit="1" customWidth="1"/>
    <col min="21" max="22" width="9" style="2"/>
    <col min="23" max="23" width="5.25" style="2" bestFit="1" customWidth="1"/>
    <col min="24" max="31" width="9" style="2"/>
    <col min="32" max="32" width="13" style="2" bestFit="1" customWidth="1"/>
    <col min="33" max="33" width="9" style="2"/>
    <col min="34" max="34" width="11" style="2" bestFit="1" customWidth="1"/>
    <col min="35" max="37" width="7.125" style="2" bestFit="1" customWidth="1"/>
    <col min="38" max="39" width="5.25" style="2" bestFit="1" customWidth="1"/>
    <col min="40" max="44" width="9" style="2"/>
    <col min="45" max="47" width="13" style="2" bestFit="1" customWidth="1"/>
    <col min="48" max="48" width="9" style="2"/>
    <col min="49" max="49" width="7.125" style="2" bestFit="1" customWidth="1"/>
    <col min="50" max="50" width="13" style="2" bestFit="1" customWidth="1"/>
    <col min="51" max="51" width="9" style="2"/>
    <col min="52" max="52" width="7.125" style="2" bestFit="1" customWidth="1"/>
    <col min="53" max="55" width="9" style="2"/>
    <col min="56" max="56" width="16.375" style="2" bestFit="1" customWidth="1"/>
    <col min="57" max="57" width="17.5" style="2" bestFit="1" customWidth="1"/>
    <col min="58" max="59" width="16.375" style="2" bestFit="1" customWidth="1"/>
    <col min="60" max="60" width="9" style="2"/>
    <col min="61" max="61" width="13" style="2" bestFit="1" customWidth="1"/>
    <col min="62" max="64" width="9" style="2"/>
    <col min="65" max="65" width="17.25" style="2" bestFit="1" customWidth="1"/>
    <col min="66" max="68" width="9" style="2"/>
    <col min="69" max="69" width="13" style="2" bestFit="1" customWidth="1"/>
    <col min="70" max="70" width="9" style="2"/>
    <col min="71" max="71" width="10" style="2" bestFit="1" customWidth="1"/>
    <col min="72" max="72" width="9" style="2"/>
    <col min="73" max="73" width="11" style="2" bestFit="1" customWidth="1"/>
    <col min="74" max="74" width="9" style="2"/>
    <col min="75" max="75" width="10" style="2" bestFit="1" customWidth="1"/>
    <col min="76" max="77" width="9" style="2"/>
    <col min="78" max="78" width="10" style="2" bestFit="1" customWidth="1"/>
    <col min="79" max="80" width="9" style="2"/>
    <col min="81" max="82" width="11" style="2" bestFit="1" customWidth="1"/>
    <col min="83" max="16384" width="9" style="2"/>
  </cols>
  <sheetData>
    <row r="1" spans="1:13" ht="17.25" customHeight="1">
      <c r="A1" s="53" t="s">
        <v>597</v>
      </c>
      <c r="B1" s="26" t="s">
        <v>1</v>
      </c>
      <c r="C1" s="39">
        <v>201805010</v>
      </c>
      <c r="D1" s="40"/>
      <c r="E1" s="40"/>
      <c r="F1" s="40"/>
      <c r="G1" s="34"/>
    </row>
    <row r="2" spans="1:13" s="28" customFormat="1" ht="17.25" customHeight="1">
      <c r="A2" s="53"/>
      <c r="B2" s="26" t="s">
        <v>2</v>
      </c>
      <c r="C2" s="26" t="str">
        <f>VLOOKUP($C$1,详尽档案总表!$B$1:$CL$49,2,FALSE)</f>
        <v>杨芸</v>
      </c>
      <c r="D2" s="26" t="s">
        <v>598</v>
      </c>
      <c r="E2" s="26">
        <f>VLOOKUP($C$1,详尽档案总表!$B$1:$CL$49,3,FALSE)</f>
        <v>730</v>
      </c>
      <c r="F2" s="27" t="s">
        <v>599</v>
      </c>
      <c r="G2" s="26">
        <f>VLOOKUP($C$1,详尽档案总表!$B$1:$CL$49,4,FALSE)</f>
        <v>2018012001</v>
      </c>
    </row>
    <row r="3" spans="1:13" ht="17.25" customHeight="1">
      <c r="A3" s="53"/>
      <c r="B3" s="26" t="s">
        <v>3</v>
      </c>
      <c r="C3" s="26">
        <f>VLOOKUP($C$1,详尽档案总表!$B$1:$CL$49,5,FALSE)</f>
        <v>55600</v>
      </c>
      <c r="D3" s="27" t="s">
        <v>600</v>
      </c>
      <c r="E3" s="26" t="str">
        <f>VLOOKUP($C$1,详尽档案总表!$B$1:$CL$49,6,FALSE)</f>
        <v>舒心房</v>
      </c>
      <c r="F3" s="26" t="s">
        <v>601</v>
      </c>
      <c r="G3" s="26">
        <f>VLOOKUP($C$1,详尽档案总表!$B$1:$CL$49,7,FALSE)</f>
        <v>33</v>
      </c>
    </row>
    <row r="4" spans="1:13" ht="17.25" customHeight="1">
      <c r="A4" s="53"/>
      <c r="B4" s="27" t="s">
        <v>35</v>
      </c>
      <c r="C4" s="26">
        <f>VLOOKUP($C$1,详尽档案总表!$B$1:$CL$49,8,FALSE)</f>
        <v>43207</v>
      </c>
      <c r="D4" s="27" t="s">
        <v>36</v>
      </c>
      <c r="E4" s="26">
        <f>VLOOKUP($C$1,详尽档案总表!$B$1:$CL$49,9,FALSE)</f>
        <v>0</v>
      </c>
      <c r="F4" s="26" t="s">
        <v>602</v>
      </c>
      <c r="G4" s="26">
        <f>VLOOKUP($C$1,详尽档案总表!$B$1:$CL$49,10,FALSE)</f>
        <v>0</v>
      </c>
    </row>
    <row r="5" spans="1:13" ht="17.25" customHeight="1">
      <c r="A5" s="53"/>
      <c r="B5" s="26" t="s">
        <v>5</v>
      </c>
      <c r="C5" s="26">
        <f>VLOOKUP($C$1,详尽档案总表!$B$1:$CL$49,11,FALSE)</f>
        <v>13987651952</v>
      </c>
      <c r="D5" s="26" t="s">
        <v>603</v>
      </c>
      <c r="E5" s="26">
        <f>VLOOKUP($C$1,详尽档案总表!$B$1:$CL$49,12,FALSE)</f>
        <v>0</v>
      </c>
      <c r="F5" s="26" t="s">
        <v>604</v>
      </c>
      <c r="G5" s="26">
        <f>VLOOKUP($C$1,详尽档案总表!$B$1:$CL$49,13,FALSE)</f>
        <v>0</v>
      </c>
    </row>
    <row r="6" spans="1:13" ht="17.25" customHeight="1">
      <c r="A6" s="53"/>
      <c r="B6" s="27" t="s">
        <v>4</v>
      </c>
      <c r="C6" s="50" t="str">
        <f>VLOOKUP($C$1,详尽档案总表!$B$1:$CL$49,16,FALSE)</f>
        <v>530102198103192729</v>
      </c>
      <c r="D6" s="27" t="s">
        <v>205</v>
      </c>
      <c r="E6" s="49" t="str">
        <f>VLOOKUP($C$1,详尽档案总表!$B$1:$CL$49,17,FALSE)</f>
        <v>云南省昆明市五华区新闻路226号附1号3栋1单元201号</v>
      </c>
      <c r="F6" s="42"/>
      <c r="G6" s="43"/>
    </row>
    <row r="7" spans="1:13" ht="17.25" customHeight="1">
      <c r="A7" s="53"/>
      <c r="B7" s="26" t="s">
        <v>12</v>
      </c>
      <c r="C7" s="26">
        <f>VLOOKUP($C$1,详尽档案总表!$B$1:$CL$49,18,FALSE)</f>
        <v>0</v>
      </c>
      <c r="D7" s="27" t="s">
        <v>605</v>
      </c>
      <c r="E7" s="26" t="str">
        <f>VLOOKUP($C$1,详尽档案总表!$B$1:$CL$49,19,FALSE)</f>
        <v>新闻路226号附1号</v>
      </c>
      <c r="F7" s="42"/>
      <c r="G7" s="43"/>
    </row>
    <row r="8" spans="1:13" ht="17.25" customHeight="1">
      <c r="A8" s="53"/>
      <c r="B8" s="26" t="s">
        <v>7</v>
      </c>
      <c r="C8" s="26">
        <f>VLOOKUP($C$1,详尽档案总表!$B$1:$CL$49,20,FALSE)</f>
        <v>0</v>
      </c>
      <c r="D8" s="27" t="s">
        <v>606</v>
      </c>
      <c r="E8" s="26" t="str">
        <f>VLOOKUP($C$1,详尽档案总表!$B$1:$CL$49,21,FALSE)</f>
        <v>职员</v>
      </c>
      <c r="F8" s="27" t="s">
        <v>9</v>
      </c>
      <c r="G8" s="26">
        <f>VLOOKUP($C$1,详尽档案总表!$B$1:$CL$49,22,FALSE)</f>
        <v>0</v>
      </c>
    </row>
    <row r="9" spans="1:13" ht="17.25" customHeight="1">
      <c r="A9" s="53"/>
      <c r="B9" s="26" t="s">
        <v>8</v>
      </c>
      <c r="C9" s="26" t="str">
        <f>VLOOKUP($C$1,详尽档案总表!$B$1:$CL$49,23,FALSE)</f>
        <v>汉</v>
      </c>
      <c r="D9" s="27" t="s">
        <v>10</v>
      </c>
      <c r="E9" s="26">
        <f>VLOOKUP($C$1,详尽档案总表!$B$1:$CL$49,24,FALSE)</f>
        <v>0</v>
      </c>
      <c r="F9" s="26" t="s">
        <v>11</v>
      </c>
      <c r="G9" s="26">
        <f>VLOOKUP($C$1,详尽档案总表!$B$1:$CL$49,25,FALSE)</f>
        <v>0</v>
      </c>
    </row>
    <row r="10" spans="1:13" ht="17.25" customHeight="1">
      <c r="A10" s="53"/>
      <c r="B10" s="26" t="s">
        <v>13</v>
      </c>
      <c r="C10" s="26">
        <f>VLOOKUP($C$1,详尽档案总表!$B$1:$CL$49,26,FALSE)</f>
        <v>0</v>
      </c>
      <c r="D10" s="26" t="s">
        <v>14</v>
      </c>
      <c r="E10" s="26">
        <f>VLOOKUP($C$1,详尽档案总表!$B$1:$CL$49,27,FALSE)</f>
        <v>0</v>
      </c>
      <c r="F10" s="26" t="s">
        <v>607</v>
      </c>
      <c r="G10" s="26">
        <f>VLOOKUP($C$1,详尽档案总表!$B$1:$CL$49,28,FALSE)</f>
        <v>0</v>
      </c>
    </row>
    <row r="11" spans="1:13" ht="17.25" customHeight="1">
      <c r="A11" s="53"/>
      <c r="B11" s="26" t="s">
        <v>608</v>
      </c>
      <c r="C11" s="26">
        <f>VLOOKUP($C$1,详尽档案总表!$B$1:$CL$49,29,FALSE)</f>
        <v>0</v>
      </c>
      <c r="D11" s="26" t="s">
        <v>609</v>
      </c>
      <c r="E11" s="26">
        <f>VLOOKUP($C$1,详尽档案总表!$B$1:$CL$49,30,FALSE)</f>
        <v>0</v>
      </c>
      <c r="F11" s="26" t="s">
        <v>610</v>
      </c>
      <c r="G11" s="26">
        <f>VLOOKUP($C$1,详尽档案总表!$B$1:$CL$49,31,FALSE)</f>
        <v>0</v>
      </c>
    </row>
    <row r="12" spans="1:13" ht="17.25" customHeight="1">
      <c r="A12" s="53"/>
      <c r="B12" s="26" t="s">
        <v>611</v>
      </c>
      <c r="C12" s="26">
        <f>VLOOKUP($C$1,详尽档案总表!$B$1:$CL$49,32,FALSE)</f>
        <v>0</v>
      </c>
      <c r="D12" s="26" t="s">
        <v>612</v>
      </c>
      <c r="E12" s="26">
        <f>VLOOKUP($C$1,详尽档案总表!$B$1:$CL$49,33,FALSE)</f>
        <v>0</v>
      </c>
      <c r="F12" s="26" t="s">
        <v>613</v>
      </c>
      <c r="G12" s="26">
        <f>VLOOKUP($C$1,详尽档案总表!$B$1:$CL$49,34,FALSE)</f>
        <v>0</v>
      </c>
    </row>
    <row r="13" spans="1:13" ht="17.25" customHeight="1">
      <c r="A13" s="53"/>
      <c r="B13" s="26" t="s">
        <v>15</v>
      </c>
      <c r="C13" s="39">
        <f>VLOOKUP($C$1,详尽档案总表!$B$1:$CL$49,35,FALSE)</f>
        <v>0</v>
      </c>
      <c r="D13" s="40"/>
      <c r="E13" s="40"/>
      <c r="F13" s="40"/>
      <c r="G13" s="34"/>
    </row>
    <row r="14" spans="1:13" ht="17.25" customHeight="1">
      <c r="A14" s="53"/>
      <c r="B14" s="26" t="s">
        <v>19</v>
      </c>
      <c r="C14" s="26">
        <f>VLOOKUP($C$1,详尽档案总表!$B$1:$CL$49,36,FALSE)</f>
        <v>0</v>
      </c>
      <c r="D14" s="26" t="s">
        <v>18</v>
      </c>
      <c r="E14" s="26">
        <f>VLOOKUP($C$1,详尽档案总表!$B$1:$CL$49,37,FALSE)</f>
        <v>0</v>
      </c>
      <c r="F14" s="26" t="s">
        <v>17</v>
      </c>
      <c r="G14" s="26">
        <f>VLOOKUP($C$1,详尽档案总表!$B$1:$CL$49,38,FALSE)</f>
        <v>0</v>
      </c>
    </row>
    <row r="15" spans="1:13" ht="17.25" customHeight="1">
      <c r="A15" s="53"/>
      <c r="B15" s="26" t="s">
        <v>20</v>
      </c>
      <c r="C15" s="26">
        <f>VLOOKUP($C$1,详尽档案总表!$B$1:$CL$49,39,FALSE)</f>
        <v>0</v>
      </c>
      <c r="D15" s="26" t="s">
        <v>80</v>
      </c>
      <c r="E15" s="26" t="str">
        <f>VLOOKUP($C$1,详尽档案总表!$B$1:$CL$49,40,FALSE)</f>
        <v>2018.5.20</v>
      </c>
      <c r="F15" s="26" t="s">
        <v>25</v>
      </c>
      <c r="G15" s="26" t="str">
        <f>VLOOKUP($C$1,详尽档案总表!$B$1:$CL$49,41,FALSE)</f>
        <v>33+2</v>
      </c>
    </row>
    <row r="16" spans="1:13" ht="17.25" customHeight="1">
      <c r="A16" s="53"/>
      <c r="B16" s="26" t="s">
        <v>206</v>
      </c>
      <c r="C16" s="26" t="str">
        <f>VLOOKUP($C$1,详尽档案总表!$B$1:$CL$49,42,FALSE)</f>
        <v>一胎</v>
      </c>
      <c r="D16" s="26" t="s">
        <v>207</v>
      </c>
      <c r="E16" s="26">
        <f>VLOOKUP($C$1,详尽档案总表!$B$1:$CL$49,43,FALSE)</f>
        <v>37</v>
      </c>
      <c r="F16" s="26" t="s">
        <v>22</v>
      </c>
      <c r="G16" s="26">
        <f>VLOOKUP($C$1,详尽档案总表!$B$1:$CL$49,44,FALSE)</f>
        <v>7</v>
      </c>
      <c r="M16" s="41"/>
    </row>
    <row r="17" spans="1:7" ht="17.25" customHeight="1">
      <c r="A17" s="53"/>
      <c r="B17" s="26" t="s">
        <v>21</v>
      </c>
      <c r="C17" s="26" t="str">
        <f>VLOOKUP($C$1,详尽档案总表!$B$1:$CL$49,45,FALSE)</f>
        <v>昆华医院</v>
      </c>
      <c r="D17" s="26" t="s">
        <v>24</v>
      </c>
      <c r="E17" s="26" t="str">
        <f>VLOOKUP($C$1,详尽档案总表!$B$1:$CL$49,46,FALSE)</f>
        <v>顺产</v>
      </c>
      <c r="F17" s="26" t="s">
        <v>16</v>
      </c>
      <c r="G17" s="26">
        <f>VLOOKUP($C$1,详尽档案总表!$B$1:$CL$49,47,FALSE)</f>
        <v>0</v>
      </c>
    </row>
    <row r="18" spans="1:7" ht="28.5" customHeight="1">
      <c r="A18" s="53"/>
      <c r="B18" s="26" t="s">
        <v>23</v>
      </c>
      <c r="C18" s="56" t="str">
        <f>VLOOKUP($C$1,详尽档案总表!$B$1:$CL$49,48,FALSE)</f>
        <v>试管婴儿/妊娠期高血压/早产伴分娩/足月胎膜早破/高龄初产/妊娠期糖尿病/妊娠合并甲状腺功能亢进/IVF-ET/G2P1孕33+2周/双胎头横位/双卵双胎活产</v>
      </c>
      <c r="D18" s="57"/>
      <c r="E18" s="57"/>
      <c r="F18" s="57"/>
      <c r="G18" s="58"/>
    </row>
    <row r="19" spans="1:7" ht="17.25" customHeight="1">
      <c r="A19" s="53"/>
      <c r="B19" s="26" t="s">
        <v>614</v>
      </c>
      <c r="C19" s="26">
        <f>VLOOKUP($C$1,详尽档案总表!$B$1:$CL$49,49,FALSE)</f>
        <v>0</v>
      </c>
      <c r="D19" s="29" t="s">
        <v>615</v>
      </c>
      <c r="E19" s="26">
        <f>VLOOKUP($C$1,详尽档案总表!$B$1:$CL$49,50,FALSE)</f>
        <v>0</v>
      </c>
      <c r="F19" s="29" t="s">
        <v>616</v>
      </c>
      <c r="G19" s="26">
        <f>VLOOKUP($C$1,详尽档案总表!$B$1:$CL$49,51,FALSE)</f>
        <v>0</v>
      </c>
    </row>
    <row r="20" spans="1:7" ht="17.25" customHeight="1">
      <c r="A20" s="53"/>
      <c r="B20" s="26" t="s">
        <v>617</v>
      </c>
      <c r="C20" s="39">
        <f>VLOOKUP($C$1,详尽档案总表!$B$1:$CL$49,52,FALSE)</f>
        <v>0</v>
      </c>
      <c r="D20" s="37"/>
      <c r="E20" s="37"/>
      <c r="F20" s="37"/>
      <c r="G20" s="38"/>
    </row>
    <row r="21" spans="1:7" ht="17.25" customHeight="1">
      <c r="A21" s="53"/>
      <c r="B21" s="27" t="s">
        <v>618</v>
      </c>
      <c r="C21" s="39">
        <f>VLOOKUP($C$1,详尽档案总表!$B$1:$CL$49,53,FALSE)</f>
        <v>0</v>
      </c>
      <c r="D21" s="42"/>
      <c r="E21" s="42"/>
      <c r="F21" s="42"/>
      <c r="G21" s="43"/>
    </row>
    <row r="22" spans="1:7" ht="17.25" customHeight="1">
      <c r="A22" s="53"/>
      <c r="B22" s="27" t="s">
        <v>619</v>
      </c>
      <c r="C22" s="39">
        <f>VLOOKUP($C$1,详尽档案总表!$B$1:$CL$49,54,FALSE)</f>
        <v>0</v>
      </c>
      <c r="D22" s="42"/>
      <c r="E22" s="42"/>
      <c r="F22" s="42"/>
      <c r="G22" s="43"/>
    </row>
    <row r="23" spans="1:7" ht="17.25" customHeight="1">
      <c r="A23" s="51" t="s">
        <v>620</v>
      </c>
      <c r="B23" s="30" t="s">
        <v>208</v>
      </c>
      <c r="C23" s="44">
        <f>VLOOKUP($C$1,详尽档案总表!$B$1:$CL$49,55,FALSE)</f>
        <v>43193</v>
      </c>
      <c r="D23" s="31" t="s">
        <v>209</v>
      </c>
      <c r="E23" s="31">
        <f>VLOOKUP($C$1,详尽档案总表!$B$1:$CL$49,56,FALSE)</f>
        <v>0.41666666666666669</v>
      </c>
      <c r="F23" s="31" t="s">
        <v>210</v>
      </c>
      <c r="G23" s="31" t="str">
        <f>VLOOKUP($C$1,详尽档案总表!$B$1:$CL$49,57,FALSE)</f>
        <v>双胎</v>
      </c>
    </row>
    <row r="24" spans="1:7" ht="17.25" customHeight="1">
      <c r="A24" s="52"/>
      <c r="B24" s="31" t="s">
        <v>26</v>
      </c>
      <c r="C24" s="31">
        <f>VLOOKUP($C$1,详尽档案总表!$B$1:$CL$49,58,FALSE)</f>
        <v>0</v>
      </c>
      <c r="D24" s="31" t="s">
        <v>211</v>
      </c>
      <c r="E24" s="31">
        <f>VLOOKUP($C$1,详尽档案总表!$B$1:$CL$49,59,FALSE)</f>
        <v>0</v>
      </c>
      <c r="F24" s="31" t="s">
        <v>27</v>
      </c>
      <c r="G24" s="31" t="str">
        <f>VLOOKUP($C$1,详尽档案总表!$B$1:$CL$49,60,FALSE)</f>
        <v>女</v>
      </c>
    </row>
    <row r="25" spans="1:7" ht="17.25" customHeight="1">
      <c r="A25" s="52"/>
      <c r="B25" s="31" t="s">
        <v>28</v>
      </c>
      <c r="C25" s="31">
        <f>VLOOKUP($C$1,详尽档案总表!$B$1:$CL$49,61,FALSE)</f>
        <v>0</v>
      </c>
      <c r="D25" s="31" t="s">
        <v>29</v>
      </c>
      <c r="E25" s="31">
        <f>VLOOKUP($C$1,详尽档案总表!$B$1:$CL$49,62,FALSE)</f>
        <v>0</v>
      </c>
      <c r="F25" s="31" t="s">
        <v>32</v>
      </c>
      <c r="G25" s="31">
        <f>VLOOKUP($C$1,详尽档案总表!$B$1:$CL$49,63,FALSE)</f>
        <v>0</v>
      </c>
    </row>
    <row r="26" spans="1:7" ht="17.25" customHeight="1">
      <c r="A26" s="52"/>
      <c r="B26" s="31" t="s">
        <v>30</v>
      </c>
      <c r="C26" s="31">
        <f>VLOOKUP($C$1,详尽档案总表!$B$1:$CL$49,64,FALSE)</f>
        <v>0</v>
      </c>
      <c r="D26" s="31" t="s">
        <v>31</v>
      </c>
      <c r="E26" s="31">
        <f>VLOOKUP($C$1,详尽档案总表!$B$1:$CL$49,65,FALSE)</f>
        <v>0</v>
      </c>
      <c r="F26" s="31" t="s">
        <v>34</v>
      </c>
      <c r="G26" s="31">
        <f>VLOOKUP($C$1,详尽档案总表!$B$1:$CL$49,66,FALSE)</f>
        <v>0</v>
      </c>
    </row>
    <row r="27" spans="1:7" ht="17.25" customHeight="1">
      <c r="A27" s="52"/>
      <c r="B27" s="31" t="s">
        <v>33</v>
      </c>
      <c r="C27" s="31" t="str">
        <f>VLOOKUP($C$1,详尽档案总表!$B$1:$CL$49,67,FALSE)</f>
        <v>极低体重儿</v>
      </c>
      <c r="D27" s="45"/>
      <c r="E27" s="45"/>
      <c r="F27" s="45"/>
      <c r="G27" s="46"/>
    </row>
    <row r="28" spans="1:7" ht="17.25" customHeight="1">
      <c r="A28" s="53" t="s">
        <v>621</v>
      </c>
      <c r="B28" s="32" t="s">
        <v>622</v>
      </c>
      <c r="C28" s="26" t="str">
        <f>VLOOKUP($C$1,详尽档案总表!$B$1:$CL$49,68,FALSE)</f>
        <v>——</v>
      </c>
      <c r="D28" s="29" t="s">
        <v>623</v>
      </c>
      <c r="E28" s="26">
        <f>VLOOKUP($C$1,详尽档案总表!$B$1:$CL$49,69,FALSE)</f>
        <v>0</v>
      </c>
      <c r="F28" s="29" t="s">
        <v>624</v>
      </c>
      <c r="G28" s="26" t="str">
        <f>VLOOKUP($C$1,详尽档案总表!$B$1:$CL$49,70,FALSE)</f>
        <v>——</v>
      </c>
    </row>
    <row r="29" spans="1:7" ht="17.25" customHeight="1">
      <c r="A29" s="53"/>
      <c r="B29" s="33" t="s">
        <v>625</v>
      </c>
      <c r="C29" s="26" t="str">
        <f>VLOOKUP($C$1,详尽档案总表!$B$1:$CL$49,71,FALSE)</f>
        <v>——</v>
      </c>
      <c r="D29" s="29" t="s">
        <v>626</v>
      </c>
      <c r="E29" s="26" t="str">
        <f>VLOOKUP($C$1,详尽档案总表!$B$1:$CL$49,72,FALSE)</f>
        <v>——</v>
      </c>
      <c r="F29" s="29" t="s">
        <v>627</v>
      </c>
      <c r="G29" s="26" t="str">
        <f>VLOOKUP($C$1,详尽档案总表!$B$1:$CL$49,72,FALSE)</f>
        <v>——</v>
      </c>
    </row>
    <row r="30" spans="1:7" ht="17.25" customHeight="1">
      <c r="A30" s="53"/>
      <c r="B30" s="34" t="s">
        <v>628</v>
      </c>
      <c r="C30" s="26" t="str">
        <f>VLOOKUP($C$1,详尽档案总表!$B$1:$CL$49,74,FALSE)</f>
        <v>张新</v>
      </c>
      <c r="D30" s="26" t="s">
        <v>629</v>
      </c>
      <c r="E30" s="26" t="str">
        <f>VLOOKUP($C$1,详尽档案总表!$B$1:$CL$49,75,FALSE)</f>
        <v>丈夫</v>
      </c>
      <c r="F30" s="26" t="s">
        <v>5</v>
      </c>
      <c r="G30" s="26">
        <f>VLOOKUP($C$1,详尽档案总表!$B$1:$CL$49,76,FALSE)</f>
        <v>15808712566</v>
      </c>
    </row>
    <row r="31" spans="1:7" ht="17.25" customHeight="1">
      <c r="A31" s="53"/>
      <c r="B31" s="34" t="s">
        <v>4</v>
      </c>
      <c r="C31" s="26">
        <f>VLOOKUP($C$1,详尽档案总表!$B$1:$CL$49,77,FALSE)</f>
        <v>0</v>
      </c>
      <c r="D31" s="26" t="s">
        <v>630</v>
      </c>
      <c r="E31" s="26">
        <f>VLOOKUP($C$1,详尽档案总表!$B$1:$CL$49,78,FALSE)</f>
        <v>0</v>
      </c>
      <c r="F31" s="26" t="s">
        <v>631</v>
      </c>
      <c r="G31" s="26">
        <f>VLOOKUP($C$1,详尽档案总表!$B$1:$CL$49,79,FALSE)</f>
        <v>0</v>
      </c>
    </row>
    <row r="32" spans="1:7" ht="17.25" customHeight="1">
      <c r="A32" s="53"/>
      <c r="B32" s="34" t="s">
        <v>632</v>
      </c>
      <c r="C32" s="26">
        <f>VLOOKUP($C$1,详尽档案总表!$B$1:$CL$49,80,FALSE)</f>
        <v>0</v>
      </c>
      <c r="D32" s="26" t="s">
        <v>633</v>
      </c>
      <c r="E32" s="26">
        <f>VLOOKUP($C$1,详尽档案总表!$B$1:$CL$49,81,FALSE)</f>
        <v>0</v>
      </c>
      <c r="F32" s="26" t="s">
        <v>5</v>
      </c>
      <c r="G32" s="26">
        <f>VLOOKUP($C$1,详尽档案总表!$B$1:$CL$49,82,FALSE)</f>
        <v>0</v>
      </c>
    </row>
    <row r="33" spans="1:7" ht="17.25" customHeight="1">
      <c r="A33" s="53"/>
      <c r="B33" s="34" t="s">
        <v>634</v>
      </c>
      <c r="C33" s="26">
        <f>VLOOKUP($C$1,详尽档案总表!$B$1:$CL$49,83,FALSE)</f>
        <v>0</v>
      </c>
      <c r="D33" s="26" t="s">
        <v>635</v>
      </c>
      <c r="E33" s="26">
        <f>VLOOKUP($C$1,详尽档案总表!$B$1:$CL$49,84,FALSE)</f>
        <v>0</v>
      </c>
      <c r="F33" s="26" t="s">
        <v>5</v>
      </c>
      <c r="G33" s="26">
        <f>VLOOKUP($C$1,详尽档案总表!$B$1:$CL$49,85,FALSE)</f>
        <v>0</v>
      </c>
    </row>
    <row r="34" spans="1:7" ht="17.25" customHeight="1">
      <c r="A34" s="52" t="s">
        <v>636</v>
      </c>
      <c r="B34" s="35" t="s">
        <v>637</v>
      </c>
      <c r="C34" s="47">
        <f>VLOOKUP($C$1,详尽档案总表!$B$1:$CL$49,86,FALSE)</f>
        <v>0</v>
      </c>
      <c r="D34" s="48"/>
      <c r="E34" s="48"/>
      <c r="F34" s="48"/>
      <c r="G34" s="31"/>
    </row>
    <row r="35" spans="1:7" ht="17.25" customHeight="1">
      <c r="A35" s="52"/>
      <c r="B35" s="31" t="s">
        <v>638</v>
      </c>
      <c r="C35" s="31">
        <f>VLOOKUP($C$1,详尽档案总表!$B$1:$CL$49,87,FALSE)</f>
        <v>0</v>
      </c>
      <c r="D35" s="31" t="s">
        <v>639</v>
      </c>
      <c r="E35" s="31">
        <f>VLOOKUP($C$1,详尽档案总表!$B$1:$CL$49,88,FALSE)</f>
        <v>0</v>
      </c>
      <c r="F35" s="31" t="s">
        <v>640</v>
      </c>
      <c r="G35" s="31">
        <f>VLOOKUP($C$1,详尽档案总表!$B$1:$CL$49,89,FALSE)</f>
        <v>0</v>
      </c>
    </row>
  </sheetData>
  <mergeCells count="5">
    <mergeCell ref="A1:A22"/>
    <mergeCell ref="A23:A27"/>
    <mergeCell ref="A28:A33"/>
    <mergeCell ref="A34:A35"/>
    <mergeCell ref="C18:G18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J27" sqref="J27"/>
    </sheetView>
  </sheetViews>
  <sheetFormatPr defaultRowHeight="17.25" customHeight="1"/>
  <cols>
    <col min="1" max="1" width="5" style="36" customWidth="1"/>
    <col min="2" max="2" width="15" style="2" customWidth="1"/>
    <col min="3" max="3" width="15.5" style="2" bestFit="1" customWidth="1"/>
    <col min="4" max="7" width="15.625" style="2" customWidth="1"/>
    <col min="8" max="8" width="8.75" style="2" customWidth="1"/>
    <col min="9" max="11" width="9" style="2"/>
    <col min="12" max="12" width="13" style="2" bestFit="1" customWidth="1"/>
    <col min="13" max="13" width="9" style="2"/>
    <col min="14" max="15" width="11" style="2" bestFit="1" customWidth="1"/>
    <col min="16" max="16" width="7.5" style="2" bestFit="1" customWidth="1"/>
    <col min="17" max="17" width="9" style="2"/>
    <col min="18" max="18" width="7.5" style="2" bestFit="1" customWidth="1"/>
    <col min="19" max="20" width="5.25" style="2" bestFit="1" customWidth="1"/>
    <col min="21" max="22" width="9" style="2"/>
    <col min="23" max="23" width="5.25" style="2" bestFit="1" customWidth="1"/>
    <col min="24" max="31" width="9" style="2"/>
    <col min="32" max="32" width="13" style="2" bestFit="1" customWidth="1"/>
    <col min="33" max="33" width="9" style="2"/>
    <col min="34" max="34" width="11" style="2" bestFit="1" customWidth="1"/>
    <col min="35" max="37" width="7.125" style="2" bestFit="1" customWidth="1"/>
    <col min="38" max="39" width="5.25" style="2" bestFit="1" customWidth="1"/>
    <col min="40" max="44" width="9" style="2"/>
    <col min="45" max="47" width="13" style="2" bestFit="1" customWidth="1"/>
    <col min="48" max="48" width="9" style="2"/>
    <col min="49" max="49" width="7.125" style="2" bestFit="1" customWidth="1"/>
    <col min="50" max="50" width="13" style="2" bestFit="1" customWidth="1"/>
    <col min="51" max="51" width="9" style="2"/>
    <col min="52" max="52" width="7.125" style="2" bestFit="1" customWidth="1"/>
    <col min="53" max="55" width="9" style="2"/>
    <col min="56" max="56" width="16.375" style="2" bestFit="1" customWidth="1"/>
    <col min="57" max="57" width="17.5" style="2" bestFit="1" customWidth="1"/>
    <col min="58" max="59" width="16.375" style="2" bestFit="1" customWidth="1"/>
    <col min="60" max="60" width="9" style="2"/>
    <col min="61" max="61" width="13" style="2" bestFit="1" customWidth="1"/>
    <col min="62" max="64" width="9" style="2"/>
    <col min="65" max="65" width="17.25" style="2" bestFit="1" customWidth="1"/>
    <col min="66" max="68" width="9" style="2"/>
    <col min="69" max="69" width="13" style="2" bestFit="1" customWidth="1"/>
    <col min="70" max="70" width="9" style="2"/>
    <col min="71" max="71" width="10" style="2" bestFit="1" customWidth="1"/>
    <col min="72" max="72" width="9" style="2"/>
    <col min="73" max="73" width="11" style="2" bestFit="1" customWidth="1"/>
    <col min="74" max="74" width="9" style="2"/>
    <col min="75" max="75" width="10" style="2" bestFit="1" customWidth="1"/>
    <col min="76" max="77" width="9" style="2"/>
    <col min="78" max="78" width="10" style="2" bestFit="1" customWidth="1"/>
    <col min="79" max="80" width="9" style="2"/>
    <col min="81" max="82" width="11" style="2" bestFit="1" customWidth="1"/>
    <col min="83" max="16384" width="9" style="2"/>
  </cols>
  <sheetData>
    <row r="1" spans="1:13" ht="17.25" customHeight="1">
      <c r="A1" s="53" t="s">
        <v>597</v>
      </c>
      <c r="B1" s="26" t="s">
        <v>1</v>
      </c>
      <c r="C1" s="39">
        <v>201805011</v>
      </c>
      <c r="D1" s="40"/>
      <c r="E1" s="40"/>
      <c r="F1" s="40"/>
      <c r="G1" s="34"/>
    </row>
    <row r="2" spans="1:13" s="28" customFormat="1" ht="17.25" customHeight="1">
      <c r="A2" s="53"/>
      <c r="B2" s="26" t="s">
        <v>2</v>
      </c>
      <c r="C2" s="26" t="str">
        <f>VLOOKUP($C$1,详尽档案总表!$B$1:$CL$49,2,FALSE)</f>
        <v>胡永俊</v>
      </c>
      <c r="D2" s="26" t="s">
        <v>598</v>
      </c>
      <c r="E2" s="26">
        <f>VLOOKUP($C$1,详尽档案总表!$B$1:$CL$49,3,FALSE)</f>
        <v>813</v>
      </c>
      <c r="F2" s="27" t="s">
        <v>599</v>
      </c>
      <c r="G2" s="26">
        <f>VLOOKUP($C$1,详尽档案总表!$B$1:$CL$49,4,FALSE)</f>
        <v>2018012502</v>
      </c>
    </row>
    <row r="3" spans="1:13" ht="17.25" customHeight="1">
      <c r="A3" s="53"/>
      <c r="B3" s="26" t="s">
        <v>3</v>
      </c>
      <c r="C3" s="26">
        <f>VLOOKUP($C$1,详尽档案总表!$B$1:$CL$49,5,FALSE)</f>
        <v>30800</v>
      </c>
      <c r="D3" s="27" t="s">
        <v>600</v>
      </c>
      <c r="E3" s="26" t="str">
        <f>VLOOKUP($C$1,详尽档案总表!$B$1:$CL$49,6,FALSE)</f>
        <v>静心房</v>
      </c>
      <c r="F3" s="26" t="s">
        <v>601</v>
      </c>
      <c r="G3" s="26">
        <f>VLOOKUP($C$1,详尽档案总表!$B$1:$CL$49,7,FALSE)</f>
        <v>26</v>
      </c>
    </row>
    <row r="4" spans="1:13" ht="17.25" customHeight="1">
      <c r="A4" s="53"/>
      <c r="B4" s="27" t="s">
        <v>35</v>
      </c>
      <c r="C4" s="26">
        <f>VLOOKUP($C$1,详尽档案总表!$B$1:$CL$49,8,FALSE)</f>
        <v>43246</v>
      </c>
      <c r="D4" s="27" t="s">
        <v>36</v>
      </c>
      <c r="E4" s="26">
        <f>VLOOKUP($C$1,详尽档案总表!$B$1:$CL$49,9,FALSE)</f>
        <v>0</v>
      </c>
      <c r="F4" s="26" t="s">
        <v>602</v>
      </c>
      <c r="G4" s="26">
        <f>VLOOKUP($C$1,详尽档案总表!$B$1:$CL$49,10,FALSE)</f>
        <v>0</v>
      </c>
    </row>
    <row r="5" spans="1:13" ht="17.25" customHeight="1">
      <c r="A5" s="53"/>
      <c r="B5" s="26" t="s">
        <v>5</v>
      </c>
      <c r="C5" s="26">
        <f>VLOOKUP($C$1,详尽档案总表!$B$1:$CL$49,11,FALSE)</f>
        <v>15087006240</v>
      </c>
      <c r="D5" s="26" t="s">
        <v>603</v>
      </c>
      <c r="E5" s="26">
        <f>VLOOKUP($C$1,详尽档案总表!$B$1:$CL$49,12,FALSE)</f>
        <v>0</v>
      </c>
      <c r="F5" s="26" t="s">
        <v>604</v>
      </c>
      <c r="G5" s="26">
        <f>VLOOKUP($C$1,详尽档案总表!$B$1:$CL$49,13,FALSE)</f>
        <v>0</v>
      </c>
    </row>
    <row r="6" spans="1:13" ht="17.25" customHeight="1">
      <c r="A6" s="53"/>
      <c r="B6" s="27" t="s">
        <v>4</v>
      </c>
      <c r="C6" s="50" t="str">
        <f>VLOOKUP($C$1,详尽档案总表!$B$1:$CL$49,16,FALSE)</f>
        <v>53250219821223002x</v>
      </c>
      <c r="D6" s="27" t="s">
        <v>205</v>
      </c>
      <c r="E6" s="49" t="str">
        <f>VLOOKUP($C$1,详尽档案总表!$B$1:$CL$49,17,FALSE)</f>
        <v>云南省昆明市西山区海埂路马洒营小区桂园B栋3单元402号</v>
      </c>
      <c r="F6" s="42"/>
      <c r="G6" s="43"/>
    </row>
    <row r="7" spans="1:13" ht="17.25" customHeight="1">
      <c r="A7" s="53"/>
      <c r="B7" s="26" t="s">
        <v>12</v>
      </c>
      <c r="C7" s="26">
        <f>VLOOKUP($C$1,详尽档案总表!$B$1:$CL$49,18,FALSE)</f>
        <v>0</v>
      </c>
      <c r="D7" s="27" t="s">
        <v>605</v>
      </c>
      <c r="E7" s="26" t="str">
        <f>VLOOKUP($C$1,详尽档案总表!$B$1:$CL$49,19,FALSE)</f>
        <v>翠羽丹霞A幢803室</v>
      </c>
      <c r="F7" s="42"/>
      <c r="G7" s="43"/>
    </row>
    <row r="8" spans="1:13" ht="17.25" customHeight="1">
      <c r="A8" s="53"/>
      <c r="B8" s="26" t="s">
        <v>7</v>
      </c>
      <c r="C8" s="26">
        <f>VLOOKUP($C$1,详尽档案总表!$B$1:$CL$49,20,FALSE)</f>
        <v>0</v>
      </c>
      <c r="D8" s="27" t="s">
        <v>606</v>
      </c>
      <c r="E8" s="26" t="str">
        <f>VLOOKUP($C$1,详尽档案总表!$B$1:$CL$49,21,FALSE)</f>
        <v>教师</v>
      </c>
      <c r="F8" s="27" t="s">
        <v>9</v>
      </c>
      <c r="G8" s="26" t="str">
        <f>VLOOKUP($C$1,详尽档案总表!$B$1:$CL$49,22,FALSE)</f>
        <v>是</v>
      </c>
    </row>
    <row r="9" spans="1:13" ht="17.25" customHeight="1">
      <c r="A9" s="53"/>
      <c r="B9" s="26" t="s">
        <v>8</v>
      </c>
      <c r="C9" s="26" t="str">
        <f>VLOOKUP($C$1,详尽档案总表!$B$1:$CL$49,23,FALSE)</f>
        <v>汉</v>
      </c>
      <c r="D9" s="27" t="s">
        <v>10</v>
      </c>
      <c r="E9" s="26" t="str">
        <f>VLOOKUP($C$1,详尽档案总表!$B$1:$CL$49,24,FALSE)</f>
        <v>无</v>
      </c>
      <c r="F9" s="26" t="s">
        <v>11</v>
      </c>
      <c r="G9" s="26" t="str">
        <f>VLOOKUP($C$1,详尽档案总表!$B$1:$CL$49,25,FALSE)</f>
        <v>硕士</v>
      </c>
    </row>
    <row r="10" spans="1:13" ht="17.25" customHeight="1">
      <c r="A10" s="53"/>
      <c r="B10" s="26" t="s">
        <v>13</v>
      </c>
      <c r="C10" s="26">
        <f>VLOOKUP($C$1,详尽档案总表!$B$1:$CL$49,26,FALSE)</f>
        <v>0</v>
      </c>
      <c r="D10" s="26" t="s">
        <v>14</v>
      </c>
      <c r="E10" s="26">
        <f>VLOOKUP($C$1,详尽档案总表!$B$1:$CL$49,27,FALSE)</f>
        <v>0</v>
      </c>
      <c r="F10" s="26" t="s">
        <v>607</v>
      </c>
      <c r="G10" s="26">
        <f>VLOOKUP($C$1,详尽档案总表!$B$1:$CL$49,28,FALSE)</f>
        <v>0</v>
      </c>
    </row>
    <row r="11" spans="1:13" ht="17.25" customHeight="1">
      <c r="A11" s="53"/>
      <c r="B11" s="26" t="s">
        <v>608</v>
      </c>
      <c r="C11" s="26">
        <f>VLOOKUP($C$1,详尽档案总表!$B$1:$CL$49,29,FALSE)</f>
        <v>0</v>
      </c>
      <c r="D11" s="26" t="s">
        <v>609</v>
      </c>
      <c r="E11" s="26">
        <f>VLOOKUP($C$1,详尽档案总表!$B$1:$CL$49,30,FALSE)</f>
        <v>0</v>
      </c>
      <c r="F11" s="26" t="s">
        <v>610</v>
      </c>
      <c r="G11" s="26">
        <f>VLOOKUP($C$1,详尽档案总表!$B$1:$CL$49,31,FALSE)</f>
        <v>0</v>
      </c>
    </row>
    <row r="12" spans="1:13" ht="17.25" customHeight="1">
      <c r="A12" s="53"/>
      <c r="B12" s="26" t="s">
        <v>611</v>
      </c>
      <c r="C12" s="26">
        <f>VLOOKUP($C$1,详尽档案总表!$B$1:$CL$49,32,FALSE)</f>
        <v>0</v>
      </c>
      <c r="D12" s="26" t="s">
        <v>612</v>
      </c>
      <c r="E12" s="26">
        <f>VLOOKUP($C$1,详尽档案总表!$B$1:$CL$49,33,FALSE)</f>
        <v>0</v>
      </c>
      <c r="F12" s="26" t="s">
        <v>613</v>
      </c>
      <c r="G12" s="26">
        <f>VLOOKUP($C$1,详尽档案总表!$B$1:$CL$49,34,FALSE)</f>
        <v>0</v>
      </c>
    </row>
    <row r="13" spans="1:13" ht="17.25" customHeight="1">
      <c r="A13" s="53"/>
      <c r="B13" s="26" t="s">
        <v>15</v>
      </c>
      <c r="C13" s="39">
        <f>VLOOKUP($C$1,详尽档案总表!$B$1:$CL$49,35,FALSE)</f>
        <v>0</v>
      </c>
      <c r="D13" s="40"/>
      <c r="E13" s="40"/>
      <c r="F13" s="40"/>
      <c r="G13" s="34"/>
    </row>
    <row r="14" spans="1:13" ht="17.25" customHeight="1">
      <c r="A14" s="53"/>
      <c r="B14" s="26" t="s">
        <v>19</v>
      </c>
      <c r="C14" s="26">
        <f>VLOOKUP($C$1,详尽档案总表!$B$1:$CL$49,36,FALSE)</f>
        <v>0</v>
      </c>
      <c r="D14" s="26" t="s">
        <v>18</v>
      </c>
      <c r="E14" s="26" t="str">
        <f>VLOOKUP($C$1,详尽档案总表!$B$1:$CL$49,37,FALSE)</f>
        <v>无</v>
      </c>
      <c r="F14" s="26" t="s">
        <v>17</v>
      </c>
      <c r="G14" s="26" t="str">
        <f>VLOOKUP($C$1,详尽档案总表!$B$1:$CL$49,38,FALSE)</f>
        <v>无</v>
      </c>
    </row>
    <row r="15" spans="1:13" ht="17.25" customHeight="1">
      <c r="A15" s="53"/>
      <c r="B15" s="26" t="s">
        <v>20</v>
      </c>
      <c r="C15" s="26" t="str">
        <f>VLOOKUP($C$1,详尽档案总表!$B$1:$CL$49,39,FALSE)</f>
        <v>B</v>
      </c>
      <c r="D15" s="26" t="s">
        <v>80</v>
      </c>
      <c r="E15" s="26" t="str">
        <f>VLOOKUP($C$1,详尽档案总表!$B$1:$CL$49,40,FALSE)</f>
        <v>2018.6.5</v>
      </c>
      <c r="F15" s="26" t="s">
        <v>25</v>
      </c>
      <c r="G15" s="26" t="str">
        <f>VLOOKUP($C$1,详尽档案总表!$B$1:$CL$49,41,FALSE)</f>
        <v>38+4</v>
      </c>
    </row>
    <row r="16" spans="1:13" ht="17.25" customHeight="1">
      <c r="A16" s="53"/>
      <c r="B16" s="26" t="s">
        <v>206</v>
      </c>
      <c r="C16" s="26" t="str">
        <f>VLOOKUP($C$1,详尽档案总表!$B$1:$CL$49,42,FALSE)</f>
        <v>二胎</v>
      </c>
      <c r="D16" s="26" t="s">
        <v>207</v>
      </c>
      <c r="E16" s="26">
        <f>VLOOKUP($C$1,详尽档案总表!$B$1:$CL$49,43,FALSE)</f>
        <v>36</v>
      </c>
      <c r="F16" s="26" t="s">
        <v>22</v>
      </c>
      <c r="G16" s="26">
        <f>VLOOKUP($C$1,详尽档案总表!$B$1:$CL$49,44,FALSE)</f>
        <v>0</v>
      </c>
      <c r="M16" s="41"/>
    </row>
    <row r="17" spans="1:7" ht="17.25" customHeight="1">
      <c r="A17" s="53"/>
      <c r="B17" s="26" t="s">
        <v>21</v>
      </c>
      <c r="C17" s="26" t="str">
        <f>VLOOKUP($C$1,详尽档案总表!$B$1:$CL$49,45,FALSE)</f>
        <v>市妇幼</v>
      </c>
      <c r="D17" s="26" t="s">
        <v>24</v>
      </c>
      <c r="E17" s="26" t="str">
        <f>VLOOKUP($C$1,详尽档案总表!$B$1:$CL$49,46,FALSE)</f>
        <v>剖宫产</v>
      </c>
      <c r="F17" s="26" t="s">
        <v>16</v>
      </c>
      <c r="G17" s="26" t="str">
        <f>VLOOKUP($C$1,详尽档案总表!$B$1:$CL$49,47,FALSE)</f>
        <v>无</v>
      </c>
    </row>
    <row r="18" spans="1:7" ht="17.25" customHeight="1">
      <c r="A18" s="53"/>
      <c r="B18" s="26" t="s">
        <v>23</v>
      </c>
      <c r="C18" s="39">
        <f>VLOOKUP($C$1,详尽档案总表!$B$1:$CL$49,48,FALSE)</f>
        <v>0</v>
      </c>
      <c r="D18" s="37"/>
      <c r="E18" s="37"/>
      <c r="F18" s="37"/>
      <c r="G18" s="38"/>
    </row>
    <row r="19" spans="1:7" ht="17.25" customHeight="1">
      <c r="A19" s="53"/>
      <c r="B19" s="26" t="s">
        <v>614</v>
      </c>
      <c r="C19" s="26">
        <f>VLOOKUP($C$1,详尽档案总表!$B$1:$CL$49,49,FALSE)</f>
        <v>0</v>
      </c>
      <c r="D19" s="29" t="s">
        <v>615</v>
      </c>
      <c r="E19" s="26">
        <f>VLOOKUP($C$1,详尽档案总表!$B$1:$CL$49,50,FALSE)</f>
        <v>77.8</v>
      </c>
      <c r="F19" s="29" t="s">
        <v>616</v>
      </c>
      <c r="G19" s="26">
        <f>VLOOKUP($C$1,详尽档案总表!$B$1:$CL$49,51,FALSE)</f>
        <v>0</v>
      </c>
    </row>
    <row r="20" spans="1:7" ht="17.25" customHeight="1">
      <c r="A20" s="53"/>
      <c r="B20" s="26" t="s">
        <v>617</v>
      </c>
      <c r="C20" s="39">
        <f>VLOOKUP($C$1,详尽档案总表!$B$1:$CL$49,52,FALSE)</f>
        <v>0</v>
      </c>
      <c r="D20" s="37"/>
      <c r="E20" s="37"/>
      <c r="F20" s="37"/>
      <c r="G20" s="38"/>
    </row>
    <row r="21" spans="1:7" ht="17.25" customHeight="1">
      <c r="A21" s="53"/>
      <c r="B21" s="27" t="s">
        <v>618</v>
      </c>
      <c r="C21" s="39">
        <f>VLOOKUP($C$1,详尽档案总表!$B$1:$CL$49,53,FALSE)</f>
        <v>0</v>
      </c>
      <c r="D21" s="42"/>
      <c r="E21" s="42"/>
      <c r="F21" s="42"/>
      <c r="G21" s="43"/>
    </row>
    <row r="22" spans="1:7" ht="17.25" customHeight="1">
      <c r="A22" s="53"/>
      <c r="B22" s="27" t="s">
        <v>619</v>
      </c>
      <c r="C22" s="39">
        <f>VLOOKUP($C$1,详尽档案总表!$B$1:$CL$49,54,FALSE)</f>
        <v>0</v>
      </c>
      <c r="D22" s="42"/>
      <c r="E22" s="42"/>
      <c r="F22" s="42"/>
      <c r="G22" s="43"/>
    </row>
    <row r="23" spans="1:7" ht="17.25" customHeight="1">
      <c r="A23" s="51" t="s">
        <v>620</v>
      </c>
      <c r="B23" s="30" t="s">
        <v>208</v>
      </c>
      <c r="C23" s="44">
        <f>VLOOKUP($C$1,详尽档案总表!$B$1:$CL$49,55,FALSE)</f>
        <v>43243</v>
      </c>
      <c r="D23" s="31" t="s">
        <v>209</v>
      </c>
      <c r="E23" s="31">
        <f>VLOOKUP($C$1,详尽档案总表!$B$1:$CL$49,56,FALSE)</f>
        <v>0.59097222222222223</v>
      </c>
      <c r="F23" s="31" t="s">
        <v>210</v>
      </c>
      <c r="G23" s="31">
        <f>VLOOKUP($C$1,详尽档案总表!$B$1:$CL$49,57,FALSE)</f>
        <v>0</v>
      </c>
    </row>
    <row r="24" spans="1:7" ht="17.25" customHeight="1">
      <c r="A24" s="52"/>
      <c r="B24" s="31" t="s">
        <v>26</v>
      </c>
      <c r="C24" s="31" t="str">
        <f>VLOOKUP($C$1,详尽档案总表!$B$1:$CL$49,58,FALSE)</f>
        <v>李斯宓</v>
      </c>
      <c r="D24" s="31" t="s">
        <v>211</v>
      </c>
      <c r="E24" s="31">
        <f>VLOOKUP($C$1,详尽档案总表!$B$1:$CL$49,59,FALSE)</f>
        <v>0</v>
      </c>
      <c r="F24" s="31" t="s">
        <v>27</v>
      </c>
      <c r="G24" s="31" t="str">
        <f>VLOOKUP($C$1,详尽档案总表!$B$1:$CL$49,60,FALSE)</f>
        <v>女</v>
      </c>
    </row>
    <row r="25" spans="1:7" ht="17.25" customHeight="1">
      <c r="A25" s="52"/>
      <c r="B25" s="31" t="s">
        <v>28</v>
      </c>
      <c r="C25" s="31">
        <f>VLOOKUP($C$1,详尽档案总表!$B$1:$CL$49,61,FALSE)</f>
        <v>3250</v>
      </c>
      <c r="D25" s="31" t="s">
        <v>29</v>
      </c>
      <c r="E25" s="31">
        <f>VLOOKUP($C$1,详尽档案总表!$B$1:$CL$49,62,FALSE)</f>
        <v>49</v>
      </c>
      <c r="F25" s="31" t="s">
        <v>32</v>
      </c>
      <c r="G25" s="31">
        <f>VLOOKUP($C$1,详尽档案总表!$B$1:$CL$49,63,FALSE)</f>
        <v>0</v>
      </c>
    </row>
    <row r="26" spans="1:7" ht="17.25" customHeight="1">
      <c r="A26" s="52"/>
      <c r="B26" s="31" t="s">
        <v>30</v>
      </c>
      <c r="C26" s="31">
        <f>VLOOKUP($C$1,详尽档案总表!$B$1:$CL$49,64,FALSE)</f>
        <v>3270</v>
      </c>
      <c r="D26" s="31" t="s">
        <v>31</v>
      </c>
      <c r="E26" s="31">
        <f>VLOOKUP($C$1,详尽档案总表!$B$1:$CL$49,65,FALSE)</f>
        <v>0</v>
      </c>
      <c r="F26" s="31" t="s">
        <v>34</v>
      </c>
      <c r="G26" s="31" t="str">
        <f>VLOOKUP($C$1,详尽档案总表!$B$1:$CL$49,66,FALSE)</f>
        <v>混合喂养</v>
      </c>
    </row>
    <row r="27" spans="1:7" ht="17.25" customHeight="1">
      <c r="A27" s="52"/>
      <c r="B27" s="31" t="s">
        <v>33</v>
      </c>
      <c r="C27" s="31" t="str">
        <f>VLOOKUP($C$1,详尽档案总表!$B$1:$CL$49,67,FALSE)</f>
        <v>头部散在皮疹</v>
      </c>
      <c r="D27" s="45"/>
      <c r="E27" s="45"/>
      <c r="F27" s="45"/>
      <c r="G27" s="46"/>
    </row>
    <row r="28" spans="1:7" ht="17.25" customHeight="1">
      <c r="A28" s="53" t="s">
        <v>621</v>
      </c>
      <c r="B28" s="32" t="s">
        <v>622</v>
      </c>
      <c r="C28" s="26">
        <f>VLOOKUP($C$1,详尽档案总表!$B$1:$CL$49,68,FALSE)</f>
        <v>0</v>
      </c>
      <c r="D28" s="29" t="s">
        <v>623</v>
      </c>
      <c r="E28" s="26">
        <f>VLOOKUP($C$1,详尽档案总表!$B$1:$CL$49,69,FALSE)</f>
        <v>0</v>
      </c>
      <c r="F28" s="29" t="s">
        <v>624</v>
      </c>
      <c r="G28" s="26" t="str">
        <f>VLOOKUP($C$1,详尽档案总表!$B$1:$CL$49,70,FALSE)</f>
        <v>二胎</v>
      </c>
    </row>
    <row r="29" spans="1:7" ht="17.25" customHeight="1">
      <c r="A29" s="53"/>
      <c r="B29" s="33" t="s">
        <v>625</v>
      </c>
      <c r="C29" s="26">
        <f>VLOOKUP($C$1,详尽档案总表!$B$1:$CL$49,71,FALSE)</f>
        <v>0</v>
      </c>
      <c r="D29" s="29" t="s">
        <v>626</v>
      </c>
      <c r="E29" s="26">
        <f>VLOOKUP($C$1,详尽档案总表!$B$1:$CL$49,72,FALSE)</f>
        <v>0</v>
      </c>
      <c r="F29" s="29" t="s">
        <v>627</v>
      </c>
      <c r="G29" s="26">
        <f>VLOOKUP($C$1,详尽档案总表!$B$1:$CL$49,72,FALSE)</f>
        <v>0</v>
      </c>
    </row>
    <row r="30" spans="1:7" ht="17.25" customHeight="1">
      <c r="A30" s="53"/>
      <c r="B30" s="34" t="s">
        <v>628</v>
      </c>
      <c r="C30" s="26" t="str">
        <f>VLOOKUP($C$1,详尽档案总表!$B$1:$CL$49,74,FALSE)</f>
        <v>李继昆</v>
      </c>
      <c r="D30" s="26" t="s">
        <v>629</v>
      </c>
      <c r="E30" s="26" t="str">
        <f>VLOOKUP($C$1,详尽档案总表!$B$1:$CL$49,75,FALSE)</f>
        <v>丈夫</v>
      </c>
      <c r="F30" s="26" t="s">
        <v>5</v>
      </c>
      <c r="G30" s="26">
        <f>VLOOKUP($C$1,详尽档案总表!$B$1:$CL$49,76,FALSE)</f>
        <v>13888363439</v>
      </c>
    </row>
    <row r="31" spans="1:7" ht="17.25" customHeight="1">
      <c r="A31" s="53"/>
      <c r="B31" s="34" t="s">
        <v>4</v>
      </c>
      <c r="C31" s="26">
        <f>VLOOKUP($C$1,详尽档案总表!$B$1:$CL$49,77,FALSE)</f>
        <v>0</v>
      </c>
      <c r="D31" s="26" t="s">
        <v>630</v>
      </c>
      <c r="E31" s="26">
        <f>VLOOKUP($C$1,详尽档案总表!$B$1:$CL$49,78,FALSE)</f>
        <v>0</v>
      </c>
      <c r="F31" s="26" t="s">
        <v>631</v>
      </c>
      <c r="G31" s="26">
        <f>VLOOKUP($C$1,详尽档案总表!$B$1:$CL$49,79,FALSE)</f>
        <v>0</v>
      </c>
    </row>
    <row r="32" spans="1:7" ht="17.25" customHeight="1">
      <c r="A32" s="53"/>
      <c r="B32" s="34" t="s">
        <v>632</v>
      </c>
      <c r="C32" s="26">
        <f>VLOOKUP($C$1,详尽档案总表!$B$1:$CL$49,80,FALSE)</f>
        <v>0</v>
      </c>
      <c r="D32" s="26" t="s">
        <v>633</v>
      </c>
      <c r="E32" s="26">
        <f>VLOOKUP($C$1,详尽档案总表!$B$1:$CL$49,81,FALSE)</f>
        <v>0</v>
      </c>
      <c r="F32" s="26" t="s">
        <v>5</v>
      </c>
      <c r="G32" s="26">
        <f>VLOOKUP($C$1,详尽档案总表!$B$1:$CL$49,82,FALSE)</f>
        <v>0</v>
      </c>
    </row>
    <row r="33" spans="1:7" ht="17.25" customHeight="1">
      <c r="A33" s="53"/>
      <c r="B33" s="34" t="s">
        <v>634</v>
      </c>
      <c r="C33" s="26">
        <f>VLOOKUP($C$1,详尽档案总表!$B$1:$CL$49,83,FALSE)</f>
        <v>0</v>
      </c>
      <c r="D33" s="26" t="s">
        <v>635</v>
      </c>
      <c r="E33" s="26">
        <f>VLOOKUP($C$1,详尽档案总表!$B$1:$CL$49,84,FALSE)</f>
        <v>0</v>
      </c>
      <c r="F33" s="26" t="s">
        <v>5</v>
      </c>
      <c r="G33" s="26">
        <f>VLOOKUP($C$1,详尽档案总表!$B$1:$CL$49,85,FALSE)</f>
        <v>0</v>
      </c>
    </row>
    <row r="34" spans="1:7" ht="17.25" customHeight="1">
      <c r="A34" s="52" t="s">
        <v>636</v>
      </c>
      <c r="B34" s="35" t="s">
        <v>637</v>
      </c>
      <c r="C34" s="47">
        <f>VLOOKUP($C$1,详尽档案总表!$B$1:$CL$49,86,FALSE)</f>
        <v>0</v>
      </c>
      <c r="D34" s="48"/>
      <c r="E34" s="48"/>
      <c r="F34" s="48"/>
      <c r="G34" s="31"/>
    </row>
    <row r="35" spans="1:7" ht="17.25" customHeight="1">
      <c r="A35" s="52"/>
      <c r="B35" s="31" t="s">
        <v>638</v>
      </c>
      <c r="C35" s="31">
        <f>VLOOKUP($C$1,详尽档案总表!$B$1:$CL$49,87,FALSE)</f>
        <v>0</v>
      </c>
      <c r="D35" s="31" t="s">
        <v>639</v>
      </c>
      <c r="E35" s="31">
        <f>VLOOKUP($C$1,详尽档案总表!$B$1:$CL$49,88,FALSE)</f>
        <v>0</v>
      </c>
      <c r="F35" s="31" t="s">
        <v>640</v>
      </c>
      <c r="G35" s="31">
        <f>VLOOKUP($C$1,详尽档案总表!$B$1:$CL$49,89,FALSE)</f>
        <v>0</v>
      </c>
    </row>
  </sheetData>
  <mergeCells count="4">
    <mergeCell ref="A1:A22"/>
    <mergeCell ref="A23:A27"/>
    <mergeCell ref="A28:A33"/>
    <mergeCell ref="A34:A3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J24" sqref="J24"/>
    </sheetView>
  </sheetViews>
  <sheetFormatPr defaultRowHeight="17.25" customHeight="1"/>
  <cols>
    <col min="1" max="1" width="5" style="36" customWidth="1"/>
    <col min="2" max="2" width="15" style="2" customWidth="1"/>
    <col min="3" max="3" width="15.5" style="2" bestFit="1" customWidth="1"/>
    <col min="4" max="7" width="15.625" style="2" customWidth="1"/>
    <col min="8" max="8" width="5.25" style="2" bestFit="1" customWidth="1"/>
    <col min="9" max="11" width="9" style="2"/>
    <col min="12" max="12" width="13" style="2" bestFit="1" customWidth="1"/>
    <col min="13" max="13" width="9" style="2"/>
    <col min="14" max="15" width="11" style="2" bestFit="1" customWidth="1"/>
    <col min="16" max="16" width="7.5" style="2" bestFit="1" customWidth="1"/>
    <col min="17" max="17" width="9" style="2"/>
    <col min="18" max="18" width="7.5" style="2" bestFit="1" customWidth="1"/>
    <col min="19" max="20" width="5.25" style="2" bestFit="1" customWidth="1"/>
    <col min="21" max="22" width="9" style="2"/>
    <col min="23" max="23" width="5.25" style="2" bestFit="1" customWidth="1"/>
    <col min="24" max="31" width="9" style="2"/>
    <col min="32" max="32" width="13" style="2" bestFit="1" customWidth="1"/>
    <col min="33" max="33" width="9" style="2"/>
    <col min="34" max="34" width="11" style="2" bestFit="1" customWidth="1"/>
    <col min="35" max="37" width="7.125" style="2" bestFit="1" customWidth="1"/>
    <col min="38" max="39" width="5.25" style="2" bestFit="1" customWidth="1"/>
    <col min="40" max="44" width="9" style="2"/>
    <col min="45" max="47" width="13" style="2" bestFit="1" customWidth="1"/>
    <col min="48" max="48" width="9" style="2"/>
    <col min="49" max="49" width="7.125" style="2" bestFit="1" customWidth="1"/>
    <col min="50" max="50" width="13" style="2" bestFit="1" customWidth="1"/>
    <col min="51" max="51" width="9" style="2"/>
    <col min="52" max="52" width="7.125" style="2" bestFit="1" customWidth="1"/>
    <col min="53" max="55" width="9" style="2"/>
    <col min="56" max="56" width="16.375" style="2" bestFit="1" customWidth="1"/>
    <col min="57" max="57" width="17.5" style="2" bestFit="1" customWidth="1"/>
    <col min="58" max="59" width="16.375" style="2" bestFit="1" customWidth="1"/>
    <col min="60" max="60" width="9" style="2"/>
    <col min="61" max="61" width="13" style="2" bestFit="1" customWidth="1"/>
    <col min="62" max="64" width="9" style="2"/>
    <col min="65" max="65" width="17.25" style="2" bestFit="1" customWidth="1"/>
    <col min="66" max="68" width="9" style="2"/>
    <col min="69" max="69" width="13" style="2" bestFit="1" customWidth="1"/>
    <col min="70" max="70" width="9" style="2"/>
    <col min="71" max="71" width="10" style="2" bestFit="1" customWidth="1"/>
    <col min="72" max="72" width="9" style="2"/>
    <col min="73" max="73" width="11" style="2" bestFit="1" customWidth="1"/>
    <col min="74" max="74" width="9" style="2"/>
    <col min="75" max="75" width="10" style="2" bestFit="1" customWidth="1"/>
    <col min="76" max="77" width="9" style="2"/>
    <col min="78" max="78" width="10" style="2" bestFit="1" customWidth="1"/>
    <col min="79" max="80" width="9" style="2"/>
    <col min="81" max="82" width="11" style="2" bestFit="1" customWidth="1"/>
    <col min="83" max="16384" width="9" style="2"/>
  </cols>
  <sheetData>
    <row r="1" spans="1:13" ht="17.25" customHeight="1">
      <c r="A1" s="53" t="s">
        <v>597</v>
      </c>
      <c r="B1" s="26" t="s">
        <v>1</v>
      </c>
      <c r="C1" s="39">
        <v>201805001</v>
      </c>
      <c r="D1" s="40"/>
      <c r="E1" s="40"/>
      <c r="F1" s="40"/>
      <c r="G1" s="34"/>
    </row>
    <row r="2" spans="1:13" s="28" customFormat="1" ht="17.25" customHeight="1">
      <c r="A2" s="53"/>
      <c r="B2" s="26" t="s">
        <v>2</v>
      </c>
      <c r="C2" s="26" t="str">
        <f>VLOOKUP($C$1,详尽档案总表!$B$1:$CL$49,2,FALSE)</f>
        <v>李骜</v>
      </c>
      <c r="D2" s="26" t="s">
        <v>598</v>
      </c>
      <c r="E2" s="26">
        <f>VLOOKUP($C$1,详尽档案总表!$B$1:$CL$49,3,FALSE)</f>
        <v>803</v>
      </c>
      <c r="F2" s="27" t="s">
        <v>599</v>
      </c>
      <c r="G2" s="26">
        <f>VLOOKUP($C$1,详尽档案总表!$B$1:$CL$49,4,FALSE)</f>
        <v>2017111002</v>
      </c>
    </row>
    <row r="3" spans="1:13" ht="17.25" customHeight="1">
      <c r="A3" s="53"/>
      <c r="B3" s="26" t="s">
        <v>3</v>
      </c>
      <c r="C3" s="26">
        <f>VLOOKUP($C$1,详尽档案总表!$B$1:$CL$49,5,FALSE)</f>
        <v>32800</v>
      </c>
      <c r="D3" s="27" t="s">
        <v>600</v>
      </c>
      <c r="E3" s="26" t="str">
        <f>VLOOKUP($C$1,详尽档案总表!$B$1:$CL$49,6,FALSE)</f>
        <v>舒心房</v>
      </c>
      <c r="F3" s="26" t="s">
        <v>601</v>
      </c>
      <c r="G3" s="26">
        <f>VLOOKUP($C$1,详尽档案总表!$B$1:$CL$49,7,FALSE)</f>
        <v>26</v>
      </c>
    </row>
    <row r="4" spans="1:13" ht="17.25" customHeight="1">
      <c r="A4" s="53"/>
      <c r="B4" s="27" t="s">
        <v>35</v>
      </c>
      <c r="C4" s="26">
        <f>VLOOKUP($C$1,详尽档案总表!$B$1:$CL$49,8,FALSE)</f>
        <v>0</v>
      </c>
      <c r="D4" s="27" t="s">
        <v>36</v>
      </c>
      <c r="E4" s="26">
        <f>VLOOKUP($C$1,详尽档案总表!$B$1:$CL$49,9,FALSE)</f>
        <v>0</v>
      </c>
      <c r="F4" s="26" t="s">
        <v>602</v>
      </c>
      <c r="G4" s="26">
        <f>VLOOKUP($C$1,详尽档案总表!$B$1:$CL$49,10,FALSE)</f>
        <v>0</v>
      </c>
    </row>
    <row r="5" spans="1:13" ht="17.25" customHeight="1">
      <c r="A5" s="53"/>
      <c r="B5" s="26" t="s">
        <v>5</v>
      </c>
      <c r="C5" s="26">
        <f>VLOOKUP($C$1,详尽档案总表!$B$1:$CL$49,11,FALSE)</f>
        <v>13577175842</v>
      </c>
      <c r="D5" s="26" t="s">
        <v>603</v>
      </c>
      <c r="E5" s="26">
        <f>VLOOKUP($C$1,详尽档案总表!$B$1:$CL$49,12,FALSE)</f>
        <v>0</v>
      </c>
      <c r="F5" s="26" t="s">
        <v>604</v>
      </c>
      <c r="G5" s="26">
        <f>VLOOKUP($C$1,详尽档案总表!$B$1:$CL$49,13,FALSE)</f>
        <v>0</v>
      </c>
    </row>
    <row r="6" spans="1:13" ht="17.25" customHeight="1">
      <c r="A6" s="53"/>
      <c r="B6" s="27" t="s">
        <v>4</v>
      </c>
      <c r="C6" s="50" t="str">
        <f>VLOOKUP($C$1,详尽档案总表!$B$1:$CL$49,16,FALSE)</f>
        <v>220702199007291422</v>
      </c>
      <c r="D6" s="27" t="s">
        <v>205</v>
      </c>
      <c r="E6" s="49" t="str">
        <f>VLOOKUP($C$1,详尽档案总表!$B$1:$CL$49,17,FALSE)</f>
        <v>云南省昆明市盘龙区金实路金实小区春实园645栋2单元601号</v>
      </c>
      <c r="F6" s="42"/>
      <c r="G6" s="43"/>
    </row>
    <row r="7" spans="1:13" ht="17.25" customHeight="1">
      <c r="A7" s="53"/>
      <c r="B7" s="26" t="s">
        <v>12</v>
      </c>
      <c r="C7" s="26">
        <f>VLOOKUP($C$1,详尽档案总表!$B$1:$CL$49,18,FALSE)</f>
        <v>0</v>
      </c>
      <c r="D7" s="27" t="s">
        <v>605</v>
      </c>
      <c r="E7" s="26" t="str">
        <f>VLOOKUP($C$1,详尽档案总表!$B$1:$CL$49,19,FALSE)</f>
        <v>医大广场24-3001</v>
      </c>
      <c r="F7" s="42"/>
      <c r="G7" s="43"/>
    </row>
    <row r="8" spans="1:13" ht="17.25" customHeight="1">
      <c r="A8" s="53"/>
      <c r="B8" s="26" t="s">
        <v>7</v>
      </c>
      <c r="C8" s="26">
        <f>VLOOKUP($C$1,详尽档案总表!$B$1:$CL$49,20,FALSE)</f>
        <v>0</v>
      </c>
      <c r="D8" s="27" t="s">
        <v>606</v>
      </c>
      <c r="E8" s="26" t="str">
        <f>VLOOKUP($C$1,详尽档案总表!$B$1:$CL$49,21,FALSE)</f>
        <v>国企造价师</v>
      </c>
      <c r="F8" s="27" t="s">
        <v>9</v>
      </c>
      <c r="G8" s="26">
        <f>VLOOKUP($C$1,详尽档案总表!$B$1:$CL$49,22,FALSE)</f>
        <v>0</v>
      </c>
    </row>
    <row r="9" spans="1:13" ht="17.25" customHeight="1">
      <c r="A9" s="53"/>
      <c r="B9" s="26" t="s">
        <v>8</v>
      </c>
      <c r="C9" s="26" t="str">
        <f>VLOOKUP($C$1,详尽档案总表!$B$1:$CL$49,23,FALSE)</f>
        <v>汉</v>
      </c>
      <c r="D9" s="27" t="s">
        <v>10</v>
      </c>
      <c r="E9" s="26">
        <f>VLOOKUP($C$1,详尽档案总表!$B$1:$CL$49,24,FALSE)</f>
        <v>0</v>
      </c>
      <c r="F9" s="26" t="s">
        <v>11</v>
      </c>
      <c r="G9" s="26">
        <f>VLOOKUP($C$1,详尽档案总表!$B$1:$CL$49,25,FALSE)</f>
        <v>0</v>
      </c>
    </row>
    <row r="10" spans="1:13" ht="17.25" customHeight="1">
      <c r="A10" s="53"/>
      <c r="B10" s="26" t="s">
        <v>13</v>
      </c>
      <c r="C10" s="26">
        <f>VLOOKUP($C$1,详尽档案总表!$B$1:$CL$49,26,FALSE)</f>
        <v>0</v>
      </c>
      <c r="D10" s="26" t="s">
        <v>14</v>
      </c>
      <c r="E10" s="26">
        <f>VLOOKUP($C$1,详尽档案总表!$B$1:$CL$49,27,FALSE)</f>
        <v>0</v>
      </c>
      <c r="F10" s="26" t="s">
        <v>607</v>
      </c>
      <c r="G10" s="26">
        <f>VLOOKUP($C$1,详尽档案总表!$B$1:$CL$49,28,FALSE)</f>
        <v>0</v>
      </c>
    </row>
    <row r="11" spans="1:13" ht="17.25" customHeight="1">
      <c r="A11" s="53"/>
      <c r="B11" s="26" t="s">
        <v>608</v>
      </c>
      <c r="C11" s="26">
        <f>VLOOKUP($C$1,详尽档案总表!$B$1:$CL$49,29,FALSE)</f>
        <v>0</v>
      </c>
      <c r="D11" s="26" t="s">
        <v>609</v>
      </c>
      <c r="E11" s="26">
        <f>VLOOKUP($C$1,详尽档案总表!$B$1:$CL$49,30,FALSE)</f>
        <v>0</v>
      </c>
      <c r="F11" s="26" t="s">
        <v>610</v>
      </c>
      <c r="G11" s="26">
        <f>VLOOKUP($C$1,详尽档案总表!$B$1:$CL$49,31,FALSE)</f>
        <v>0</v>
      </c>
    </row>
    <row r="12" spans="1:13" ht="17.25" customHeight="1">
      <c r="A12" s="53"/>
      <c r="B12" s="26" t="s">
        <v>611</v>
      </c>
      <c r="C12" s="26">
        <f>VLOOKUP($C$1,详尽档案总表!$B$1:$CL$49,32,FALSE)</f>
        <v>0</v>
      </c>
      <c r="D12" s="26" t="s">
        <v>612</v>
      </c>
      <c r="E12" s="26">
        <f>VLOOKUP($C$1,详尽档案总表!$B$1:$CL$49,33,FALSE)</f>
        <v>0</v>
      </c>
      <c r="F12" s="26" t="s">
        <v>613</v>
      </c>
      <c r="G12" s="26">
        <f>VLOOKUP($C$1,详尽档案总表!$B$1:$CL$49,34,FALSE)</f>
        <v>0</v>
      </c>
    </row>
    <row r="13" spans="1:13" ht="17.25" customHeight="1">
      <c r="A13" s="53"/>
      <c r="B13" s="26" t="s">
        <v>15</v>
      </c>
      <c r="C13" s="39">
        <f>VLOOKUP($C$1,详尽档案总表!$B$1:$CL$49,35,FALSE)</f>
        <v>0</v>
      </c>
      <c r="D13" s="40"/>
      <c r="E13" s="40"/>
      <c r="F13" s="40"/>
      <c r="G13" s="34"/>
    </row>
    <row r="14" spans="1:13" ht="17.25" customHeight="1">
      <c r="A14" s="53"/>
      <c r="B14" s="26" t="s">
        <v>19</v>
      </c>
      <c r="C14" s="26">
        <f>VLOOKUP($C$1,详尽档案总表!$B$1:$CL$49,36,FALSE)</f>
        <v>0</v>
      </c>
      <c r="D14" s="26" t="s">
        <v>18</v>
      </c>
      <c r="E14" s="26">
        <f>VLOOKUP($C$1,详尽档案总表!$B$1:$CL$49,37,FALSE)</f>
        <v>0</v>
      </c>
      <c r="F14" s="26" t="s">
        <v>17</v>
      </c>
      <c r="G14" s="26">
        <f>VLOOKUP($C$1,详尽档案总表!$B$1:$CL$49,38,FALSE)</f>
        <v>0</v>
      </c>
    </row>
    <row r="15" spans="1:13" ht="17.25" customHeight="1">
      <c r="A15" s="53"/>
      <c r="B15" s="26" t="s">
        <v>20</v>
      </c>
      <c r="C15" s="26">
        <f>VLOOKUP($C$1,详尽档案总表!$B$1:$CL$49,39,FALSE)</f>
        <v>0</v>
      </c>
      <c r="D15" s="26" t="s">
        <v>80</v>
      </c>
      <c r="E15" s="26" t="str">
        <f>VLOOKUP($C$1,详尽档案总表!$B$1:$CL$49,40,FALSE)</f>
        <v>2018.5.13</v>
      </c>
      <c r="F15" s="26" t="s">
        <v>25</v>
      </c>
      <c r="G15" s="26">
        <f>VLOOKUP($C$1,详尽档案总表!$B$1:$CL$49,41,FALSE)</f>
        <v>0</v>
      </c>
    </row>
    <row r="16" spans="1:13" ht="17.25" customHeight="1">
      <c r="A16" s="53"/>
      <c r="B16" s="26" t="s">
        <v>206</v>
      </c>
      <c r="C16" s="26" t="str">
        <f>VLOOKUP($C$1,详尽档案总表!$B$1:$CL$49,42,FALSE)</f>
        <v>一胎</v>
      </c>
      <c r="D16" s="26" t="s">
        <v>207</v>
      </c>
      <c r="E16" s="26">
        <f>VLOOKUP($C$1,详尽档案总表!$B$1:$CL$49,43,FALSE)</f>
        <v>27</v>
      </c>
      <c r="F16" s="26" t="s">
        <v>22</v>
      </c>
      <c r="G16" s="26">
        <f>VLOOKUP($C$1,详尽档案总表!$B$1:$CL$49,44,FALSE)</f>
        <v>0</v>
      </c>
      <c r="M16" s="41"/>
    </row>
    <row r="17" spans="1:7" ht="17.25" customHeight="1">
      <c r="A17" s="53"/>
      <c r="B17" s="26" t="s">
        <v>21</v>
      </c>
      <c r="C17" s="26" t="str">
        <f>VLOOKUP($C$1,详尽档案总表!$B$1:$CL$49,45,FALSE)</f>
        <v>市妇幼</v>
      </c>
      <c r="D17" s="26" t="s">
        <v>24</v>
      </c>
      <c r="E17" s="26" t="str">
        <f>VLOOKUP($C$1,详尽档案总表!$B$1:$CL$49,46,FALSE)</f>
        <v>剖宫产</v>
      </c>
      <c r="F17" s="26" t="s">
        <v>16</v>
      </c>
      <c r="G17" s="26">
        <f>VLOOKUP($C$1,详尽档案总表!$B$1:$CL$49,47,FALSE)</f>
        <v>0</v>
      </c>
    </row>
    <row r="18" spans="1:7" ht="17.25" customHeight="1">
      <c r="A18" s="53"/>
      <c r="B18" s="26" t="s">
        <v>23</v>
      </c>
      <c r="C18" s="39">
        <f>VLOOKUP($C$1,详尽档案总表!$B$1:$CL$49,48,FALSE)</f>
        <v>0</v>
      </c>
      <c r="D18" s="37"/>
      <c r="E18" s="37"/>
      <c r="F18" s="37"/>
      <c r="G18" s="38"/>
    </row>
    <row r="19" spans="1:7" ht="17.25" customHeight="1">
      <c r="A19" s="53"/>
      <c r="B19" s="26" t="s">
        <v>614</v>
      </c>
      <c r="C19" s="26">
        <f>VLOOKUP($C$1,详尽档案总表!$B$1:$CL$49,49,FALSE)</f>
        <v>0</v>
      </c>
      <c r="D19" s="29" t="s">
        <v>615</v>
      </c>
      <c r="E19" s="26">
        <f>VLOOKUP($C$1,详尽档案总表!$B$1:$CL$49,50,FALSE)</f>
        <v>0</v>
      </c>
      <c r="F19" s="29" t="s">
        <v>616</v>
      </c>
      <c r="G19" s="26">
        <f>VLOOKUP($C$1,详尽档案总表!$B$1:$CL$49,51,FALSE)</f>
        <v>0</v>
      </c>
    </row>
    <row r="20" spans="1:7" ht="17.25" customHeight="1">
      <c r="A20" s="53"/>
      <c r="B20" s="26" t="s">
        <v>617</v>
      </c>
      <c r="C20" s="39">
        <f>VLOOKUP($C$1,详尽档案总表!$B$1:$CL$49,52,FALSE)</f>
        <v>0</v>
      </c>
      <c r="D20" s="37"/>
      <c r="E20" s="37"/>
      <c r="F20" s="37"/>
      <c r="G20" s="38"/>
    </row>
    <row r="21" spans="1:7" ht="17.25" customHeight="1">
      <c r="A21" s="53"/>
      <c r="B21" s="27" t="s">
        <v>618</v>
      </c>
      <c r="C21" s="39">
        <f>VLOOKUP($C$1,详尽档案总表!$B$1:$CL$49,53,FALSE)</f>
        <v>0</v>
      </c>
      <c r="D21" s="42"/>
      <c r="E21" s="42"/>
      <c r="F21" s="42"/>
      <c r="G21" s="43"/>
    </row>
    <row r="22" spans="1:7" ht="17.25" customHeight="1">
      <c r="A22" s="53"/>
      <c r="B22" s="27" t="s">
        <v>619</v>
      </c>
      <c r="C22" s="39">
        <f>VLOOKUP($C$1,详尽档案总表!$B$1:$CL$49,54,FALSE)</f>
        <v>0</v>
      </c>
      <c r="D22" s="42"/>
      <c r="E22" s="42"/>
      <c r="F22" s="42"/>
      <c r="G22" s="43"/>
    </row>
    <row r="23" spans="1:7" ht="17.25" customHeight="1">
      <c r="A23" s="51" t="s">
        <v>620</v>
      </c>
      <c r="B23" s="30" t="s">
        <v>208</v>
      </c>
      <c r="C23" s="44">
        <f>VLOOKUP($C$1,详尽档案总表!$B$1:$CL$49,55,FALSE)</f>
        <v>43237</v>
      </c>
      <c r="D23" s="31" t="s">
        <v>209</v>
      </c>
      <c r="E23" s="31">
        <f>VLOOKUP($C$1,详尽档案总表!$B$1:$CL$49,56,FALSE)</f>
        <v>0</v>
      </c>
      <c r="F23" s="31" t="s">
        <v>210</v>
      </c>
      <c r="G23" s="31">
        <f>VLOOKUP($C$1,详尽档案总表!$B$1:$CL$49,57,FALSE)</f>
        <v>0</v>
      </c>
    </row>
    <row r="24" spans="1:7" ht="17.25" customHeight="1">
      <c r="A24" s="52"/>
      <c r="B24" s="31" t="s">
        <v>26</v>
      </c>
      <c r="C24" s="31">
        <f>VLOOKUP($C$1,详尽档案总表!$B$1:$CL$49,58,FALSE)</f>
        <v>0</v>
      </c>
      <c r="D24" s="31" t="s">
        <v>211</v>
      </c>
      <c r="E24" s="31" t="str">
        <f>VLOOKUP($C$1,详尽档案总表!$B$1:$CL$49,59,FALSE)</f>
        <v>赞赞</v>
      </c>
      <c r="F24" s="31" t="s">
        <v>27</v>
      </c>
      <c r="G24" s="31" t="str">
        <f>VLOOKUP($C$1,详尽档案总表!$B$1:$CL$49,60,FALSE)</f>
        <v>男</v>
      </c>
    </row>
    <row r="25" spans="1:7" ht="17.25" customHeight="1">
      <c r="A25" s="52"/>
      <c r="B25" s="31" t="s">
        <v>28</v>
      </c>
      <c r="C25" s="31">
        <f>VLOOKUP($C$1,详尽档案总表!$B$1:$CL$49,61,FALSE)</f>
        <v>0</v>
      </c>
      <c r="D25" s="31" t="s">
        <v>29</v>
      </c>
      <c r="E25" s="31">
        <f>VLOOKUP($C$1,详尽档案总表!$B$1:$CL$49,62,FALSE)</f>
        <v>0</v>
      </c>
      <c r="F25" s="31" t="s">
        <v>32</v>
      </c>
      <c r="G25" s="31">
        <f>VLOOKUP($C$1,详尽档案总表!$B$1:$CL$49,63,FALSE)</f>
        <v>0</v>
      </c>
    </row>
    <row r="26" spans="1:7" ht="17.25" customHeight="1">
      <c r="A26" s="52"/>
      <c r="B26" s="31" t="s">
        <v>30</v>
      </c>
      <c r="C26" s="31">
        <f>VLOOKUP($C$1,详尽档案总表!$B$1:$CL$49,64,FALSE)</f>
        <v>0</v>
      </c>
      <c r="D26" s="31" t="s">
        <v>31</v>
      </c>
      <c r="E26" s="31">
        <f>VLOOKUP($C$1,详尽档案总表!$B$1:$CL$49,65,FALSE)</f>
        <v>0</v>
      </c>
      <c r="F26" s="31" t="s">
        <v>34</v>
      </c>
      <c r="G26" s="31">
        <f>VLOOKUP($C$1,详尽档案总表!$B$1:$CL$49,66,FALSE)</f>
        <v>0</v>
      </c>
    </row>
    <row r="27" spans="1:7" ht="17.25" customHeight="1">
      <c r="A27" s="52"/>
      <c r="B27" s="31" t="s">
        <v>33</v>
      </c>
      <c r="C27" s="31">
        <f>VLOOKUP($C$1,详尽档案总表!$B$1:$CL$49,67,FALSE)</f>
        <v>0</v>
      </c>
      <c r="D27" s="45"/>
      <c r="E27" s="45"/>
      <c r="F27" s="45"/>
      <c r="G27" s="46"/>
    </row>
    <row r="28" spans="1:7" ht="17.25" customHeight="1">
      <c r="A28" s="53" t="s">
        <v>621</v>
      </c>
      <c r="B28" s="32" t="s">
        <v>622</v>
      </c>
      <c r="C28" s="26">
        <f>VLOOKUP($C$1,详尽档案总表!$B$1:$CL$49,68,FALSE)</f>
        <v>0</v>
      </c>
      <c r="D28" s="29" t="s">
        <v>623</v>
      </c>
      <c r="E28" s="26">
        <f>VLOOKUP($C$1,详尽档案总表!$B$1:$CL$49,69,FALSE)</f>
        <v>0</v>
      </c>
      <c r="F28" s="29" t="s">
        <v>624</v>
      </c>
      <c r="G28" s="26" t="str">
        <f>VLOOKUP($C$1,详尽档案总表!$B$1:$CL$49,70,FALSE)</f>
        <v>无</v>
      </c>
    </row>
    <row r="29" spans="1:7" ht="17.25" customHeight="1">
      <c r="A29" s="53"/>
      <c r="B29" s="33" t="s">
        <v>625</v>
      </c>
      <c r="C29" s="26">
        <f>VLOOKUP($C$1,详尽档案总表!$B$1:$CL$49,71,FALSE)</f>
        <v>0</v>
      </c>
      <c r="D29" s="29" t="s">
        <v>626</v>
      </c>
      <c r="E29" s="26">
        <f>VLOOKUP($C$1,详尽档案总表!$B$1:$CL$49,72,FALSE)</f>
        <v>0</v>
      </c>
      <c r="F29" s="29" t="s">
        <v>627</v>
      </c>
      <c r="G29" s="26">
        <f>VLOOKUP($C$1,详尽档案总表!$B$1:$CL$49,72,FALSE)</f>
        <v>0</v>
      </c>
    </row>
    <row r="30" spans="1:7" ht="17.25" customHeight="1">
      <c r="A30" s="53"/>
      <c r="B30" s="34" t="s">
        <v>628</v>
      </c>
      <c r="C30" s="26" t="str">
        <f>VLOOKUP($C$1,详尽档案总表!$B$1:$CL$49,74,FALSE)</f>
        <v>杨绍宠</v>
      </c>
      <c r="D30" s="26" t="s">
        <v>629</v>
      </c>
      <c r="E30" s="26" t="str">
        <f>VLOOKUP($C$1,详尽档案总表!$B$1:$CL$49,75,FALSE)</f>
        <v>丈夫</v>
      </c>
      <c r="F30" s="26" t="s">
        <v>5</v>
      </c>
      <c r="G30" s="26">
        <f>VLOOKUP($C$1,详尽档案总表!$B$1:$CL$49,76,FALSE)</f>
        <v>13987641884</v>
      </c>
    </row>
    <row r="31" spans="1:7" ht="17.25" customHeight="1">
      <c r="A31" s="53"/>
      <c r="B31" s="34" t="s">
        <v>4</v>
      </c>
      <c r="C31" s="26">
        <f>VLOOKUP($C$1,详尽档案总表!$B$1:$CL$49,77,FALSE)</f>
        <v>0</v>
      </c>
      <c r="D31" s="26" t="s">
        <v>630</v>
      </c>
      <c r="E31" s="26">
        <f>VLOOKUP($C$1,详尽档案总表!$B$1:$CL$49,78,FALSE)</f>
        <v>0</v>
      </c>
      <c r="F31" s="26" t="s">
        <v>631</v>
      </c>
      <c r="G31" s="26">
        <f>VLOOKUP($C$1,详尽档案总表!$B$1:$CL$49,79,FALSE)</f>
        <v>0</v>
      </c>
    </row>
    <row r="32" spans="1:7" ht="17.25" customHeight="1">
      <c r="A32" s="53"/>
      <c r="B32" s="34" t="s">
        <v>632</v>
      </c>
      <c r="C32" s="26">
        <f>VLOOKUP($C$1,详尽档案总表!$B$1:$CL$49,80,FALSE)</f>
        <v>0</v>
      </c>
      <c r="D32" s="26" t="s">
        <v>633</v>
      </c>
      <c r="E32" s="26">
        <f>VLOOKUP($C$1,详尽档案总表!$B$1:$CL$49,81,FALSE)</f>
        <v>0</v>
      </c>
      <c r="F32" s="26" t="s">
        <v>5</v>
      </c>
      <c r="G32" s="26">
        <f>VLOOKUP($C$1,详尽档案总表!$B$1:$CL$49,82,FALSE)</f>
        <v>0</v>
      </c>
    </row>
    <row r="33" spans="1:7" ht="17.25" customHeight="1">
      <c r="A33" s="53"/>
      <c r="B33" s="34" t="s">
        <v>634</v>
      </c>
      <c r="C33" s="26">
        <f>VLOOKUP($C$1,详尽档案总表!$B$1:$CL$49,83,FALSE)</f>
        <v>0</v>
      </c>
      <c r="D33" s="26" t="s">
        <v>635</v>
      </c>
      <c r="E33" s="26">
        <f>VLOOKUP($C$1,详尽档案总表!$B$1:$CL$49,84,FALSE)</f>
        <v>0</v>
      </c>
      <c r="F33" s="26" t="s">
        <v>5</v>
      </c>
      <c r="G33" s="26">
        <f>VLOOKUP($C$1,详尽档案总表!$B$1:$CL$49,85,FALSE)</f>
        <v>0</v>
      </c>
    </row>
    <row r="34" spans="1:7" ht="17.25" customHeight="1">
      <c r="A34" s="52" t="s">
        <v>636</v>
      </c>
      <c r="B34" s="35" t="s">
        <v>637</v>
      </c>
      <c r="C34" s="47">
        <f>VLOOKUP($C$1,详尽档案总表!$B$1:$CL$49,86,FALSE)</f>
        <v>0</v>
      </c>
      <c r="D34" s="48"/>
      <c r="E34" s="48"/>
      <c r="F34" s="48"/>
      <c r="G34" s="31"/>
    </row>
    <row r="35" spans="1:7" ht="17.25" customHeight="1">
      <c r="A35" s="52"/>
      <c r="B35" s="31" t="s">
        <v>638</v>
      </c>
      <c r="C35" s="31">
        <f>VLOOKUP($C$1,详尽档案总表!$B$1:$CL$49,87,FALSE)</f>
        <v>0</v>
      </c>
      <c r="D35" s="31" t="s">
        <v>639</v>
      </c>
      <c r="E35" s="31">
        <f>VLOOKUP($C$1,详尽档案总表!$B$1:$CL$49,88,FALSE)</f>
        <v>0</v>
      </c>
      <c r="F35" s="31" t="s">
        <v>640</v>
      </c>
      <c r="G35" s="31">
        <f>VLOOKUP($C$1,详尽档案总表!$B$1:$CL$49,89,FALSE)</f>
        <v>0</v>
      </c>
    </row>
  </sheetData>
  <mergeCells count="4">
    <mergeCell ref="A23:A27"/>
    <mergeCell ref="A28:A33"/>
    <mergeCell ref="A34:A35"/>
    <mergeCell ref="A1:A22"/>
  </mergeCells>
  <phoneticPr fontId="10" type="noConversion"/>
  <pageMargins left="0.44" right="0.21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G27" sqref="G27"/>
    </sheetView>
  </sheetViews>
  <sheetFormatPr defaultRowHeight="17.25" customHeight="1"/>
  <cols>
    <col min="1" max="1" width="5" style="36" customWidth="1"/>
    <col min="2" max="2" width="15" style="2" customWidth="1"/>
    <col min="3" max="3" width="15.5" style="2" bestFit="1" customWidth="1"/>
    <col min="4" max="7" width="15.625" style="2" customWidth="1"/>
    <col min="8" max="8" width="5.25" style="2" bestFit="1" customWidth="1"/>
    <col min="9" max="11" width="9" style="2"/>
    <col min="12" max="12" width="13" style="2" bestFit="1" customWidth="1"/>
    <col min="13" max="13" width="9" style="2"/>
    <col min="14" max="15" width="11" style="2" bestFit="1" customWidth="1"/>
    <col min="16" max="16" width="7.5" style="2" bestFit="1" customWidth="1"/>
    <col min="17" max="17" width="9" style="2"/>
    <col min="18" max="18" width="7.5" style="2" bestFit="1" customWidth="1"/>
    <col min="19" max="20" width="5.25" style="2" bestFit="1" customWidth="1"/>
    <col min="21" max="22" width="9" style="2"/>
    <col min="23" max="23" width="5.25" style="2" bestFit="1" customWidth="1"/>
    <col min="24" max="31" width="9" style="2"/>
    <col min="32" max="32" width="13" style="2" bestFit="1" customWidth="1"/>
    <col min="33" max="33" width="9" style="2"/>
    <col min="34" max="34" width="11" style="2" bestFit="1" customWidth="1"/>
    <col min="35" max="37" width="7.125" style="2" bestFit="1" customWidth="1"/>
    <col min="38" max="39" width="5.25" style="2" bestFit="1" customWidth="1"/>
    <col min="40" max="44" width="9" style="2"/>
    <col min="45" max="47" width="13" style="2" bestFit="1" customWidth="1"/>
    <col min="48" max="48" width="9" style="2"/>
    <col min="49" max="49" width="7.125" style="2" bestFit="1" customWidth="1"/>
    <col min="50" max="50" width="13" style="2" bestFit="1" customWidth="1"/>
    <col min="51" max="51" width="9" style="2"/>
    <col min="52" max="52" width="7.125" style="2" bestFit="1" customWidth="1"/>
    <col min="53" max="55" width="9" style="2"/>
    <col min="56" max="56" width="16.375" style="2" bestFit="1" customWidth="1"/>
    <col min="57" max="57" width="17.5" style="2" bestFit="1" customWidth="1"/>
    <col min="58" max="59" width="16.375" style="2" bestFit="1" customWidth="1"/>
    <col min="60" max="60" width="9" style="2"/>
    <col min="61" max="61" width="13" style="2" bestFit="1" customWidth="1"/>
    <col min="62" max="64" width="9" style="2"/>
    <col min="65" max="65" width="17.25" style="2" bestFit="1" customWidth="1"/>
    <col min="66" max="68" width="9" style="2"/>
    <col min="69" max="69" width="13" style="2" bestFit="1" customWidth="1"/>
    <col min="70" max="70" width="9" style="2"/>
    <col min="71" max="71" width="10" style="2" bestFit="1" customWidth="1"/>
    <col min="72" max="72" width="9" style="2"/>
    <col min="73" max="73" width="11" style="2" bestFit="1" customWidth="1"/>
    <col min="74" max="74" width="9" style="2"/>
    <col min="75" max="75" width="10" style="2" bestFit="1" customWidth="1"/>
    <col min="76" max="77" width="9" style="2"/>
    <col min="78" max="78" width="10" style="2" bestFit="1" customWidth="1"/>
    <col min="79" max="80" width="9" style="2"/>
    <col min="81" max="82" width="11" style="2" bestFit="1" customWidth="1"/>
    <col min="83" max="16384" width="9" style="2"/>
  </cols>
  <sheetData>
    <row r="1" spans="1:13" ht="17.25" customHeight="1">
      <c r="A1" s="53" t="s">
        <v>597</v>
      </c>
      <c r="B1" s="26" t="s">
        <v>1</v>
      </c>
      <c r="C1" s="39">
        <v>201805002</v>
      </c>
      <c r="D1" s="40"/>
      <c r="E1" s="40"/>
      <c r="F1" s="40"/>
      <c r="G1" s="34"/>
    </row>
    <row r="2" spans="1:13" s="28" customFormat="1" ht="17.25" customHeight="1">
      <c r="A2" s="53"/>
      <c r="B2" s="26" t="s">
        <v>2</v>
      </c>
      <c r="C2" s="26" t="str">
        <f>VLOOKUP($C$1,详尽档案总表!$B$1:$CL$49,2,FALSE)</f>
        <v>马翥</v>
      </c>
      <c r="D2" s="26" t="s">
        <v>598</v>
      </c>
      <c r="E2" s="26">
        <f>VLOOKUP($C$1,详尽档案总表!$B$1:$CL$49,3,FALSE)</f>
        <v>802</v>
      </c>
      <c r="F2" s="27" t="s">
        <v>599</v>
      </c>
      <c r="G2" s="26">
        <f>VLOOKUP($C$1,详尽档案总表!$B$1:$CL$49,4,FALSE)</f>
        <v>2017112903</v>
      </c>
    </row>
    <row r="3" spans="1:13" ht="17.25" customHeight="1">
      <c r="A3" s="53"/>
      <c r="B3" s="26" t="s">
        <v>3</v>
      </c>
      <c r="C3" s="26">
        <f>VLOOKUP($C$1,详尽档案总表!$B$1:$CL$49,5,FALSE)</f>
        <v>32800</v>
      </c>
      <c r="D3" s="27" t="s">
        <v>600</v>
      </c>
      <c r="E3" s="26" t="str">
        <f>VLOOKUP($C$1,详尽档案总表!$B$1:$CL$49,6,FALSE)</f>
        <v>舒心房</v>
      </c>
      <c r="F3" s="26" t="s">
        <v>601</v>
      </c>
      <c r="G3" s="26">
        <f>VLOOKUP($C$1,详尽档案总表!$B$1:$CL$49,7,FALSE)</f>
        <v>26</v>
      </c>
    </row>
    <row r="4" spans="1:13" ht="17.25" customHeight="1">
      <c r="A4" s="53"/>
      <c r="B4" s="27" t="s">
        <v>35</v>
      </c>
      <c r="C4" s="26">
        <f>VLOOKUP($C$1,详尽档案总表!$B$1:$CL$49,8,FALSE)</f>
        <v>0</v>
      </c>
      <c r="D4" s="27" t="s">
        <v>36</v>
      </c>
      <c r="E4" s="26">
        <f>VLOOKUP($C$1,详尽档案总表!$B$1:$CL$49,9,FALSE)</f>
        <v>0</v>
      </c>
      <c r="F4" s="26" t="s">
        <v>602</v>
      </c>
      <c r="G4" s="26">
        <f>VLOOKUP($C$1,详尽档案总表!$B$1:$CL$49,10,FALSE)</f>
        <v>0</v>
      </c>
    </row>
    <row r="5" spans="1:13" ht="17.25" customHeight="1">
      <c r="A5" s="53"/>
      <c r="B5" s="26" t="s">
        <v>5</v>
      </c>
      <c r="C5" s="26">
        <f>VLOOKUP($C$1,详尽档案总表!$B$1:$CL$49,11,FALSE)</f>
        <v>15808796371</v>
      </c>
      <c r="D5" s="26" t="s">
        <v>603</v>
      </c>
      <c r="E5" s="26">
        <f>VLOOKUP($C$1,详尽档案总表!$B$1:$CL$49,12,FALSE)</f>
        <v>0</v>
      </c>
      <c r="F5" s="26" t="s">
        <v>604</v>
      </c>
      <c r="G5" s="26">
        <f>VLOOKUP($C$1,详尽档案总表!$B$1:$CL$49,13,FALSE)</f>
        <v>0</v>
      </c>
    </row>
    <row r="6" spans="1:13" ht="17.25" customHeight="1">
      <c r="A6" s="53"/>
      <c r="B6" s="27" t="s">
        <v>4</v>
      </c>
      <c r="C6" s="50" t="str">
        <f>VLOOKUP($C$1,详尽档案总表!$B$1:$CL$49,16,FALSE)</f>
        <v>530103197806261585</v>
      </c>
      <c r="D6" s="27" t="s">
        <v>205</v>
      </c>
      <c r="E6" s="49">
        <f>VLOOKUP($C$1,详尽档案总表!$B$1:$CL$49,17,FALSE)</f>
        <v>0</v>
      </c>
      <c r="F6" s="42"/>
      <c r="G6" s="43"/>
    </row>
    <row r="7" spans="1:13" ht="17.25" customHeight="1">
      <c r="A7" s="53"/>
      <c r="B7" s="26" t="s">
        <v>12</v>
      </c>
      <c r="C7" s="26">
        <f>VLOOKUP($C$1,详尽档案总表!$B$1:$CL$49,18,FALSE)</f>
        <v>0</v>
      </c>
      <c r="D7" s="27" t="s">
        <v>605</v>
      </c>
      <c r="E7" s="26" t="str">
        <f>VLOOKUP($C$1,详尽档案总表!$B$1:$CL$49,19,FALSE)</f>
        <v>滇池路阳光花园三区昱苑2-3-501</v>
      </c>
      <c r="F7" s="42"/>
      <c r="G7" s="43"/>
    </row>
    <row r="8" spans="1:13" ht="17.25" customHeight="1">
      <c r="A8" s="53"/>
      <c r="B8" s="26" t="s">
        <v>7</v>
      </c>
      <c r="C8" s="26">
        <f>VLOOKUP($C$1,详尽档案总表!$B$1:$CL$49,20,FALSE)</f>
        <v>0</v>
      </c>
      <c r="D8" s="27" t="s">
        <v>606</v>
      </c>
      <c r="E8" s="26" t="str">
        <f>VLOOKUP($C$1,详尽档案总表!$B$1:$CL$49,21,FALSE)</f>
        <v>自由职业</v>
      </c>
      <c r="F8" s="27" t="s">
        <v>9</v>
      </c>
      <c r="G8" s="26">
        <f>VLOOKUP($C$1,详尽档案总表!$B$1:$CL$49,22,FALSE)</f>
        <v>0</v>
      </c>
    </row>
    <row r="9" spans="1:13" ht="17.25" customHeight="1">
      <c r="A9" s="53"/>
      <c r="B9" s="26" t="s">
        <v>8</v>
      </c>
      <c r="C9" s="26" t="str">
        <f>VLOOKUP($C$1,详尽档案总表!$B$1:$CL$49,23,FALSE)</f>
        <v>回</v>
      </c>
      <c r="D9" s="27" t="s">
        <v>10</v>
      </c>
      <c r="E9" s="26">
        <f>VLOOKUP($C$1,详尽档案总表!$B$1:$CL$49,24,FALSE)</f>
        <v>0</v>
      </c>
      <c r="F9" s="26" t="s">
        <v>11</v>
      </c>
      <c r="G9" s="26">
        <f>VLOOKUP($C$1,详尽档案总表!$B$1:$CL$49,25,FALSE)</f>
        <v>0</v>
      </c>
    </row>
    <row r="10" spans="1:13" ht="17.25" customHeight="1">
      <c r="A10" s="53"/>
      <c r="B10" s="26" t="s">
        <v>13</v>
      </c>
      <c r="C10" s="26">
        <f>VLOOKUP($C$1,详尽档案总表!$B$1:$CL$49,26,FALSE)</f>
        <v>0</v>
      </c>
      <c r="D10" s="26" t="s">
        <v>14</v>
      </c>
      <c r="E10" s="26">
        <f>VLOOKUP($C$1,详尽档案总表!$B$1:$CL$49,27,FALSE)</f>
        <v>0</v>
      </c>
      <c r="F10" s="26" t="s">
        <v>607</v>
      </c>
      <c r="G10" s="26">
        <f>VLOOKUP($C$1,详尽档案总表!$B$1:$CL$49,28,FALSE)</f>
        <v>0</v>
      </c>
    </row>
    <row r="11" spans="1:13" ht="17.25" customHeight="1">
      <c r="A11" s="53"/>
      <c r="B11" s="26" t="s">
        <v>608</v>
      </c>
      <c r="C11" s="26">
        <f>VLOOKUP($C$1,详尽档案总表!$B$1:$CL$49,29,FALSE)</f>
        <v>0</v>
      </c>
      <c r="D11" s="26" t="s">
        <v>609</v>
      </c>
      <c r="E11" s="26">
        <f>VLOOKUP($C$1,详尽档案总表!$B$1:$CL$49,30,FALSE)</f>
        <v>0</v>
      </c>
      <c r="F11" s="26" t="s">
        <v>610</v>
      </c>
      <c r="G11" s="26">
        <f>VLOOKUP($C$1,详尽档案总表!$B$1:$CL$49,31,FALSE)</f>
        <v>0</v>
      </c>
    </row>
    <row r="12" spans="1:13" ht="17.25" customHeight="1">
      <c r="A12" s="53"/>
      <c r="B12" s="26" t="s">
        <v>611</v>
      </c>
      <c r="C12" s="26">
        <f>VLOOKUP($C$1,详尽档案总表!$B$1:$CL$49,32,FALSE)</f>
        <v>0</v>
      </c>
      <c r="D12" s="26" t="s">
        <v>612</v>
      </c>
      <c r="E12" s="26">
        <f>VLOOKUP($C$1,详尽档案总表!$B$1:$CL$49,33,FALSE)</f>
        <v>0</v>
      </c>
      <c r="F12" s="26" t="s">
        <v>613</v>
      </c>
      <c r="G12" s="26">
        <f>VLOOKUP($C$1,详尽档案总表!$B$1:$CL$49,34,FALSE)</f>
        <v>0</v>
      </c>
    </row>
    <row r="13" spans="1:13" ht="17.25" customHeight="1">
      <c r="A13" s="53"/>
      <c r="B13" s="26" t="s">
        <v>15</v>
      </c>
      <c r="C13" s="39">
        <f>VLOOKUP($C$1,详尽档案总表!$B$1:$CL$49,35,FALSE)</f>
        <v>0</v>
      </c>
      <c r="D13" s="40"/>
      <c r="E13" s="40"/>
      <c r="F13" s="40"/>
      <c r="G13" s="34"/>
    </row>
    <row r="14" spans="1:13" ht="17.25" customHeight="1">
      <c r="A14" s="53"/>
      <c r="B14" s="26" t="s">
        <v>19</v>
      </c>
      <c r="C14" s="26">
        <f>VLOOKUP($C$1,详尽档案总表!$B$1:$CL$49,36,FALSE)</f>
        <v>0</v>
      </c>
      <c r="D14" s="26" t="s">
        <v>18</v>
      </c>
      <c r="E14" s="26">
        <f>VLOOKUP($C$1,详尽档案总表!$B$1:$CL$49,37,FALSE)</f>
        <v>0</v>
      </c>
      <c r="F14" s="26" t="s">
        <v>17</v>
      </c>
      <c r="G14" s="26">
        <f>VLOOKUP($C$1,详尽档案总表!$B$1:$CL$49,38,FALSE)</f>
        <v>0</v>
      </c>
    </row>
    <row r="15" spans="1:13" ht="17.25" customHeight="1">
      <c r="A15" s="53"/>
      <c r="B15" s="26" t="s">
        <v>20</v>
      </c>
      <c r="C15" s="26">
        <f>VLOOKUP($C$1,详尽档案总表!$B$1:$CL$49,39,FALSE)</f>
        <v>0</v>
      </c>
      <c r="D15" s="26" t="s">
        <v>80</v>
      </c>
      <c r="E15" s="26" t="str">
        <f>VLOOKUP($C$1,详尽档案总表!$B$1:$CL$49,40,FALSE)</f>
        <v>2018.5.10</v>
      </c>
      <c r="F15" s="26" t="s">
        <v>25</v>
      </c>
      <c r="G15" s="26">
        <f>VLOOKUP($C$1,详尽档案总表!$B$1:$CL$49,41,FALSE)</f>
        <v>0</v>
      </c>
    </row>
    <row r="16" spans="1:13" ht="17.25" customHeight="1">
      <c r="A16" s="53"/>
      <c r="B16" s="26" t="s">
        <v>206</v>
      </c>
      <c r="C16" s="26" t="str">
        <f>VLOOKUP($C$1,详尽档案总表!$B$1:$CL$49,42,FALSE)</f>
        <v>二胎</v>
      </c>
      <c r="D16" s="26" t="s">
        <v>207</v>
      </c>
      <c r="E16" s="26">
        <f>VLOOKUP($C$1,详尽档案总表!$B$1:$CL$49,43,FALSE)</f>
        <v>39</v>
      </c>
      <c r="F16" s="26" t="s">
        <v>22</v>
      </c>
      <c r="G16" s="26">
        <f>VLOOKUP($C$1,详尽档案总表!$B$1:$CL$49,44,FALSE)</f>
        <v>0</v>
      </c>
      <c r="M16" s="41"/>
    </row>
    <row r="17" spans="1:7" ht="17.25" customHeight="1">
      <c r="A17" s="53"/>
      <c r="B17" s="26" t="s">
        <v>21</v>
      </c>
      <c r="C17" s="26" t="str">
        <f>VLOOKUP($C$1,详尽档案总表!$B$1:$CL$49,45,FALSE)</f>
        <v>昆华医院</v>
      </c>
      <c r="D17" s="26" t="s">
        <v>24</v>
      </c>
      <c r="E17" s="26" t="str">
        <f>VLOOKUP($C$1,详尽档案总表!$B$1:$CL$49,46,FALSE)</f>
        <v>剖宫产</v>
      </c>
      <c r="F17" s="26" t="s">
        <v>16</v>
      </c>
      <c r="G17" s="26">
        <f>VLOOKUP($C$1,详尽档案总表!$B$1:$CL$49,47,FALSE)</f>
        <v>0</v>
      </c>
    </row>
    <row r="18" spans="1:7" ht="17.25" customHeight="1">
      <c r="A18" s="53"/>
      <c r="B18" s="26" t="s">
        <v>23</v>
      </c>
      <c r="C18" s="39">
        <f>VLOOKUP($C$1,详尽档案总表!$B$1:$CL$49,48,FALSE)</f>
        <v>0</v>
      </c>
      <c r="D18" s="37"/>
      <c r="E18" s="37"/>
      <c r="F18" s="37"/>
      <c r="G18" s="38"/>
    </row>
    <row r="19" spans="1:7" ht="17.25" customHeight="1">
      <c r="A19" s="53"/>
      <c r="B19" s="26" t="s">
        <v>614</v>
      </c>
      <c r="C19" s="26">
        <f>VLOOKUP($C$1,详尽档案总表!$B$1:$CL$49,49,FALSE)</f>
        <v>0</v>
      </c>
      <c r="D19" s="29" t="s">
        <v>615</v>
      </c>
      <c r="E19" s="26">
        <f>VLOOKUP($C$1,详尽档案总表!$B$1:$CL$49,50,FALSE)</f>
        <v>0</v>
      </c>
      <c r="F19" s="29" t="s">
        <v>616</v>
      </c>
      <c r="G19" s="26">
        <f>VLOOKUP($C$1,详尽档案总表!$B$1:$CL$49,51,FALSE)</f>
        <v>0</v>
      </c>
    </row>
    <row r="20" spans="1:7" ht="17.25" customHeight="1">
      <c r="A20" s="53"/>
      <c r="B20" s="26" t="s">
        <v>617</v>
      </c>
      <c r="C20" s="39">
        <f>VLOOKUP($C$1,详尽档案总表!$B$1:$CL$49,52,FALSE)</f>
        <v>0</v>
      </c>
      <c r="D20" s="37"/>
      <c r="E20" s="37"/>
      <c r="F20" s="37"/>
      <c r="G20" s="38"/>
    </row>
    <row r="21" spans="1:7" ht="17.25" customHeight="1">
      <c r="A21" s="53"/>
      <c r="B21" s="27" t="s">
        <v>618</v>
      </c>
      <c r="C21" s="39">
        <f>VLOOKUP($C$1,详尽档案总表!$B$1:$CL$49,53,FALSE)</f>
        <v>0</v>
      </c>
      <c r="D21" s="42"/>
      <c r="E21" s="42"/>
      <c r="F21" s="42"/>
      <c r="G21" s="43"/>
    </row>
    <row r="22" spans="1:7" ht="17.25" customHeight="1">
      <c r="A22" s="53"/>
      <c r="B22" s="27" t="s">
        <v>619</v>
      </c>
      <c r="C22" s="39">
        <f>VLOOKUP($C$1,详尽档案总表!$B$1:$CL$49,54,FALSE)</f>
        <v>0</v>
      </c>
      <c r="D22" s="42"/>
      <c r="E22" s="42"/>
      <c r="F22" s="42"/>
      <c r="G22" s="43"/>
    </row>
    <row r="23" spans="1:7" ht="17.25" customHeight="1">
      <c r="A23" s="51" t="s">
        <v>620</v>
      </c>
      <c r="B23" s="30" t="s">
        <v>208</v>
      </c>
      <c r="C23" s="44">
        <f>VLOOKUP($C$1,详尽档案总表!$B$1:$CL$49,55,FALSE)</f>
        <v>0</v>
      </c>
      <c r="D23" s="31" t="s">
        <v>209</v>
      </c>
      <c r="E23" s="31">
        <f>VLOOKUP($C$1,详尽档案总表!$B$1:$CL$49,56,FALSE)</f>
        <v>0</v>
      </c>
      <c r="F23" s="31" t="s">
        <v>210</v>
      </c>
      <c r="G23" s="31">
        <f>VLOOKUP($C$1,详尽档案总表!$B$1:$CL$49,57,FALSE)</f>
        <v>0</v>
      </c>
    </row>
    <row r="24" spans="1:7" ht="17.25" customHeight="1">
      <c r="A24" s="52"/>
      <c r="B24" s="31" t="s">
        <v>26</v>
      </c>
      <c r="C24" s="31">
        <f>VLOOKUP($C$1,详尽档案总表!$B$1:$CL$49,58,FALSE)</f>
        <v>0</v>
      </c>
      <c r="D24" s="31" t="s">
        <v>211</v>
      </c>
      <c r="E24" s="31" t="str">
        <f>VLOOKUP($C$1,详尽档案总表!$B$1:$CL$49,59,FALSE)</f>
        <v>米娜</v>
      </c>
      <c r="F24" s="31" t="s">
        <v>27</v>
      </c>
      <c r="G24" s="31" t="str">
        <f>VLOOKUP($C$1,详尽档案总表!$B$1:$CL$49,60,FALSE)</f>
        <v>女</v>
      </c>
    </row>
    <row r="25" spans="1:7" ht="17.25" customHeight="1">
      <c r="A25" s="52"/>
      <c r="B25" s="31" t="s">
        <v>28</v>
      </c>
      <c r="C25" s="31">
        <f>VLOOKUP($C$1,详尽档案总表!$B$1:$CL$49,61,FALSE)</f>
        <v>0</v>
      </c>
      <c r="D25" s="31" t="s">
        <v>29</v>
      </c>
      <c r="E25" s="31">
        <f>VLOOKUP($C$1,详尽档案总表!$B$1:$CL$49,62,FALSE)</f>
        <v>0</v>
      </c>
      <c r="F25" s="31" t="s">
        <v>32</v>
      </c>
      <c r="G25" s="31">
        <f>VLOOKUP($C$1,详尽档案总表!$B$1:$CL$49,63,FALSE)</f>
        <v>0</v>
      </c>
    </row>
    <row r="26" spans="1:7" ht="17.25" customHeight="1">
      <c r="A26" s="52"/>
      <c r="B26" s="31" t="s">
        <v>30</v>
      </c>
      <c r="C26" s="31">
        <f>VLOOKUP($C$1,详尽档案总表!$B$1:$CL$49,64,FALSE)</f>
        <v>0</v>
      </c>
      <c r="D26" s="31" t="s">
        <v>31</v>
      </c>
      <c r="E26" s="31">
        <f>VLOOKUP($C$1,详尽档案总表!$B$1:$CL$49,65,FALSE)</f>
        <v>0</v>
      </c>
      <c r="F26" s="31" t="s">
        <v>34</v>
      </c>
      <c r="G26" s="31">
        <f>VLOOKUP($C$1,详尽档案总表!$B$1:$CL$49,66,FALSE)</f>
        <v>0</v>
      </c>
    </row>
    <row r="27" spans="1:7" ht="17.25" customHeight="1">
      <c r="A27" s="52"/>
      <c r="B27" s="31" t="s">
        <v>33</v>
      </c>
      <c r="C27" s="31">
        <f>VLOOKUP($C$1,详尽档案总表!$B$1:$CL$49,67,FALSE)</f>
        <v>0</v>
      </c>
      <c r="D27" s="45"/>
      <c r="E27" s="45"/>
      <c r="F27" s="45"/>
      <c r="G27" s="46"/>
    </row>
    <row r="28" spans="1:7" ht="17.25" customHeight="1">
      <c r="A28" s="53" t="s">
        <v>621</v>
      </c>
      <c r="B28" s="32" t="s">
        <v>622</v>
      </c>
      <c r="C28" s="26">
        <f>VLOOKUP($C$1,详尽档案总表!$B$1:$CL$49,68,FALSE)</f>
        <v>0</v>
      </c>
      <c r="D28" s="29" t="s">
        <v>623</v>
      </c>
      <c r="E28" s="26">
        <f>VLOOKUP($C$1,详尽档案总表!$B$1:$CL$49,69,FALSE)</f>
        <v>0</v>
      </c>
      <c r="F28" s="29" t="s">
        <v>624</v>
      </c>
      <c r="G28" s="26" t="str">
        <f>VLOOKUP($C$1,详尽档案总表!$B$1:$CL$49,70,FALSE)</f>
        <v>无</v>
      </c>
    </row>
    <row r="29" spans="1:7" ht="17.25" customHeight="1">
      <c r="A29" s="53"/>
      <c r="B29" s="33" t="s">
        <v>625</v>
      </c>
      <c r="C29" s="26">
        <f>VLOOKUP($C$1,详尽档案总表!$B$1:$CL$49,71,FALSE)</f>
        <v>0</v>
      </c>
      <c r="D29" s="29" t="s">
        <v>626</v>
      </c>
      <c r="E29" s="26">
        <f>VLOOKUP($C$1,详尽档案总表!$B$1:$CL$49,72,FALSE)</f>
        <v>0</v>
      </c>
      <c r="F29" s="29" t="s">
        <v>627</v>
      </c>
      <c r="G29" s="26">
        <f>VLOOKUP($C$1,详尽档案总表!$B$1:$CL$49,72,FALSE)</f>
        <v>0</v>
      </c>
    </row>
    <row r="30" spans="1:7" ht="17.25" customHeight="1">
      <c r="A30" s="53"/>
      <c r="B30" s="34" t="s">
        <v>628</v>
      </c>
      <c r="C30" s="26" t="str">
        <f>VLOOKUP($C$1,详尽档案总表!$B$1:$CL$49,74,FALSE)</f>
        <v>朱力</v>
      </c>
      <c r="D30" s="26" t="s">
        <v>629</v>
      </c>
      <c r="E30" s="26" t="str">
        <f>VLOOKUP($C$1,详尽档案总表!$B$1:$CL$49,75,FALSE)</f>
        <v>丈夫</v>
      </c>
      <c r="F30" s="26" t="s">
        <v>5</v>
      </c>
      <c r="G30" s="26">
        <f>VLOOKUP($C$1,详尽档案总表!$B$1:$CL$49,76,FALSE)</f>
        <v>13888142608</v>
      </c>
    </row>
    <row r="31" spans="1:7" ht="17.25" customHeight="1">
      <c r="A31" s="53"/>
      <c r="B31" s="34" t="s">
        <v>4</v>
      </c>
      <c r="C31" s="26">
        <f>VLOOKUP($C$1,详尽档案总表!$B$1:$CL$49,77,FALSE)</f>
        <v>0</v>
      </c>
      <c r="D31" s="26" t="s">
        <v>630</v>
      </c>
      <c r="E31" s="26">
        <f>VLOOKUP($C$1,详尽档案总表!$B$1:$CL$49,78,FALSE)</f>
        <v>0</v>
      </c>
      <c r="F31" s="26" t="s">
        <v>631</v>
      </c>
      <c r="G31" s="26">
        <f>VLOOKUP($C$1,详尽档案总表!$B$1:$CL$49,79,FALSE)</f>
        <v>0</v>
      </c>
    </row>
    <row r="32" spans="1:7" ht="17.25" customHeight="1">
      <c r="A32" s="53"/>
      <c r="B32" s="34" t="s">
        <v>632</v>
      </c>
      <c r="C32" s="26">
        <f>VLOOKUP($C$1,详尽档案总表!$B$1:$CL$49,80,FALSE)</f>
        <v>0</v>
      </c>
      <c r="D32" s="26" t="s">
        <v>633</v>
      </c>
      <c r="E32" s="26">
        <f>VLOOKUP($C$1,详尽档案总表!$B$1:$CL$49,81,FALSE)</f>
        <v>0</v>
      </c>
      <c r="F32" s="26" t="s">
        <v>5</v>
      </c>
      <c r="G32" s="26">
        <f>VLOOKUP($C$1,详尽档案总表!$B$1:$CL$49,82,FALSE)</f>
        <v>18087242226</v>
      </c>
    </row>
    <row r="33" spans="1:7" ht="17.25" customHeight="1">
      <c r="A33" s="53"/>
      <c r="B33" s="34" t="s">
        <v>634</v>
      </c>
      <c r="C33" s="26">
        <f>VLOOKUP($C$1,详尽档案总表!$B$1:$CL$49,83,FALSE)</f>
        <v>0</v>
      </c>
      <c r="D33" s="26" t="s">
        <v>635</v>
      </c>
      <c r="E33" s="26">
        <f>VLOOKUP($C$1,详尽档案总表!$B$1:$CL$49,84,FALSE)</f>
        <v>0</v>
      </c>
      <c r="F33" s="26" t="s">
        <v>5</v>
      </c>
      <c r="G33" s="26">
        <f>VLOOKUP($C$1,详尽档案总表!$B$1:$CL$49,85,FALSE)</f>
        <v>0</v>
      </c>
    </row>
    <row r="34" spans="1:7" ht="17.25" customHeight="1">
      <c r="A34" s="52" t="s">
        <v>636</v>
      </c>
      <c r="B34" s="35" t="s">
        <v>637</v>
      </c>
      <c r="C34" s="47">
        <f>VLOOKUP($C$1,详尽档案总表!$B$1:$CL$49,86,FALSE)</f>
        <v>0</v>
      </c>
      <c r="D34" s="48"/>
      <c r="E34" s="48"/>
      <c r="F34" s="48"/>
      <c r="G34" s="31"/>
    </row>
    <row r="35" spans="1:7" ht="17.25" customHeight="1">
      <c r="A35" s="52"/>
      <c r="B35" s="31" t="s">
        <v>638</v>
      </c>
      <c r="C35" s="31">
        <f>VLOOKUP($C$1,详尽档案总表!$B$1:$CL$49,87,FALSE)</f>
        <v>0</v>
      </c>
      <c r="D35" s="31" t="s">
        <v>639</v>
      </c>
      <c r="E35" s="31">
        <f>VLOOKUP($C$1,详尽档案总表!$B$1:$CL$49,88,FALSE)</f>
        <v>0</v>
      </c>
      <c r="F35" s="31" t="s">
        <v>640</v>
      </c>
      <c r="G35" s="31">
        <f>VLOOKUP($C$1,详尽档案总表!$B$1:$CL$49,89,FALSE)</f>
        <v>0</v>
      </c>
    </row>
  </sheetData>
  <mergeCells count="4">
    <mergeCell ref="A1:A22"/>
    <mergeCell ref="A23:A27"/>
    <mergeCell ref="A28:A33"/>
    <mergeCell ref="A34:A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D36" sqref="D36"/>
    </sheetView>
  </sheetViews>
  <sheetFormatPr defaultRowHeight="17.25" customHeight="1"/>
  <cols>
    <col min="1" max="1" width="5" style="36" customWidth="1"/>
    <col min="2" max="2" width="15" style="2" customWidth="1"/>
    <col min="3" max="3" width="15.5" style="2" bestFit="1" customWidth="1"/>
    <col min="4" max="7" width="15.625" style="2" customWidth="1"/>
    <col min="8" max="8" width="5.25" style="2" bestFit="1" customWidth="1"/>
    <col min="9" max="11" width="9" style="2"/>
    <col min="12" max="12" width="13" style="2" bestFit="1" customWidth="1"/>
    <col min="13" max="13" width="9" style="2"/>
    <col min="14" max="15" width="11" style="2" bestFit="1" customWidth="1"/>
    <col min="16" max="16" width="7.5" style="2" bestFit="1" customWidth="1"/>
    <col min="17" max="17" width="9" style="2"/>
    <col min="18" max="18" width="7.5" style="2" bestFit="1" customWidth="1"/>
    <col min="19" max="20" width="5.25" style="2" bestFit="1" customWidth="1"/>
    <col min="21" max="22" width="9" style="2"/>
    <col min="23" max="23" width="5.25" style="2" bestFit="1" customWidth="1"/>
    <col min="24" max="31" width="9" style="2"/>
    <col min="32" max="32" width="13" style="2" bestFit="1" customWidth="1"/>
    <col min="33" max="33" width="9" style="2"/>
    <col min="34" max="34" width="11" style="2" bestFit="1" customWidth="1"/>
    <col min="35" max="37" width="7.125" style="2" bestFit="1" customWidth="1"/>
    <col min="38" max="39" width="5.25" style="2" bestFit="1" customWidth="1"/>
    <col min="40" max="44" width="9" style="2"/>
    <col min="45" max="47" width="13" style="2" bestFit="1" customWidth="1"/>
    <col min="48" max="48" width="9" style="2"/>
    <col min="49" max="49" width="7.125" style="2" bestFit="1" customWidth="1"/>
    <col min="50" max="50" width="13" style="2" bestFit="1" customWidth="1"/>
    <col min="51" max="51" width="9" style="2"/>
    <col min="52" max="52" width="7.125" style="2" bestFit="1" customWidth="1"/>
    <col min="53" max="55" width="9" style="2"/>
    <col min="56" max="56" width="16.375" style="2" bestFit="1" customWidth="1"/>
    <col min="57" max="57" width="17.5" style="2" bestFit="1" customWidth="1"/>
    <col min="58" max="59" width="16.375" style="2" bestFit="1" customWidth="1"/>
    <col min="60" max="60" width="9" style="2"/>
    <col min="61" max="61" width="13" style="2" bestFit="1" customWidth="1"/>
    <col min="62" max="64" width="9" style="2"/>
    <col min="65" max="65" width="17.25" style="2" bestFit="1" customWidth="1"/>
    <col min="66" max="68" width="9" style="2"/>
    <col min="69" max="69" width="13" style="2" bestFit="1" customWidth="1"/>
    <col min="70" max="70" width="9" style="2"/>
    <col min="71" max="71" width="10" style="2" bestFit="1" customWidth="1"/>
    <col min="72" max="72" width="9" style="2"/>
    <col min="73" max="73" width="11" style="2" bestFit="1" customWidth="1"/>
    <col min="74" max="74" width="9" style="2"/>
    <col min="75" max="75" width="10" style="2" bestFit="1" customWidth="1"/>
    <col min="76" max="77" width="9" style="2"/>
    <col min="78" max="78" width="10" style="2" bestFit="1" customWidth="1"/>
    <col min="79" max="80" width="9" style="2"/>
    <col min="81" max="82" width="11" style="2" bestFit="1" customWidth="1"/>
    <col min="83" max="16384" width="9" style="2"/>
  </cols>
  <sheetData>
    <row r="1" spans="1:13" ht="13.5">
      <c r="A1" s="53" t="s">
        <v>597</v>
      </c>
      <c r="B1" s="26" t="s">
        <v>1</v>
      </c>
      <c r="C1" s="39">
        <v>201805003</v>
      </c>
      <c r="D1" s="40"/>
      <c r="E1" s="40"/>
      <c r="F1" s="40"/>
      <c r="G1" s="34"/>
    </row>
    <row r="2" spans="1:13" s="28" customFormat="1" ht="13.5">
      <c r="A2" s="53"/>
      <c r="B2" s="26" t="s">
        <v>2</v>
      </c>
      <c r="C2" s="26" t="str">
        <f>VLOOKUP($C$1,详尽档案总表!$B$1:$CL$49,2,FALSE)</f>
        <v>谭澍</v>
      </c>
      <c r="D2" s="26" t="s">
        <v>598</v>
      </c>
      <c r="E2" s="26">
        <f>VLOOKUP($C$1,详尽档案总表!$B$1:$CL$49,3,FALSE)</f>
        <v>817</v>
      </c>
      <c r="F2" s="27" t="s">
        <v>599</v>
      </c>
      <c r="G2" s="26">
        <f>VLOOKUP($C$1,详尽档案总表!$B$1:$CL$49,4,FALSE)</f>
        <v>2017121205</v>
      </c>
    </row>
    <row r="3" spans="1:13" ht="13.5">
      <c r="A3" s="53"/>
      <c r="B3" s="26" t="s">
        <v>3</v>
      </c>
      <c r="C3" s="26">
        <f>VLOOKUP($C$1,详尽档案总表!$B$1:$CL$49,5,FALSE)</f>
        <v>29800</v>
      </c>
      <c r="D3" s="27" t="s">
        <v>600</v>
      </c>
      <c r="E3" s="26" t="str">
        <f>VLOOKUP($C$1,详尽档案总表!$B$1:$CL$49,6,FALSE)</f>
        <v>静心房</v>
      </c>
      <c r="F3" s="26" t="s">
        <v>601</v>
      </c>
      <c r="G3" s="26">
        <f>VLOOKUP($C$1,详尽档案总表!$B$1:$CL$49,7,FALSE)</f>
        <v>26</v>
      </c>
    </row>
    <row r="4" spans="1:13" ht="13.5">
      <c r="A4" s="53"/>
      <c r="B4" s="27" t="s">
        <v>35</v>
      </c>
      <c r="C4" s="26">
        <f>VLOOKUP($C$1,详尽档案总表!$B$1:$CL$49,8,FALSE)</f>
        <v>43242</v>
      </c>
      <c r="D4" s="27" t="s">
        <v>36</v>
      </c>
      <c r="E4" s="26">
        <f>VLOOKUP($C$1,详尽档案总表!$B$1:$CL$49,9,FALSE)</f>
        <v>0</v>
      </c>
      <c r="F4" s="26" t="s">
        <v>602</v>
      </c>
      <c r="G4" s="26">
        <f>VLOOKUP($C$1,详尽档案总表!$B$1:$CL$49,10,FALSE)</f>
        <v>0</v>
      </c>
    </row>
    <row r="5" spans="1:13" ht="13.5">
      <c r="A5" s="53"/>
      <c r="B5" s="26" t="s">
        <v>5</v>
      </c>
      <c r="C5" s="26">
        <f>VLOOKUP($C$1,详尽档案总表!$B$1:$CL$49,11,FALSE)</f>
        <v>15808825858</v>
      </c>
      <c r="D5" s="26" t="s">
        <v>603</v>
      </c>
      <c r="E5" s="26">
        <f>VLOOKUP($C$1,详尽档案总表!$B$1:$CL$49,12,FALSE)</f>
        <v>0</v>
      </c>
      <c r="F5" s="26" t="s">
        <v>604</v>
      </c>
      <c r="G5" s="26">
        <f>VLOOKUP($C$1,详尽档案总表!$B$1:$CL$49,13,FALSE)</f>
        <v>0</v>
      </c>
    </row>
    <row r="6" spans="1:13" ht="13.5">
      <c r="A6" s="53"/>
      <c r="B6" s="27" t="s">
        <v>4</v>
      </c>
      <c r="C6" s="50" t="str">
        <f>VLOOKUP($C$1,详尽档案总表!$B$1:$CL$49,16,FALSE)</f>
        <v>530181198902213026</v>
      </c>
      <c r="D6" s="27" t="s">
        <v>205</v>
      </c>
      <c r="E6" s="49" t="str">
        <f>VLOOKUP($C$1,详尽档案总表!$B$1:$CL$49,17,FALSE)</f>
        <v>云南省昆明市盘龙区白龙路白龙寺村306号22栋203号</v>
      </c>
      <c r="F6" s="42"/>
      <c r="G6" s="43"/>
    </row>
    <row r="7" spans="1:13" ht="13.5">
      <c r="A7" s="53"/>
      <c r="B7" s="26" t="s">
        <v>12</v>
      </c>
      <c r="C7" s="26">
        <f>VLOOKUP($C$1,详尽档案总表!$B$1:$CL$49,18,FALSE)</f>
        <v>0</v>
      </c>
      <c r="D7" s="27" t="s">
        <v>605</v>
      </c>
      <c r="E7" s="26" t="str">
        <f>VLOOKUP($C$1,详尽档案总表!$B$1:$CL$49,19,FALSE)</f>
        <v>昆铁家园小区B-1502</v>
      </c>
      <c r="F7" s="42"/>
      <c r="G7" s="43"/>
    </row>
    <row r="8" spans="1:13" ht="13.5">
      <c r="A8" s="53"/>
      <c r="B8" s="26" t="s">
        <v>7</v>
      </c>
      <c r="C8" s="26">
        <f>VLOOKUP($C$1,详尽档案总表!$B$1:$CL$49,20,FALSE)</f>
        <v>0</v>
      </c>
      <c r="D8" s="27" t="s">
        <v>606</v>
      </c>
      <c r="E8" s="26" t="str">
        <f>VLOOKUP($C$1,详尽档案总表!$B$1:$CL$49,21,FALSE)</f>
        <v>护士</v>
      </c>
      <c r="F8" s="27" t="s">
        <v>9</v>
      </c>
      <c r="G8" s="26" t="str">
        <f>VLOOKUP($C$1,详尽档案总表!$B$1:$CL$49,22,FALSE)</f>
        <v>是</v>
      </c>
    </row>
    <row r="9" spans="1:13" ht="13.5">
      <c r="A9" s="53"/>
      <c r="B9" s="26" t="s">
        <v>8</v>
      </c>
      <c r="C9" s="26" t="str">
        <f>VLOOKUP($C$1,详尽档案总表!$B$1:$CL$49,23,FALSE)</f>
        <v>汉</v>
      </c>
      <c r="D9" s="27" t="s">
        <v>10</v>
      </c>
      <c r="E9" s="26" t="str">
        <f>VLOOKUP($C$1,详尽档案总表!$B$1:$CL$49,24,FALSE)</f>
        <v>无</v>
      </c>
      <c r="F9" s="26" t="s">
        <v>11</v>
      </c>
      <c r="G9" s="26" t="str">
        <f>VLOOKUP($C$1,详尽档案总表!$B$1:$CL$49,25,FALSE)</f>
        <v>硕士</v>
      </c>
    </row>
    <row r="10" spans="1:13" ht="13.5">
      <c r="A10" s="53"/>
      <c r="B10" s="26" t="s">
        <v>13</v>
      </c>
      <c r="C10" s="26">
        <f>VLOOKUP($C$1,详尽档案总表!$B$1:$CL$49,26,FALSE)</f>
        <v>0</v>
      </c>
      <c r="D10" s="26" t="s">
        <v>14</v>
      </c>
      <c r="E10" s="26">
        <f>VLOOKUP($C$1,详尽档案总表!$B$1:$CL$49,27,FALSE)</f>
        <v>0</v>
      </c>
      <c r="F10" s="26" t="s">
        <v>607</v>
      </c>
      <c r="G10" s="26">
        <f>VLOOKUP($C$1,详尽档案总表!$B$1:$CL$49,28,FALSE)</f>
        <v>0</v>
      </c>
    </row>
    <row r="11" spans="1:13" ht="13.5">
      <c r="A11" s="53"/>
      <c r="B11" s="26" t="s">
        <v>608</v>
      </c>
      <c r="C11" s="26">
        <f>VLOOKUP($C$1,详尽档案总表!$B$1:$CL$49,29,FALSE)</f>
        <v>0</v>
      </c>
      <c r="D11" s="26" t="s">
        <v>609</v>
      </c>
      <c r="E11" s="26">
        <f>VLOOKUP($C$1,详尽档案总表!$B$1:$CL$49,30,FALSE)</f>
        <v>0</v>
      </c>
      <c r="F11" s="26" t="s">
        <v>610</v>
      </c>
      <c r="G11" s="26">
        <f>VLOOKUP($C$1,详尽档案总表!$B$1:$CL$49,31,FALSE)</f>
        <v>0</v>
      </c>
    </row>
    <row r="12" spans="1:13" ht="13.5">
      <c r="A12" s="53"/>
      <c r="B12" s="26" t="s">
        <v>611</v>
      </c>
      <c r="C12" s="26">
        <f>VLOOKUP($C$1,详尽档案总表!$B$1:$CL$49,32,FALSE)</f>
        <v>0</v>
      </c>
      <c r="D12" s="26" t="s">
        <v>612</v>
      </c>
      <c r="E12" s="26">
        <f>VLOOKUP($C$1,详尽档案总表!$B$1:$CL$49,33,FALSE)</f>
        <v>0</v>
      </c>
      <c r="F12" s="26" t="s">
        <v>613</v>
      </c>
      <c r="G12" s="26">
        <f>VLOOKUP($C$1,详尽档案总表!$B$1:$CL$49,34,FALSE)</f>
        <v>0</v>
      </c>
    </row>
    <row r="13" spans="1:13" ht="13.5">
      <c r="A13" s="53"/>
      <c r="B13" s="26" t="s">
        <v>15</v>
      </c>
      <c r="C13" s="39">
        <f>VLOOKUP($C$1,详尽档案总表!$B$1:$CL$49,35,FALSE)</f>
        <v>0</v>
      </c>
      <c r="D13" s="40"/>
      <c r="E13" s="40"/>
      <c r="F13" s="40"/>
      <c r="G13" s="34"/>
    </row>
    <row r="14" spans="1:13" ht="13.5">
      <c r="A14" s="53"/>
      <c r="B14" s="26" t="s">
        <v>19</v>
      </c>
      <c r="C14" s="26" t="str">
        <f>VLOOKUP($C$1,详尽档案总表!$B$1:$CL$49,36,FALSE)</f>
        <v>无</v>
      </c>
      <c r="D14" s="26" t="s">
        <v>18</v>
      </c>
      <c r="E14" s="26" t="str">
        <f>VLOOKUP($C$1,详尽档案总表!$B$1:$CL$49,37,FALSE)</f>
        <v>无</v>
      </c>
      <c r="F14" s="26" t="s">
        <v>17</v>
      </c>
      <c r="G14" s="26" t="str">
        <f>VLOOKUP($C$1,详尽档案总表!$B$1:$CL$49,38,FALSE)</f>
        <v>无</v>
      </c>
    </row>
    <row r="15" spans="1:13" ht="13.5">
      <c r="A15" s="53"/>
      <c r="B15" s="26" t="s">
        <v>20</v>
      </c>
      <c r="C15" s="26" t="str">
        <f>VLOOKUP($C$1,详尽档案总表!$B$1:$CL$49,39,FALSE)</f>
        <v>A</v>
      </c>
      <c r="D15" s="26" t="s">
        <v>80</v>
      </c>
      <c r="E15" s="26" t="str">
        <f>VLOOKUP($C$1,详尽档案总表!$B$1:$CL$49,40,FALSE)</f>
        <v>2018.5.13</v>
      </c>
      <c r="F15" s="26" t="s">
        <v>25</v>
      </c>
      <c r="G15" s="26">
        <f>VLOOKUP($C$1,详尽档案总表!$B$1:$CL$49,41,FALSE)</f>
        <v>41</v>
      </c>
    </row>
    <row r="16" spans="1:13" ht="17.25" customHeight="1">
      <c r="A16" s="53"/>
      <c r="B16" s="26" t="s">
        <v>206</v>
      </c>
      <c r="C16" s="26" t="str">
        <f>VLOOKUP($C$1,详尽档案总表!$B$1:$CL$49,42,FALSE)</f>
        <v>一胎</v>
      </c>
      <c r="D16" s="26" t="s">
        <v>207</v>
      </c>
      <c r="E16" s="26">
        <f>VLOOKUP($C$1,详尽档案总表!$B$1:$CL$49,43,FALSE)</f>
        <v>29</v>
      </c>
      <c r="F16" s="26" t="s">
        <v>22</v>
      </c>
      <c r="G16" s="26">
        <f>VLOOKUP($C$1,详尽档案总表!$B$1:$CL$49,44,FALSE)</f>
        <v>0</v>
      </c>
      <c r="M16" s="41"/>
    </row>
    <row r="17" spans="1:7" ht="17.25" customHeight="1">
      <c r="A17" s="53"/>
      <c r="B17" s="26" t="s">
        <v>21</v>
      </c>
      <c r="C17" s="26" t="str">
        <f>VLOOKUP($C$1,详尽档案总表!$B$1:$CL$49,45,FALSE)</f>
        <v>市妇幼</v>
      </c>
      <c r="D17" s="26" t="s">
        <v>24</v>
      </c>
      <c r="E17" s="26" t="str">
        <f>VLOOKUP($C$1,详尽档案总表!$B$1:$CL$49,46,FALSE)</f>
        <v>顺产</v>
      </c>
      <c r="F17" s="26" t="s">
        <v>16</v>
      </c>
      <c r="G17" s="26" t="str">
        <f>VLOOKUP($C$1,详尽档案总表!$B$1:$CL$49,47,FALSE)</f>
        <v>无</v>
      </c>
    </row>
    <row r="18" spans="1:7" ht="17.25" customHeight="1">
      <c r="A18" s="53"/>
      <c r="B18" s="26" t="s">
        <v>23</v>
      </c>
      <c r="C18" s="39">
        <f>VLOOKUP($C$1,详尽档案总表!$B$1:$CL$49,48,FALSE)</f>
        <v>0</v>
      </c>
      <c r="D18" s="37"/>
      <c r="E18" s="37"/>
      <c r="F18" s="37"/>
      <c r="G18" s="38"/>
    </row>
    <row r="19" spans="1:7" ht="17.25" customHeight="1">
      <c r="A19" s="53"/>
      <c r="B19" s="26" t="s">
        <v>614</v>
      </c>
      <c r="C19" s="26">
        <f>VLOOKUP($C$1,详尽档案总表!$B$1:$CL$49,49,FALSE)</f>
        <v>0</v>
      </c>
      <c r="D19" s="29" t="s">
        <v>615</v>
      </c>
      <c r="E19" s="26">
        <f>VLOOKUP($C$1,详尽档案总表!$B$1:$CL$49,50,FALSE)</f>
        <v>63.1</v>
      </c>
      <c r="F19" s="29" t="s">
        <v>616</v>
      </c>
      <c r="G19" s="26">
        <f>VLOOKUP($C$1,详尽档案总表!$B$1:$CL$49,51,FALSE)</f>
        <v>0</v>
      </c>
    </row>
    <row r="20" spans="1:7" ht="17.25" customHeight="1">
      <c r="A20" s="53"/>
      <c r="B20" s="26" t="s">
        <v>617</v>
      </c>
      <c r="C20" s="39">
        <f>VLOOKUP($C$1,详尽档案总表!$B$1:$CL$49,52,FALSE)</f>
        <v>0</v>
      </c>
      <c r="D20" s="37"/>
      <c r="E20" s="37"/>
      <c r="F20" s="37"/>
      <c r="G20" s="38"/>
    </row>
    <row r="21" spans="1:7" ht="17.25" customHeight="1">
      <c r="A21" s="53"/>
      <c r="B21" s="27" t="s">
        <v>618</v>
      </c>
      <c r="C21" s="39">
        <f>VLOOKUP($C$1,详尽档案总表!$B$1:$CL$49,53,FALSE)</f>
        <v>0</v>
      </c>
      <c r="D21" s="42"/>
      <c r="E21" s="42"/>
      <c r="F21" s="42"/>
      <c r="G21" s="43"/>
    </row>
    <row r="22" spans="1:7" ht="17.25" customHeight="1">
      <c r="A22" s="53"/>
      <c r="B22" s="27" t="s">
        <v>619</v>
      </c>
      <c r="C22" s="39">
        <f>VLOOKUP($C$1,详尽档案总表!$B$1:$CL$49,54,FALSE)</f>
        <v>0</v>
      </c>
      <c r="D22" s="42"/>
      <c r="E22" s="42"/>
      <c r="F22" s="42"/>
      <c r="G22" s="43"/>
    </row>
    <row r="23" spans="1:7" ht="17.25" customHeight="1">
      <c r="A23" s="51" t="s">
        <v>620</v>
      </c>
      <c r="B23" s="30" t="s">
        <v>208</v>
      </c>
      <c r="C23" s="44">
        <f>VLOOKUP($C$1,详尽档案总表!$B$1:$CL$49,55,FALSE)</f>
        <v>43240</v>
      </c>
      <c r="D23" s="31" t="s">
        <v>209</v>
      </c>
      <c r="E23" s="31">
        <f>VLOOKUP($C$1,详尽档案总表!$B$1:$CL$49,56,FALSE)</f>
        <v>0.53888888888888886</v>
      </c>
      <c r="F23" s="31" t="s">
        <v>210</v>
      </c>
      <c r="G23" s="31">
        <f>VLOOKUP($C$1,详尽档案总表!$B$1:$CL$49,57,FALSE)</f>
        <v>0</v>
      </c>
    </row>
    <row r="24" spans="1:7" ht="17.25" customHeight="1">
      <c r="A24" s="52"/>
      <c r="B24" s="31" t="s">
        <v>26</v>
      </c>
      <c r="C24" s="31">
        <f>VLOOKUP($C$1,详尽档案总表!$B$1:$CL$49,58,FALSE)</f>
        <v>0</v>
      </c>
      <c r="D24" s="31" t="s">
        <v>211</v>
      </c>
      <c r="E24" s="31">
        <f>VLOOKUP($C$1,详尽档案总表!$B$1:$CL$49,59,FALSE)</f>
        <v>0</v>
      </c>
      <c r="F24" s="31" t="s">
        <v>27</v>
      </c>
      <c r="G24" s="31" t="str">
        <f>VLOOKUP($C$1,详尽档案总表!$B$1:$CL$49,60,FALSE)</f>
        <v>男</v>
      </c>
    </row>
    <row r="25" spans="1:7" ht="17.25" customHeight="1">
      <c r="A25" s="52"/>
      <c r="B25" s="31" t="s">
        <v>28</v>
      </c>
      <c r="C25" s="31">
        <f>VLOOKUP($C$1,详尽档案总表!$B$1:$CL$49,61,FALSE)</f>
        <v>3540</v>
      </c>
      <c r="D25" s="31" t="s">
        <v>29</v>
      </c>
      <c r="E25" s="31">
        <f>VLOOKUP($C$1,详尽档案总表!$B$1:$CL$49,62,FALSE)</f>
        <v>51</v>
      </c>
      <c r="F25" s="31" t="s">
        <v>32</v>
      </c>
      <c r="G25" s="31">
        <f>VLOOKUP($C$1,详尽档案总表!$B$1:$CL$49,63,FALSE)</f>
        <v>0</v>
      </c>
    </row>
    <row r="26" spans="1:7" ht="17.25" customHeight="1">
      <c r="A26" s="52"/>
      <c r="B26" s="31" t="s">
        <v>30</v>
      </c>
      <c r="C26" s="31">
        <f>VLOOKUP($C$1,详尽档案总表!$B$1:$CL$49,64,FALSE)</f>
        <v>2970</v>
      </c>
      <c r="D26" s="31" t="s">
        <v>31</v>
      </c>
      <c r="E26" s="31">
        <f>VLOOKUP($C$1,详尽档案总表!$B$1:$CL$49,65,FALSE)</f>
        <v>0</v>
      </c>
      <c r="F26" s="31" t="s">
        <v>34</v>
      </c>
      <c r="G26" s="31" t="str">
        <f>VLOOKUP($C$1,详尽档案总表!$B$1:$CL$49,66,FALSE)</f>
        <v>母乳</v>
      </c>
    </row>
    <row r="27" spans="1:7" ht="17.25" customHeight="1">
      <c r="A27" s="52"/>
      <c r="B27" s="31" t="s">
        <v>33</v>
      </c>
      <c r="C27" s="31" t="str">
        <f>VLOOKUP($C$1,详尽档案总表!$B$1:$CL$49,67,FALSE)</f>
        <v>头皮/前胸/后背散在皮疹</v>
      </c>
      <c r="D27" s="45"/>
      <c r="E27" s="45"/>
      <c r="F27" s="45"/>
      <c r="G27" s="46"/>
    </row>
    <row r="28" spans="1:7" ht="17.25" customHeight="1">
      <c r="A28" s="53" t="s">
        <v>621</v>
      </c>
      <c r="B28" s="32" t="s">
        <v>622</v>
      </c>
      <c r="C28" s="26">
        <f>VLOOKUP($C$1,详尽档案总表!$B$1:$CL$49,68,FALSE)</f>
        <v>0</v>
      </c>
      <c r="D28" s="29" t="s">
        <v>623</v>
      </c>
      <c r="E28" s="26">
        <f>VLOOKUP($C$1,详尽档案总表!$B$1:$CL$49,69,FALSE)</f>
        <v>0</v>
      </c>
      <c r="F28" s="29" t="s">
        <v>624</v>
      </c>
      <c r="G28" s="26" t="str">
        <f>VLOOKUP($C$1,详尽档案总表!$B$1:$CL$49,70,FALSE)</f>
        <v>二胎</v>
      </c>
    </row>
    <row r="29" spans="1:7" ht="17.25" customHeight="1">
      <c r="A29" s="53"/>
      <c r="B29" s="33" t="s">
        <v>625</v>
      </c>
      <c r="C29" s="26">
        <f>VLOOKUP($C$1,详尽档案总表!$B$1:$CL$49,71,FALSE)</f>
        <v>0</v>
      </c>
      <c r="D29" s="29" t="s">
        <v>626</v>
      </c>
      <c r="E29" s="26">
        <f>VLOOKUP($C$1,详尽档案总表!$B$1:$CL$49,72,FALSE)</f>
        <v>0</v>
      </c>
      <c r="F29" s="29" t="s">
        <v>627</v>
      </c>
      <c r="G29" s="26">
        <f>VLOOKUP($C$1,详尽档案总表!$B$1:$CL$49,72,FALSE)</f>
        <v>0</v>
      </c>
    </row>
    <row r="30" spans="1:7" ht="17.25" customHeight="1">
      <c r="A30" s="53"/>
      <c r="B30" s="34" t="s">
        <v>628</v>
      </c>
      <c r="C30" s="26" t="str">
        <f>VLOOKUP($C$1,详尽档案总表!$B$1:$CL$49,74,FALSE)</f>
        <v>崔睿</v>
      </c>
      <c r="D30" s="26" t="s">
        <v>629</v>
      </c>
      <c r="E30" s="26" t="str">
        <f>VLOOKUP($C$1,详尽档案总表!$B$1:$CL$49,75,FALSE)</f>
        <v>丈夫</v>
      </c>
      <c r="F30" s="26" t="s">
        <v>5</v>
      </c>
      <c r="G30" s="26">
        <f>VLOOKUP($C$1,详尽档案总表!$B$1:$CL$49,76,FALSE)</f>
        <v>18208881231</v>
      </c>
    </row>
    <row r="31" spans="1:7" ht="17.25" customHeight="1">
      <c r="A31" s="53"/>
      <c r="B31" s="34" t="s">
        <v>4</v>
      </c>
      <c r="C31" s="26">
        <f>VLOOKUP($C$1,详尽档案总表!$B$1:$CL$49,77,FALSE)</f>
        <v>0</v>
      </c>
      <c r="D31" s="26" t="s">
        <v>630</v>
      </c>
      <c r="E31" s="26">
        <f>VLOOKUP($C$1,详尽档案总表!$B$1:$CL$49,78,FALSE)</f>
        <v>0</v>
      </c>
      <c r="F31" s="26" t="s">
        <v>631</v>
      </c>
      <c r="G31" s="26">
        <f>VLOOKUP($C$1,详尽档案总表!$B$1:$CL$49,79,FALSE)</f>
        <v>0</v>
      </c>
    </row>
    <row r="32" spans="1:7" ht="17.25" customHeight="1">
      <c r="A32" s="53"/>
      <c r="B32" s="34" t="s">
        <v>632</v>
      </c>
      <c r="C32" s="26" t="str">
        <f>VLOOKUP($C$1,详尽档案总表!$B$1:$CL$49,80,FALSE)</f>
        <v>崔国民</v>
      </c>
      <c r="D32" s="26" t="s">
        <v>633</v>
      </c>
      <c r="E32" s="26">
        <f>VLOOKUP($C$1,详尽档案总表!$B$1:$CL$49,81,FALSE)</f>
        <v>0</v>
      </c>
      <c r="F32" s="26" t="s">
        <v>5</v>
      </c>
      <c r="G32" s="26">
        <f>VLOOKUP($C$1,详尽档案总表!$B$1:$CL$49,82,FALSE)</f>
        <v>13987120596</v>
      </c>
    </row>
    <row r="33" spans="1:7" ht="17.25" customHeight="1">
      <c r="A33" s="53"/>
      <c r="B33" s="34" t="s">
        <v>634</v>
      </c>
      <c r="C33" s="26" t="str">
        <f>VLOOKUP($C$1,详尽档案总表!$B$1:$CL$49,83,FALSE)</f>
        <v>王小珊</v>
      </c>
      <c r="D33" s="26" t="s">
        <v>635</v>
      </c>
      <c r="E33" s="26">
        <f>VLOOKUP($C$1,详尽档案总表!$B$1:$CL$49,84,FALSE)</f>
        <v>0</v>
      </c>
      <c r="F33" s="26" t="s">
        <v>5</v>
      </c>
      <c r="G33" s="26">
        <f>VLOOKUP($C$1,详尽档案总表!$B$1:$CL$49,85,FALSE)</f>
        <v>13708851304</v>
      </c>
    </row>
    <row r="34" spans="1:7" ht="17.25" customHeight="1">
      <c r="A34" s="52" t="s">
        <v>636</v>
      </c>
      <c r="B34" s="35" t="s">
        <v>637</v>
      </c>
      <c r="C34" s="47">
        <f>VLOOKUP($C$1,详尽档案总表!$B$1:$CL$49,86,FALSE)</f>
        <v>0</v>
      </c>
      <c r="D34" s="48"/>
      <c r="E34" s="48"/>
      <c r="F34" s="48"/>
      <c r="G34" s="31"/>
    </row>
    <row r="35" spans="1:7" ht="17.25" customHeight="1">
      <c r="A35" s="52"/>
      <c r="B35" s="31" t="s">
        <v>638</v>
      </c>
      <c r="C35" s="31">
        <f>VLOOKUP($C$1,详尽档案总表!$B$1:$CL$49,87,FALSE)</f>
        <v>0</v>
      </c>
      <c r="D35" s="31" t="s">
        <v>639</v>
      </c>
      <c r="E35" s="31">
        <f>VLOOKUP($C$1,详尽档案总表!$B$1:$CL$49,88,FALSE)</f>
        <v>0</v>
      </c>
      <c r="F35" s="31" t="s">
        <v>640</v>
      </c>
      <c r="G35" s="31">
        <f>VLOOKUP($C$1,详尽档案总表!$B$1:$CL$49,89,FALSE)</f>
        <v>0</v>
      </c>
    </row>
  </sheetData>
  <mergeCells count="4">
    <mergeCell ref="A1:A22"/>
    <mergeCell ref="A23:A27"/>
    <mergeCell ref="A28:A33"/>
    <mergeCell ref="A34:A35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D34" sqref="D34"/>
    </sheetView>
  </sheetViews>
  <sheetFormatPr defaultRowHeight="17.25" customHeight="1"/>
  <cols>
    <col min="1" max="1" width="5" style="36" customWidth="1"/>
    <col min="2" max="2" width="15" style="2" customWidth="1"/>
    <col min="3" max="3" width="15.5" style="2" bestFit="1" customWidth="1"/>
    <col min="4" max="7" width="15.625" style="2" customWidth="1"/>
    <col min="8" max="8" width="5.25" style="2" bestFit="1" customWidth="1"/>
    <col min="9" max="11" width="9" style="2"/>
    <col min="12" max="12" width="13" style="2" bestFit="1" customWidth="1"/>
    <col min="13" max="13" width="9" style="2"/>
    <col min="14" max="15" width="11" style="2" bestFit="1" customWidth="1"/>
    <col min="16" max="16" width="7.5" style="2" bestFit="1" customWidth="1"/>
    <col min="17" max="17" width="9" style="2"/>
    <col min="18" max="18" width="7.5" style="2" bestFit="1" customWidth="1"/>
    <col min="19" max="20" width="5.25" style="2" bestFit="1" customWidth="1"/>
    <col min="21" max="22" width="9" style="2"/>
    <col min="23" max="23" width="5.25" style="2" bestFit="1" customWidth="1"/>
    <col min="24" max="31" width="9" style="2"/>
    <col min="32" max="32" width="13" style="2" bestFit="1" customWidth="1"/>
    <col min="33" max="33" width="9" style="2"/>
    <col min="34" max="34" width="11" style="2" bestFit="1" customWidth="1"/>
    <col min="35" max="37" width="7.125" style="2" bestFit="1" customWidth="1"/>
    <col min="38" max="39" width="5.25" style="2" bestFit="1" customWidth="1"/>
    <col min="40" max="44" width="9" style="2"/>
    <col min="45" max="47" width="13" style="2" bestFit="1" customWidth="1"/>
    <col min="48" max="48" width="9" style="2"/>
    <col min="49" max="49" width="7.125" style="2" bestFit="1" customWidth="1"/>
    <col min="50" max="50" width="13" style="2" bestFit="1" customWidth="1"/>
    <col min="51" max="51" width="9" style="2"/>
    <col min="52" max="52" width="7.125" style="2" bestFit="1" customWidth="1"/>
    <col min="53" max="55" width="9" style="2"/>
    <col min="56" max="56" width="16.375" style="2" bestFit="1" customWidth="1"/>
    <col min="57" max="57" width="17.5" style="2" bestFit="1" customWidth="1"/>
    <col min="58" max="59" width="16.375" style="2" bestFit="1" customWidth="1"/>
    <col min="60" max="60" width="9" style="2"/>
    <col min="61" max="61" width="13" style="2" bestFit="1" customWidth="1"/>
    <col min="62" max="64" width="9" style="2"/>
    <col min="65" max="65" width="17.25" style="2" bestFit="1" customWidth="1"/>
    <col min="66" max="68" width="9" style="2"/>
    <col min="69" max="69" width="13" style="2" bestFit="1" customWidth="1"/>
    <col min="70" max="70" width="9" style="2"/>
    <col min="71" max="71" width="10" style="2" bestFit="1" customWidth="1"/>
    <col min="72" max="72" width="9" style="2"/>
    <col min="73" max="73" width="11" style="2" bestFit="1" customWidth="1"/>
    <col min="74" max="74" width="9" style="2"/>
    <col min="75" max="75" width="10" style="2" bestFit="1" customWidth="1"/>
    <col min="76" max="77" width="9" style="2"/>
    <col min="78" max="78" width="10" style="2" bestFit="1" customWidth="1"/>
    <col min="79" max="80" width="9" style="2"/>
    <col min="81" max="82" width="11" style="2" bestFit="1" customWidth="1"/>
    <col min="83" max="16384" width="9" style="2"/>
  </cols>
  <sheetData>
    <row r="1" spans="1:13" ht="17.25" customHeight="1">
      <c r="A1" s="53" t="s">
        <v>597</v>
      </c>
      <c r="B1" s="26" t="s">
        <v>1</v>
      </c>
      <c r="C1" s="39">
        <v>201805004</v>
      </c>
      <c r="D1" s="40"/>
      <c r="E1" s="40"/>
      <c r="F1" s="40"/>
      <c r="G1" s="34"/>
    </row>
    <row r="2" spans="1:13" s="28" customFormat="1" ht="17.25" customHeight="1">
      <c r="A2" s="53"/>
      <c r="B2" s="26" t="s">
        <v>2</v>
      </c>
      <c r="C2" s="26" t="str">
        <f>VLOOKUP($C$1,详尽档案总表!$B$1:$CL$49,2,FALSE)</f>
        <v>郭君</v>
      </c>
      <c r="D2" s="26" t="s">
        <v>598</v>
      </c>
      <c r="E2" s="26">
        <f>VLOOKUP($C$1,详尽档案总表!$B$1:$CL$49,3,FALSE)</f>
        <v>801</v>
      </c>
      <c r="F2" s="27" t="s">
        <v>599</v>
      </c>
      <c r="G2" s="26">
        <f>VLOOKUP($C$1,详尽档案总表!$B$1:$CL$49,4,FALSE)</f>
        <v>2017121404</v>
      </c>
    </row>
    <row r="3" spans="1:13" ht="17.25" customHeight="1">
      <c r="A3" s="53"/>
      <c r="B3" s="26" t="s">
        <v>3</v>
      </c>
      <c r="C3" s="26">
        <f>VLOOKUP($C$1,详尽档案总表!$B$1:$CL$49,5,FALSE)</f>
        <v>19400</v>
      </c>
      <c r="D3" s="27" t="s">
        <v>600</v>
      </c>
      <c r="E3" s="26" t="str">
        <f>VLOOKUP($C$1,详尽档案总表!$B$1:$CL$49,6,FALSE)</f>
        <v>舒心房</v>
      </c>
      <c r="F3" s="26" t="s">
        <v>601</v>
      </c>
      <c r="G3" s="26">
        <f>VLOOKUP($C$1,详尽档案总表!$B$1:$CL$49,7,FALSE)</f>
        <v>26</v>
      </c>
    </row>
    <row r="4" spans="1:13" ht="17.25" customHeight="1">
      <c r="A4" s="53"/>
      <c r="B4" s="27" t="s">
        <v>35</v>
      </c>
      <c r="C4" s="26">
        <f>VLOOKUP($C$1,详尽档案总表!$B$1:$CL$49,8,FALSE)</f>
        <v>0</v>
      </c>
      <c r="D4" s="27" t="s">
        <v>36</v>
      </c>
      <c r="E4" s="26">
        <f>VLOOKUP($C$1,详尽档案总表!$B$1:$CL$49,9,FALSE)</f>
        <v>0</v>
      </c>
      <c r="F4" s="26" t="s">
        <v>602</v>
      </c>
      <c r="G4" s="26">
        <f>VLOOKUP($C$1,详尽档案总表!$B$1:$CL$49,10,FALSE)</f>
        <v>0</v>
      </c>
    </row>
    <row r="5" spans="1:13" ht="17.25" customHeight="1">
      <c r="A5" s="53"/>
      <c r="B5" s="26" t="s">
        <v>5</v>
      </c>
      <c r="C5" s="26">
        <f>VLOOKUP($C$1,详尽档案总表!$B$1:$CL$49,11,FALSE)</f>
        <v>15288494736</v>
      </c>
      <c r="D5" s="26" t="s">
        <v>603</v>
      </c>
      <c r="E5" s="26">
        <f>VLOOKUP($C$1,详尽档案总表!$B$1:$CL$49,12,FALSE)</f>
        <v>0</v>
      </c>
      <c r="F5" s="26" t="s">
        <v>604</v>
      </c>
      <c r="G5" s="26">
        <f>VLOOKUP($C$1,详尽档案总表!$B$1:$CL$49,13,FALSE)</f>
        <v>0</v>
      </c>
    </row>
    <row r="6" spans="1:13" ht="17.25" customHeight="1">
      <c r="A6" s="53"/>
      <c r="B6" s="27" t="s">
        <v>4</v>
      </c>
      <c r="C6" s="50" t="str">
        <f>VLOOKUP($C$1,详尽档案总表!$B$1:$CL$49,16,FALSE)</f>
        <v>530102198608030020</v>
      </c>
      <c r="D6" s="27" t="s">
        <v>205</v>
      </c>
      <c r="E6" s="49" t="str">
        <f>VLOOKUP($C$1,详尽档案总表!$B$1:$CL$49,17,FALSE)</f>
        <v>云南省昆明市西山区环城南路404号附48幢2单元403号</v>
      </c>
      <c r="F6" s="42"/>
      <c r="G6" s="43"/>
    </row>
    <row r="7" spans="1:13" ht="17.25" customHeight="1">
      <c r="A7" s="53"/>
      <c r="B7" s="26" t="s">
        <v>12</v>
      </c>
      <c r="C7" s="26">
        <f>VLOOKUP($C$1,详尽档案总表!$B$1:$CL$49,18,FALSE)</f>
        <v>0</v>
      </c>
      <c r="D7" s="27" t="s">
        <v>605</v>
      </c>
      <c r="E7" s="26">
        <f>VLOOKUP($C$1,详尽档案总表!$B$1:$CL$49,19,FALSE)</f>
        <v>0</v>
      </c>
      <c r="F7" s="42"/>
      <c r="G7" s="43"/>
    </row>
    <row r="8" spans="1:13" ht="17.25" customHeight="1">
      <c r="A8" s="53"/>
      <c r="B8" s="26" t="s">
        <v>7</v>
      </c>
      <c r="C8" s="26">
        <f>VLOOKUP($C$1,详尽档案总表!$B$1:$CL$49,20,FALSE)</f>
        <v>0</v>
      </c>
      <c r="D8" s="27" t="s">
        <v>606</v>
      </c>
      <c r="E8" s="26">
        <f>VLOOKUP($C$1,详尽档案总表!$B$1:$CL$49,21,FALSE)</f>
        <v>0</v>
      </c>
      <c r="F8" s="27" t="s">
        <v>9</v>
      </c>
      <c r="G8" s="26">
        <f>VLOOKUP($C$1,详尽档案总表!$B$1:$CL$49,22,FALSE)</f>
        <v>0</v>
      </c>
    </row>
    <row r="9" spans="1:13" ht="17.25" customHeight="1">
      <c r="A9" s="53"/>
      <c r="B9" s="26" t="s">
        <v>8</v>
      </c>
      <c r="C9" s="26" t="str">
        <f>VLOOKUP($C$1,详尽档案总表!$B$1:$CL$49,23,FALSE)</f>
        <v>白</v>
      </c>
      <c r="D9" s="27" t="s">
        <v>10</v>
      </c>
      <c r="E9" s="26">
        <f>VLOOKUP($C$1,详尽档案总表!$B$1:$CL$49,24,FALSE)</f>
        <v>0</v>
      </c>
      <c r="F9" s="26" t="s">
        <v>11</v>
      </c>
      <c r="G9" s="26">
        <f>VLOOKUP($C$1,详尽档案总表!$B$1:$CL$49,25,FALSE)</f>
        <v>0</v>
      </c>
    </row>
    <row r="10" spans="1:13" ht="17.25" customHeight="1">
      <c r="A10" s="53"/>
      <c r="B10" s="26" t="s">
        <v>13</v>
      </c>
      <c r="C10" s="26">
        <f>VLOOKUP($C$1,详尽档案总表!$B$1:$CL$49,26,FALSE)</f>
        <v>0</v>
      </c>
      <c r="D10" s="26" t="s">
        <v>14</v>
      </c>
      <c r="E10" s="26">
        <f>VLOOKUP($C$1,详尽档案总表!$B$1:$CL$49,27,FALSE)</f>
        <v>0</v>
      </c>
      <c r="F10" s="26" t="s">
        <v>607</v>
      </c>
      <c r="G10" s="26">
        <f>VLOOKUP($C$1,详尽档案总表!$B$1:$CL$49,28,FALSE)</f>
        <v>0</v>
      </c>
    </row>
    <row r="11" spans="1:13" ht="17.25" customHeight="1">
      <c r="A11" s="53"/>
      <c r="B11" s="26" t="s">
        <v>608</v>
      </c>
      <c r="C11" s="26">
        <f>VLOOKUP($C$1,详尽档案总表!$B$1:$CL$49,29,FALSE)</f>
        <v>0</v>
      </c>
      <c r="D11" s="26" t="s">
        <v>609</v>
      </c>
      <c r="E11" s="26">
        <f>VLOOKUP($C$1,详尽档案总表!$B$1:$CL$49,30,FALSE)</f>
        <v>0</v>
      </c>
      <c r="F11" s="26" t="s">
        <v>610</v>
      </c>
      <c r="G11" s="26">
        <f>VLOOKUP($C$1,详尽档案总表!$B$1:$CL$49,31,FALSE)</f>
        <v>0</v>
      </c>
    </row>
    <row r="12" spans="1:13" ht="17.25" customHeight="1">
      <c r="A12" s="53"/>
      <c r="B12" s="26" t="s">
        <v>611</v>
      </c>
      <c r="C12" s="26">
        <f>VLOOKUP($C$1,详尽档案总表!$B$1:$CL$49,32,FALSE)</f>
        <v>0</v>
      </c>
      <c r="D12" s="26" t="s">
        <v>612</v>
      </c>
      <c r="E12" s="26">
        <f>VLOOKUP($C$1,详尽档案总表!$B$1:$CL$49,33,FALSE)</f>
        <v>0</v>
      </c>
      <c r="F12" s="26" t="s">
        <v>613</v>
      </c>
      <c r="G12" s="26">
        <f>VLOOKUP($C$1,详尽档案总表!$B$1:$CL$49,34,FALSE)</f>
        <v>0</v>
      </c>
    </row>
    <row r="13" spans="1:13" ht="17.25" customHeight="1">
      <c r="A13" s="53"/>
      <c r="B13" s="26" t="s">
        <v>15</v>
      </c>
      <c r="C13" s="39">
        <f>VLOOKUP($C$1,详尽档案总表!$B$1:$CL$49,35,FALSE)</f>
        <v>0</v>
      </c>
      <c r="D13" s="40"/>
      <c r="E13" s="40"/>
      <c r="F13" s="40"/>
      <c r="G13" s="34"/>
    </row>
    <row r="14" spans="1:13" ht="17.25" customHeight="1">
      <c r="A14" s="53"/>
      <c r="B14" s="26" t="s">
        <v>19</v>
      </c>
      <c r="C14" s="26">
        <f>VLOOKUP($C$1,详尽档案总表!$B$1:$CL$49,36,FALSE)</f>
        <v>0</v>
      </c>
      <c r="D14" s="26" t="s">
        <v>18</v>
      </c>
      <c r="E14" s="26">
        <f>VLOOKUP($C$1,详尽档案总表!$B$1:$CL$49,37,FALSE)</f>
        <v>0</v>
      </c>
      <c r="F14" s="26" t="s">
        <v>17</v>
      </c>
      <c r="G14" s="26">
        <f>VLOOKUP($C$1,详尽档案总表!$B$1:$CL$49,38,FALSE)</f>
        <v>0</v>
      </c>
    </row>
    <row r="15" spans="1:13" ht="17.25" customHeight="1">
      <c r="A15" s="53"/>
      <c r="B15" s="26" t="s">
        <v>20</v>
      </c>
      <c r="C15" s="26">
        <f>VLOOKUP($C$1,详尽档案总表!$B$1:$CL$49,39,FALSE)</f>
        <v>0</v>
      </c>
      <c r="D15" s="26" t="s">
        <v>80</v>
      </c>
      <c r="E15" s="26" t="str">
        <f>VLOOKUP($C$1,详尽档案总表!$B$1:$CL$49,40,FALSE)</f>
        <v>2018.6.16</v>
      </c>
      <c r="F15" s="26" t="s">
        <v>25</v>
      </c>
      <c r="G15" s="26">
        <f>VLOOKUP($C$1,详尽档案总表!$B$1:$CL$49,41,FALSE)</f>
        <v>0</v>
      </c>
    </row>
    <row r="16" spans="1:13" ht="17.25" customHeight="1">
      <c r="A16" s="53"/>
      <c r="B16" s="26" t="s">
        <v>206</v>
      </c>
      <c r="C16" s="26" t="str">
        <f>VLOOKUP($C$1,详尽档案总表!$B$1:$CL$49,42,FALSE)</f>
        <v>一胎</v>
      </c>
      <c r="D16" s="26" t="s">
        <v>207</v>
      </c>
      <c r="E16" s="26">
        <f>VLOOKUP($C$1,详尽档案总表!$B$1:$CL$49,43,FALSE)</f>
        <v>31</v>
      </c>
      <c r="F16" s="26" t="s">
        <v>22</v>
      </c>
      <c r="G16" s="26">
        <f>VLOOKUP($C$1,详尽档案总表!$B$1:$CL$49,44,FALSE)</f>
        <v>0</v>
      </c>
      <c r="M16" s="41"/>
    </row>
    <row r="17" spans="1:7" ht="17.25" customHeight="1">
      <c r="A17" s="53"/>
      <c r="B17" s="26" t="s">
        <v>21</v>
      </c>
      <c r="C17" s="26" t="str">
        <f>VLOOKUP($C$1,详尽档案总表!$B$1:$CL$49,45,FALSE)</f>
        <v>云大医院</v>
      </c>
      <c r="D17" s="26" t="s">
        <v>24</v>
      </c>
      <c r="E17" s="26" t="str">
        <f>VLOOKUP($C$1,详尽档案总表!$B$1:$CL$49,46,FALSE)</f>
        <v>顺产</v>
      </c>
      <c r="F17" s="26" t="s">
        <v>16</v>
      </c>
      <c r="G17" s="26">
        <f>VLOOKUP($C$1,详尽档案总表!$B$1:$CL$49,47,FALSE)</f>
        <v>0</v>
      </c>
    </row>
    <row r="18" spans="1:7" ht="17.25" customHeight="1">
      <c r="A18" s="53"/>
      <c r="B18" s="26" t="s">
        <v>23</v>
      </c>
      <c r="C18" s="39" t="str">
        <f>VLOOKUP($C$1,详尽档案总表!$B$1:$CL$49,48,FALSE)</f>
        <v>足月胎膜早破/头位顺产/G1P1孕37+4周头位/单胎活产</v>
      </c>
      <c r="D18" s="37"/>
      <c r="E18" s="37"/>
      <c r="F18" s="37"/>
      <c r="G18" s="38"/>
    </row>
    <row r="19" spans="1:7" ht="17.25" customHeight="1">
      <c r="A19" s="53"/>
      <c r="B19" s="26" t="s">
        <v>614</v>
      </c>
      <c r="C19" s="26">
        <f>VLOOKUP($C$1,详尽档案总表!$B$1:$CL$49,49,FALSE)</f>
        <v>0</v>
      </c>
      <c r="D19" s="29" t="s">
        <v>615</v>
      </c>
      <c r="E19" s="26">
        <f>VLOOKUP($C$1,详尽档案总表!$B$1:$CL$49,50,FALSE)</f>
        <v>0</v>
      </c>
      <c r="F19" s="29" t="s">
        <v>616</v>
      </c>
      <c r="G19" s="26">
        <f>VLOOKUP($C$1,详尽档案总表!$B$1:$CL$49,51,FALSE)</f>
        <v>0</v>
      </c>
    </row>
    <row r="20" spans="1:7" ht="17.25" customHeight="1">
      <c r="A20" s="53"/>
      <c r="B20" s="26" t="s">
        <v>617</v>
      </c>
      <c r="C20" s="39">
        <f>VLOOKUP($C$1,详尽档案总表!$B$1:$CL$49,52,FALSE)</f>
        <v>0</v>
      </c>
      <c r="D20" s="37"/>
      <c r="E20" s="37"/>
      <c r="F20" s="37"/>
      <c r="G20" s="38"/>
    </row>
    <row r="21" spans="1:7" ht="17.25" customHeight="1">
      <c r="A21" s="53"/>
      <c r="B21" s="27" t="s">
        <v>618</v>
      </c>
      <c r="C21" s="39">
        <f>VLOOKUP($C$1,详尽档案总表!$B$1:$CL$49,53,FALSE)</f>
        <v>0</v>
      </c>
      <c r="D21" s="42"/>
      <c r="E21" s="42"/>
      <c r="F21" s="42"/>
      <c r="G21" s="43"/>
    </row>
    <row r="22" spans="1:7" ht="17.25" customHeight="1">
      <c r="A22" s="53"/>
      <c r="B22" s="27" t="s">
        <v>619</v>
      </c>
      <c r="C22" s="39">
        <f>VLOOKUP($C$1,详尽档案总表!$B$1:$CL$49,54,FALSE)</f>
        <v>0</v>
      </c>
      <c r="D22" s="42"/>
      <c r="E22" s="42"/>
      <c r="F22" s="42"/>
      <c r="G22" s="43"/>
    </row>
    <row r="23" spans="1:7" ht="17.25" customHeight="1">
      <c r="A23" s="51" t="s">
        <v>620</v>
      </c>
      <c r="B23" s="30" t="s">
        <v>208</v>
      </c>
      <c r="C23" s="44">
        <f>VLOOKUP($C$1,详尽档案总表!$B$1:$CL$49,55,FALSE)</f>
        <v>43249</v>
      </c>
      <c r="D23" s="31" t="s">
        <v>209</v>
      </c>
      <c r="E23" s="31">
        <f>VLOOKUP($C$1,详尽档案总表!$B$1:$CL$49,56,FALSE)</f>
        <v>0</v>
      </c>
      <c r="F23" s="31" t="s">
        <v>210</v>
      </c>
      <c r="G23" s="31">
        <f>VLOOKUP($C$1,详尽档案总表!$B$1:$CL$49,57,FALSE)</f>
        <v>0</v>
      </c>
    </row>
    <row r="24" spans="1:7" ht="17.25" customHeight="1">
      <c r="A24" s="52"/>
      <c r="B24" s="31" t="s">
        <v>26</v>
      </c>
      <c r="C24" s="31">
        <f>VLOOKUP($C$1,详尽档案总表!$B$1:$CL$49,58,FALSE)</f>
        <v>0</v>
      </c>
      <c r="D24" s="31" t="s">
        <v>211</v>
      </c>
      <c r="E24" s="31">
        <f>VLOOKUP($C$1,详尽档案总表!$B$1:$CL$49,59,FALSE)</f>
        <v>0</v>
      </c>
      <c r="F24" s="31" t="s">
        <v>27</v>
      </c>
      <c r="G24" s="31" t="str">
        <f>VLOOKUP($C$1,详尽档案总表!$B$1:$CL$49,60,FALSE)</f>
        <v>女</v>
      </c>
    </row>
    <row r="25" spans="1:7" ht="17.25" customHeight="1">
      <c r="A25" s="52"/>
      <c r="B25" s="31" t="s">
        <v>28</v>
      </c>
      <c r="C25" s="31">
        <f>VLOOKUP($C$1,详尽档案总表!$B$1:$CL$49,61,FALSE)</f>
        <v>0</v>
      </c>
      <c r="D25" s="31" t="s">
        <v>29</v>
      </c>
      <c r="E25" s="31">
        <f>VLOOKUP($C$1,详尽档案总表!$B$1:$CL$49,62,FALSE)</f>
        <v>0</v>
      </c>
      <c r="F25" s="31" t="s">
        <v>32</v>
      </c>
      <c r="G25" s="31">
        <f>VLOOKUP($C$1,详尽档案总表!$B$1:$CL$49,63,FALSE)</f>
        <v>0</v>
      </c>
    </row>
    <row r="26" spans="1:7" ht="17.25" customHeight="1">
      <c r="A26" s="52"/>
      <c r="B26" s="31" t="s">
        <v>30</v>
      </c>
      <c r="C26" s="31">
        <f>VLOOKUP($C$1,详尽档案总表!$B$1:$CL$49,64,FALSE)</f>
        <v>0</v>
      </c>
      <c r="D26" s="31" t="s">
        <v>31</v>
      </c>
      <c r="E26" s="31">
        <f>VLOOKUP($C$1,详尽档案总表!$B$1:$CL$49,65,FALSE)</f>
        <v>0</v>
      </c>
      <c r="F26" s="31" t="s">
        <v>34</v>
      </c>
      <c r="G26" s="31">
        <f>VLOOKUP($C$1,详尽档案总表!$B$1:$CL$49,66,FALSE)</f>
        <v>0</v>
      </c>
    </row>
    <row r="27" spans="1:7" ht="17.25" customHeight="1">
      <c r="A27" s="52"/>
      <c r="B27" s="31" t="s">
        <v>33</v>
      </c>
      <c r="C27" s="31">
        <f>VLOOKUP($C$1,详尽档案总表!$B$1:$CL$49,67,FALSE)</f>
        <v>0</v>
      </c>
      <c r="D27" s="45"/>
      <c r="E27" s="45"/>
      <c r="F27" s="45"/>
      <c r="G27" s="46"/>
    </row>
    <row r="28" spans="1:7" ht="17.25" customHeight="1">
      <c r="A28" s="53" t="s">
        <v>621</v>
      </c>
      <c r="B28" s="32" t="s">
        <v>622</v>
      </c>
      <c r="C28" s="26">
        <f>VLOOKUP($C$1,详尽档案总表!$B$1:$CL$49,68,FALSE)</f>
        <v>0</v>
      </c>
      <c r="D28" s="29" t="s">
        <v>623</v>
      </c>
      <c r="E28" s="26">
        <f>VLOOKUP($C$1,详尽档案总表!$B$1:$CL$49,69,FALSE)</f>
        <v>0</v>
      </c>
      <c r="F28" s="29" t="s">
        <v>624</v>
      </c>
      <c r="G28" s="26" t="str">
        <f>VLOOKUP($C$1,详尽档案总表!$B$1:$CL$49,70,FALSE)</f>
        <v>二胎</v>
      </c>
    </row>
    <row r="29" spans="1:7" ht="17.25" customHeight="1">
      <c r="A29" s="53"/>
      <c r="B29" s="33" t="s">
        <v>625</v>
      </c>
      <c r="C29" s="26">
        <f>VLOOKUP($C$1,详尽档案总表!$B$1:$CL$49,71,FALSE)</f>
        <v>0</v>
      </c>
      <c r="D29" s="29" t="s">
        <v>626</v>
      </c>
      <c r="E29" s="26">
        <f>VLOOKUP($C$1,详尽档案总表!$B$1:$CL$49,72,FALSE)</f>
        <v>0</v>
      </c>
      <c r="F29" s="29" t="s">
        <v>627</v>
      </c>
      <c r="G29" s="26">
        <f>VLOOKUP($C$1,详尽档案总表!$B$1:$CL$49,72,FALSE)</f>
        <v>0</v>
      </c>
    </row>
    <row r="30" spans="1:7" ht="17.25" customHeight="1">
      <c r="A30" s="53"/>
      <c r="B30" s="34" t="s">
        <v>628</v>
      </c>
      <c r="C30" s="26" t="str">
        <f>VLOOKUP($C$1,详尽档案总表!$B$1:$CL$49,74,FALSE)</f>
        <v>罗蕴实</v>
      </c>
      <c r="D30" s="26" t="s">
        <v>629</v>
      </c>
      <c r="E30" s="26" t="str">
        <f>VLOOKUP($C$1,详尽档案总表!$B$1:$CL$49,75,FALSE)</f>
        <v>丈夫</v>
      </c>
      <c r="F30" s="26" t="s">
        <v>5</v>
      </c>
      <c r="G30" s="26">
        <f>VLOOKUP($C$1,详尽档案总表!$B$1:$CL$49,76,FALSE)</f>
        <v>13888151517</v>
      </c>
    </row>
    <row r="31" spans="1:7" ht="17.25" customHeight="1">
      <c r="A31" s="53"/>
      <c r="B31" s="34" t="s">
        <v>4</v>
      </c>
      <c r="C31" s="26">
        <f>VLOOKUP($C$1,详尽档案总表!$B$1:$CL$49,77,FALSE)</f>
        <v>0</v>
      </c>
      <c r="D31" s="26" t="s">
        <v>630</v>
      </c>
      <c r="E31" s="26">
        <f>VLOOKUP($C$1,详尽档案总表!$B$1:$CL$49,78,FALSE)</f>
        <v>0</v>
      </c>
      <c r="F31" s="26" t="s">
        <v>631</v>
      </c>
      <c r="G31" s="26">
        <f>VLOOKUP($C$1,详尽档案总表!$B$1:$CL$49,79,FALSE)</f>
        <v>0</v>
      </c>
    </row>
    <row r="32" spans="1:7" ht="17.25" customHeight="1">
      <c r="A32" s="53"/>
      <c r="B32" s="34" t="s">
        <v>632</v>
      </c>
      <c r="C32" s="26">
        <f>VLOOKUP($C$1,详尽档案总表!$B$1:$CL$49,80,FALSE)</f>
        <v>0</v>
      </c>
      <c r="D32" s="26" t="s">
        <v>633</v>
      </c>
      <c r="E32" s="26">
        <f>VLOOKUP($C$1,详尽档案总表!$B$1:$CL$49,81,FALSE)</f>
        <v>0</v>
      </c>
      <c r="F32" s="26" t="s">
        <v>5</v>
      </c>
      <c r="G32" s="26">
        <f>VLOOKUP($C$1,详尽档案总表!$B$1:$CL$49,82,FALSE)</f>
        <v>0</v>
      </c>
    </row>
    <row r="33" spans="1:7" ht="17.25" customHeight="1">
      <c r="A33" s="53"/>
      <c r="B33" s="34" t="s">
        <v>634</v>
      </c>
      <c r="C33" s="26">
        <f>VLOOKUP($C$1,详尽档案总表!$B$1:$CL$49,83,FALSE)</f>
        <v>0</v>
      </c>
      <c r="D33" s="26" t="s">
        <v>635</v>
      </c>
      <c r="E33" s="26">
        <f>VLOOKUP($C$1,详尽档案总表!$B$1:$CL$49,84,FALSE)</f>
        <v>0</v>
      </c>
      <c r="F33" s="26" t="s">
        <v>5</v>
      </c>
      <c r="G33" s="26">
        <f>VLOOKUP($C$1,详尽档案总表!$B$1:$CL$49,85,FALSE)</f>
        <v>0</v>
      </c>
    </row>
    <row r="34" spans="1:7" ht="17.25" customHeight="1">
      <c r="A34" s="52" t="s">
        <v>636</v>
      </c>
      <c r="B34" s="35" t="s">
        <v>637</v>
      </c>
      <c r="C34" s="47">
        <f>VLOOKUP($C$1,详尽档案总表!$B$1:$CL$49,86,FALSE)</f>
        <v>0</v>
      </c>
      <c r="D34" s="48"/>
      <c r="E34" s="48"/>
      <c r="F34" s="48"/>
      <c r="G34" s="31"/>
    </row>
    <row r="35" spans="1:7" ht="17.25" customHeight="1">
      <c r="A35" s="52"/>
      <c r="B35" s="31" t="s">
        <v>638</v>
      </c>
      <c r="C35" s="31">
        <f>VLOOKUP($C$1,详尽档案总表!$B$1:$CL$49,87,FALSE)</f>
        <v>0</v>
      </c>
      <c r="D35" s="31" t="s">
        <v>639</v>
      </c>
      <c r="E35" s="31">
        <f>VLOOKUP($C$1,详尽档案总表!$B$1:$CL$49,88,FALSE)</f>
        <v>0</v>
      </c>
      <c r="F35" s="31" t="s">
        <v>640</v>
      </c>
      <c r="G35" s="31">
        <f>VLOOKUP($C$1,详尽档案总表!$B$1:$CL$49,89,FALSE)</f>
        <v>0</v>
      </c>
    </row>
  </sheetData>
  <mergeCells count="4">
    <mergeCell ref="A1:A22"/>
    <mergeCell ref="A23:A27"/>
    <mergeCell ref="A28:A33"/>
    <mergeCell ref="A34:A35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E31" sqref="E31"/>
    </sheetView>
  </sheetViews>
  <sheetFormatPr defaultRowHeight="17.25" customHeight="1"/>
  <cols>
    <col min="1" max="1" width="5" style="36" customWidth="1"/>
    <col min="2" max="2" width="15" style="2" customWidth="1"/>
    <col min="3" max="3" width="15.5" style="2" bestFit="1" customWidth="1"/>
    <col min="4" max="7" width="15.625" style="2" customWidth="1"/>
    <col min="8" max="8" width="5.25" style="2" bestFit="1" customWidth="1"/>
    <col min="9" max="11" width="9" style="2"/>
    <col min="12" max="12" width="13" style="2" bestFit="1" customWidth="1"/>
    <col min="13" max="13" width="9" style="2"/>
    <col min="14" max="15" width="11" style="2" bestFit="1" customWidth="1"/>
    <col min="16" max="16" width="7.5" style="2" bestFit="1" customWidth="1"/>
    <col min="17" max="17" width="9" style="2"/>
    <col min="18" max="18" width="7.5" style="2" bestFit="1" customWidth="1"/>
    <col min="19" max="20" width="5.25" style="2" bestFit="1" customWidth="1"/>
    <col min="21" max="22" width="9" style="2"/>
    <col min="23" max="23" width="5.25" style="2" bestFit="1" customWidth="1"/>
    <col min="24" max="31" width="9" style="2"/>
    <col min="32" max="32" width="13" style="2" bestFit="1" customWidth="1"/>
    <col min="33" max="33" width="9" style="2"/>
    <col min="34" max="34" width="11" style="2" bestFit="1" customWidth="1"/>
    <col min="35" max="37" width="7.125" style="2" bestFit="1" customWidth="1"/>
    <col min="38" max="39" width="5.25" style="2" bestFit="1" customWidth="1"/>
    <col min="40" max="44" width="9" style="2"/>
    <col min="45" max="47" width="13" style="2" bestFit="1" customWidth="1"/>
    <col min="48" max="48" width="9" style="2"/>
    <col min="49" max="49" width="7.125" style="2" bestFit="1" customWidth="1"/>
    <col min="50" max="50" width="13" style="2" bestFit="1" customWidth="1"/>
    <col min="51" max="51" width="9" style="2"/>
    <col min="52" max="52" width="7.125" style="2" bestFit="1" customWidth="1"/>
    <col min="53" max="55" width="9" style="2"/>
    <col min="56" max="56" width="16.375" style="2" bestFit="1" customWidth="1"/>
    <col min="57" max="57" width="17.5" style="2" bestFit="1" customWidth="1"/>
    <col min="58" max="59" width="16.375" style="2" bestFit="1" customWidth="1"/>
    <col min="60" max="60" width="9" style="2"/>
    <col min="61" max="61" width="13" style="2" bestFit="1" customWidth="1"/>
    <col min="62" max="64" width="9" style="2"/>
    <col min="65" max="65" width="17.25" style="2" bestFit="1" customWidth="1"/>
    <col min="66" max="68" width="9" style="2"/>
    <col min="69" max="69" width="13" style="2" bestFit="1" customWidth="1"/>
    <col min="70" max="70" width="9" style="2"/>
    <col min="71" max="71" width="10" style="2" bestFit="1" customWidth="1"/>
    <col min="72" max="72" width="9" style="2"/>
    <col min="73" max="73" width="11" style="2" bestFit="1" customWidth="1"/>
    <col min="74" max="74" width="9" style="2"/>
    <col min="75" max="75" width="10" style="2" bestFit="1" customWidth="1"/>
    <col min="76" max="77" width="9" style="2"/>
    <col min="78" max="78" width="10" style="2" bestFit="1" customWidth="1"/>
    <col min="79" max="80" width="9" style="2"/>
    <col min="81" max="82" width="11" style="2" bestFit="1" customWidth="1"/>
    <col min="83" max="16384" width="9" style="2"/>
  </cols>
  <sheetData>
    <row r="1" spans="1:13" ht="17.25" customHeight="1">
      <c r="A1" s="53" t="s">
        <v>597</v>
      </c>
      <c r="B1" s="26" t="s">
        <v>1</v>
      </c>
      <c r="C1" s="39">
        <v>201805005</v>
      </c>
      <c r="D1" s="40"/>
      <c r="E1" s="40"/>
      <c r="F1" s="40"/>
      <c r="G1" s="34"/>
    </row>
    <row r="2" spans="1:13" s="28" customFormat="1" ht="17.25" customHeight="1">
      <c r="A2" s="53"/>
      <c r="B2" s="26" t="s">
        <v>2</v>
      </c>
      <c r="C2" s="26" t="str">
        <f>VLOOKUP($C$1,详尽档案总表!$B$1:$CL$49,2,FALSE)</f>
        <v>王慧勤</v>
      </c>
      <c r="D2" s="26" t="s">
        <v>598</v>
      </c>
      <c r="E2" s="26">
        <f>VLOOKUP($C$1,详尽档案总表!$B$1:$CL$49,3,FALSE)</f>
        <v>725</v>
      </c>
      <c r="F2" s="27" t="s">
        <v>599</v>
      </c>
      <c r="G2" s="26">
        <f>VLOOKUP($C$1,详尽档案总表!$B$1:$CL$49,4,FALSE)</f>
        <v>2017122501</v>
      </c>
    </row>
    <row r="3" spans="1:13" ht="17.25" customHeight="1">
      <c r="A3" s="53"/>
      <c r="B3" s="26" t="s">
        <v>3</v>
      </c>
      <c r="C3" s="26">
        <f>VLOOKUP($C$1,详尽档案总表!$B$1:$CL$49,5,FALSE)</f>
        <v>43800</v>
      </c>
      <c r="D3" s="27" t="s">
        <v>600</v>
      </c>
      <c r="E3" s="26" t="str">
        <f>VLOOKUP($C$1,详尽档案总表!$B$1:$CL$49,6,FALSE)</f>
        <v>养心房</v>
      </c>
      <c r="F3" s="26" t="s">
        <v>601</v>
      </c>
      <c r="G3" s="26">
        <f>VLOOKUP($C$1,详尽档案总表!$B$1:$CL$49,7,FALSE)</f>
        <v>26</v>
      </c>
    </row>
    <row r="4" spans="1:13" ht="17.25" customHeight="1">
      <c r="A4" s="53"/>
      <c r="B4" s="27" t="s">
        <v>35</v>
      </c>
      <c r="C4" s="26">
        <f>VLOOKUP($C$1,详尽档案总表!$B$1:$CL$49,8,FALSE)</f>
        <v>43250</v>
      </c>
      <c r="D4" s="27" t="s">
        <v>36</v>
      </c>
      <c r="E4" s="26">
        <f>VLOOKUP($C$1,详尽档案总表!$B$1:$CL$49,9,FALSE)</f>
        <v>0</v>
      </c>
      <c r="F4" s="26" t="s">
        <v>602</v>
      </c>
      <c r="G4" s="26">
        <f>VLOOKUP($C$1,详尽档案总表!$B$1:$CL$49,10,FALSE)</f>
        <v>0</v>
      </c>
    </row>
    <row r="5" spans="1:13" ht="17.25" customHeight="1">
      <c r="A5" s="53"/>
      <c r="B5" s="26" t="s">
        <v>5</v>
      </c>
      <c r="C5" s="26">
        <f>VLOOKUP($C$1,详尽档案总表!$B$1:$CL$49,11,FALSE)</f>
        <v>13211649928</v>
      </c>
      <c r="D5" s="26" t="s">
        <v>603</v>
      </c>
      <c r="E5" s="26">
        <f>VLOOKUP($C$1,详尽档案总表!$B$1:$CL$49,12,FALSE)</f>
        <v>0</v>
      </c>
      <c r="F5" s="26" t="s">
        <v>604</v>
      </c>
      <c r="G5" s="26">
        <f>VLOOKUP($C$1,详尽档案总表!$B$1:$CL$49,13,FALSE)</f>
        <v>0</v>
      </c>
    </row>
    <row r="6" spans="1:13" ht="17.25" customHeight="1">
      <c r="A6" s="53"/>
      <c r="B6" s="27" t="s">
        <v>4</v>
      </c>
      <c r="C6" s="50" t="str">
        <f>VLOOKUP($C$1,详尽档案总表!$B$1:$CL$49,16,FALSE)</f>
        <v>530181197907023921</v>
      </c>
      <c r="D6" s="27" t="s">
        <v>205</v>
      </c>
      <c r="E6" s="49" t="str">
        <f>VLOOKUP($C$1,详尽档案总表!$B$1:$CL$49,17,FALSE)</f>
        <v>云南省昆安宁市连然镇建设路小南新区附8幢1单元9号</v>
      </c>
      <c r="F6" s="42"/>
      <c r="G6" s="43"/>
    </row>
    <row r="7" spans="1:13" ht="17.25" customHeight="1">
      <c r="A7" s="53"/>
      <c r="B7" s="26" t="s">
        <v>12</v>
      </c>
      <c r="C7" s="26">
        <f>VLOOKUP($C$1,详尽档案总表!$B$1:$CL$49,18,FALSE)</f>
        <v>0</v>
      </c>
      <c r="D7" s="27" t="s">
        <v>605</v>
      </c>
      <c r="E7" s="26" t="str">
        <f>VLOOKUP($C$1,详尽档案总表!$B$1:$CL$49,19,FALSE)</f>
        <v>学府路金鼎家园G-3-301</v>
      </c>
      <c r="F7" s="42"/>
      <c r="G7" s="43"/>
    </row>
    <row r="8" spans="1:13" ht="17.25" customHeight="1">
      <c r="A8" s="53"/>
      <c r="B8" s="26" t="s">
        <v>7</v>
      </c>
      <c r="C8" s="26">
        <f>VLOOKUP($C$1,详尽档案总表!$B$1:$CL$49,20,FALSE)</f>
        <v>0</v>
      </c>
      <c r="D8" s="27" t="s">
        <v>606</v>
      </c>
      <c r="E8" s="26" t="str">
        <f>VLOOKUP($C$1,详尽档案总表!$B$1:$CL$49,21,FALSE)</f>
        <v>行政</v>
      </c>
      <c r="F8" s="27" t="s">
        <v>9</v>
      </c>
      <c r="G8" s="26">
        <f>VLOOKUP($C$1,详尽档案总表!$B$1:$CL$49,22,FALSE)</f>
        <v>0</v>
      </c>
    </row>
    <row r="9" spans="1:13" ht="17.25" customHeight="1">
      <c r="A9" s="53"/>
      <c r="B9" s="26" t="s">
        <v>8</v>
      </c>
      <c r="C9" s="26" t="str">
        <f>VLOOKUP($C$1,详尽档案总表!$B$1:$CL$49,23,FALSE)</f>
        <v>汉</v>
      </c>
      <c r="D9" s="27" t="s">
        <v>10</v>
      </c>
      <c r="E9" s="26">
        <f>VLOOKUP($C$1,详尽档案总表!$B$1:$CL$49,24,FALSE)</f>
        <v>0</v>
      </c>
      <c r="F9" s="26" t="s">
        <v>11</v>
      </c>
      <c r="G9" s="26">
        <f>VLOOKUP($C$1,详尽档案总表!$B$1:$CL$49,25,FALSE)</f>
        <v>0</v>
      </c>
    </row>
    <row r="10" spans="1:13" ht="17.25" customHeight="1">
      <c r="A10" s="53"/>
      <c r="B10" s="26" t="s">
        <v>13</v>
      </c>
      <c r="C10" s="26">
        <f>VLOOKUP($C$1,详尽档案总表!$B$1:$CL$49,26,FALSE)</f>
        <v>0</v>
      </c>
      <c r="D10" s="26" t="s">
        <v>14</v>
      </c>
      <c r="E10" s="26">
        <f>VLOOKUP($C$1,详尽档案总表!$B$1:$CL$49,27,FALSE)</f>
        <v>0</v>
      </c>
      <c r="F10" s="26" t="s">
        <v>607</v>
      </c>
      <c r="G10" s="26">
        <f>VLOOKUP($C$1,详尽档案总表!$B$1:$CL$49,28,FALSE)</f>
        <v>0</v>
      </c>
    </row>
    <row r="11" spans="1:13" ht="17.25" customHeight="1">
      <c r="A11" s="53"/>
      <c r="B11" s="26" t="s">
        <v>608</v>
      </c>
      <c r="C11" s="26">
        <f>VLOOKUP($C$1,详尽档案总表!$B$1:$CL$49,29,FALSE)</f>
        <v>0</v>
      </c>
      <c r="D11" s="26" t="s">
        <v>609</v>
      </c>
      <c r="E11" s="26">
        <f>VLOOKUP($C$1,详尽档案总表!$B$1:$CL$49,30,FALSE)</f>
        <v>0</v>
      </c>
      <c r="F11" s="26" t="s">
        <v>610</v>
      </c>
      <c r="G11" s="26">
        <f>VLOOKUP($C$1,详尽档案总表!$B$1:$CL$49,31,FALSE)</f>
        <v>0</v>
      </c>
    </row>
    <row r="12" spans="1:13" ht="17.25" customHeight="1">
      <c r="A12" s="53"/>
      <c r="B12" s="26" t="s">
        <v>611</v>
      </c>
      <c r="C12" s="26">
        <f>VLOOKUP($C$1,详尽档案总表!$B$1:$CL$49,32,FALSE)</f>
        <v>0</v>
      </c>
      <c r="D12" s="26" t="s">
        <v>612</v>
      </c>
      <c r="E12" s="26">
        <f>VLOOKUP($C$1,详尽档案总表!$B$1:$CL$49,33,FALSE)</f>
        <v>0</v>
      </c>
      <c r="F12" s="26" t="s">
        <v>613</v>
      </c>
      <c r="G12" s="26">
        <f>VLOOKUP($C$1,详尽档案总表!$B$1:$CL$49,34,FALSE)</f>
        <v>0</v>
      </c>
    </row>
    <row r="13" spans="1:13" ht="17.25" customHeight="1">
      <c r="A13" s="53"/>
      <c r="B13" s="26" t="s">
        <v>15</v>
      </c>
      <c r="C13" s="39">
        <f>VLOOKUP($C$1,详尽档案总表!$B$1:$CL$49,35,FALSE)</f>
        <v>0</v>
      </c>
      <c r="D13" s="40"/>
      <c r="E13" s="40"/>
      <c r="F13" s="40"/>
      <c r="G13" s="34"/>
    </row>
    <row r="14" spans="1:13" ht="17.25" customHeight="1">
      <c r="A14" s="53"/>
      <c r="B14" s="26" t="s">
        <v>19</v>
      </c>
      <c r="C14" s="26">
        <f>VLOOKUP($C$1,详尽档案总表!$B$1:$CL$49,36,FALSE)</f>
        <v>0</v>
      </c>
      <c r="D14" s="26" t="s">
        <v>18</v>
      </c>
      <c r="E14" s="26">
        <f>VLOOKUP($C$1,详尽档案总表!$B$1:$CL$49,37,FALSE)</f>
        <v>0</v>
      </c>
      <c r="F14" s="26" t="s">
        <v>17</v>
      </c>
      <c r="G14" s="26">
        <f>VLOOKUP($C$1,详尽档案总表!$B$1:$CL$49,38,FALSE)</f>
        <v>0</v>
      </c>
    </row>
    <row r="15" spans="1:13" ht="17.25" customHeight="1">
      <c r="A15" s="53"/>
      <c r="B15" s="26" t="s">
        <v>20</v>
      </c>
      <c r="C15" s="26">
        <f>VLOOKUP($C$1,详尽档案总表!$B$1:$CL$49,39,FALSE)</f>
        <v>0</v>
      </c>
      <c r="D15" s="26" t="s">
        <v>80</v>
      </c>
      <c r="E15" s="26" t="str">
        <f>VLOOKUP($C$1,详尽档案总表!$B$1:$CL$49,40,FALSE)</f>
        <v>2018.6.7</v>
      </c>
      <c r="F15" s="26" t="s">
        <v>25</v>
      </c>
      <c r="G15" s="26">
        <f>VLOOKUP($C$1,详尽档案总表!$B$1:$CL$49,41,FALSE)</f>
        <v>0</v>
      </c>
    </row>
    <row r="16" spans="1:13" ht="17.25" customHeight="1">
      <c r="A16" s="53"/>
      <c r="B16" s="26" t="s">
        <v>206</v>
      </c>
      <c r="C16" s="26" t="str">
        <f>VLOOKUP($C$1,详尽档案总表!$B$1:$CL$49,42,FALSE)</f>
        <v>二胎</v>
      </c>
      <c r="D16" s="26" t="s">
        <v>207</v>
      </c>
      <c r="E16" s="26">
        <f>VLOOKUP($C$1,详尽档案总表!$B$1:$CL$49,43,FALSE)</f>
        <v>38</v>
      </c>
      <c r="F16" s="26" t="s">
        <v>22</v>
      </c>
      <c r="G16" s="26">
        <f>VLOOKUP($C$1,详尽档案总表!$B$1:$CL$49,44,FALSE)</f>
        <v>0</v>
      </c>
      <c r="M16" s="41"/>
    </row>
    <row r="17" spans="1:7" ht="17.25" customHeight="1">
      <c r="A17" s="53"/>
      <c r="B17" s="26" t="s">
        <v>21</v>
      </c>
      <c r="C17" s="26" t="str">
        <f>VLOOKUP($C$1,详尽档案总表!$B$1:$CL$49,45,FALSE)</f>
        <v>市妇幼</v>
      </c>
      <c r="D17" s="26" t="s">
        <v>24</v>
      </c>
      <c r="E17" s="26" t="str">
        <f>VLOOKUP($C$1,详尽档案总表!$B$1:$CL$49,46,FALSE)</f>
        <v>顺产</v>
      </c>
      <c r="F17" s="26" t="s">
        <v>16</v>
      </c>
      <c r="G17" s="26">
        <f>VLOOKUP($C$1,详尽档案总表!$B$1:$CL$49,47,FALSE)</f>
        <v>0</v>
      </c>
    </row>
    <row r="18" spans="1:7" ht="17.25" customHeight="1">
      <c r="A18" s="53"/>
      <c r="B18" s="26" t="s">
        <v>23</v>
      </c>
      <c r="C18" s="39">
        <f>VLOOKUP($C$1,详尽档案总表!$B$1:$CL$49,48,FALSE)</f>
        <v>0</v>
      </c>
      <c r="D18" s="37"/>
      <c r="E18" s="37"/>
      <c r="F18" s="37"/>
      <c r="G18" s="38"/>
    </row>
    <row r="19" spans="1:7" ht="17.25" customHeight="1">
      <c r="A19" s="53"/>
      <c r="B19" s="26" t="s">
        <v>614</v>
      </c>
      <c r="C19" s="26">
        <f>VLOOKUP($C$1,详尽档案总表!$B$1:$CL$49,49,FALSE)</f>
        <v>0</v>
      </c>
      <c r="D19" s="29" t="s">
        <v>615</v>
      </c>
      <c r="E19" s="26">
        <f>VLOOKUP($C$1,详尽档案总表!$B$1:$CL$49,50,FALSE)</f>
        <v>0</v>
      </c>
      <c r="F19" s="29" t="s">
        <v>616</v>
      </c>
      <c r="G19" s="26">
        <f>VLOOKUP($C$1,详尽档案总表!$B$1:$CL$49,51,FALSE)</f>
        <v>0</v>
      </c>
    </row>
    <row r="20" spans="1:7" ht="17.25" customHeight="1">
      <c r="A20" s="53"/>
      <c r="B20" s="26" t="s">
        <v>617</v>
      </c>
      <c r="C20" s="39">
        <f>VLOOKUP($C$1,详尽档案总表!$B$1:$CL$49,52,FALSE)</f>
        <v>0</v>
      </c>
      <c r="D20" s="37"/>
      <c r="E20" s="37"/>
      <c r="F20" s="37"/>
      <c r="G20" s="38"/>
    </row>
    <row r="21" spans="1:7" ht="17.25" customHeight="1">
      <c r="A21" s="53"/>
      <c r="B21" s="27" t="s">
        <v>618</v>
      </c>
      <c r="C21" s="39">
        <f>VLOOKUP($C$1,详尽档案总表!$B$1:$CL$49,53,FALSE)</f>
        <v>0</v>
      </c>
      <c r="D21" s="42"/>
      <c r="E21" s="42"/>
      <c r="F21" s="42"/>
      <c r="G21" s="43"/>
    </row>
    <row r="22" spans="1:7" ht="17.25" customHeight="1">
      <c r="A22" s="53"/>
      <c r="B22" s="27" t="s">
        <v>619</v>
      </c>
      <c r="C22" s="39">
        <f>VLOOKUP($C$1,详尽档案总表!$B$1:$CL$49,54,FALSE)</f>
        <v>0</v>
      </c>
      <c r="D22" s="42"/>
      <c r="E22" s="42"/>
      <c r="F22" s="42"/>
      <c r="G22" s="43"/>
    </row>
    <row r="23" spans="1:7" ht="17.25" customHeight="1">
      <c r="A23" s="51" t="s">
        <v>620</v>
      </c>
      <c r="B23" s="30" t="s">
        <v>208</v>
      </c>
      <c r="C23" s="44">
        <f>VLOOKUP($C$1,详尽档案总表!$B$1:$CL$49,55,FALSE)</f>
        <v>43248</v>
      </c>
      <c r="D23" s="31" t="s">
        <v>209</v>
      </c>
      <c r="E23" s="31">
        <f>VLOOKUP($C$1,详尽档案总表!$B$1:$CL$49,56,FALSE)</f>
        <v>0</v>
      </c>
      <c r="F23" s="31" t="s">
        <v>210</v>
      </c>
      <c r="G23" s="31">
        <f>VLOOKUP($C$1,详尽档案总表!$B$1:$CL$49,57,FALSE)</f>
        <v>0</v>
      </c>
    </row>
    <row r="24" spans="1:7" ht="17.25" customHeight="1">
      <c r="A24" s="52"/>
      <c r="B24" s="31" t="s">
        <v>26</v>
      </c>
      <c r="C24" s="31">
        <f>VLOOKUP($C$1,详尽档案总表!$B$1:$CL$49,58,FALSE)</f>
        <v>0</v>
      </c>
      <c r="D24" s="31" t="s">
        <v>211</v>
      </c>
      <c r="E24" s="31">
        <f>VLOOKUP($C$1,详尽档案总表!$B$1:$CL$49,59,FALSE)</f>
        <v>0</v>
      </c>
      <c r="F24" s="31" t="s">
        <v>27</v>
      </c>
      <c r="G24" s="31" t="str">
        <f>VLOOKUP($C$1,详尽档案总表!$B$1:$CL$49,60,FALSE)</f>
        <v>男</v>
      </c>
    </row>
    <row r="25" spans="1:7" ht="17.25" customHeight="1">
      <c r="A25" s="52"/>
      <c r="B25" s="31" t="s">
        <v>28</v>
      </c>
      <c r="C25" s="31">
        <f>VLOOKUP($C$1,详尽档案总表!$B$1:$CL$49,61,FALSE)</f>
        <v>0</v>
      </c>
      <c r="D25" s="31" t="s">
        <v>29</v>
      </c>
      <c r="E25" s="31">
        <f>VLOOKUP($C$1,详尽档案总表!$B$1:$CL$49,62,FALSE)</f>
        <v>0</v>
      </c>
      <c r="F25" s="31" t="s">
        <v>32</v>
      </c>
      <c r="G25" s="31">
        <f>VLOOKUP($C$1,详尽档案总表!$B$1:$CL$49,63,FALSE)</f>
        <v>0</v>
      </c>
    </row>
    <row r="26" spans="1:7" ht="17.25" customHeight="1">
      <c r="A26" s="52"/>
      <c r="B26" s="31" t="s">
        <v>30</v>
      </c>
      <c r="C26" s="31">
        <f>VLOOKUP($C$1,详尽档案总表!$B$1:$CL$49,64,FALSE)</f>
        <v>0</v>
      </c>
      <c r="D26" s="31" t="s">
        <v>31</v>
      </c>
      <c r="E26" s="31">
        <f>VLOOKUP($C$1,详尽档案总表!$B$1:$CL$49,65,FALSE)</f>
        <v>0</v>
      </c>
      <c r="F26" s="31" t="s">
        <v>34</v>
      </c>
      <c r="G26" s="31">
        <f>VLOOKUP($C$1,详尽档案总表!$B$1:$CL$49,66,FALSE)</f>
        <v>0</v>
      </c>
    </row>
    <row r="27" spans="1:7" ht="17.25" customHeight="1">
      <c r="A27" s="52"/>
      <c r="B27" s="31" t="s">
        <v>33</v>
      </c>
      <c r="C27" s="31">
        <f>VLOOKUP($C$1,详尽档案总表!$B$1:$CL$49,67,FALSE)</f>
        <v>0</v>
      </c>
      <c r="D27" s="45"/>
      <c r="E27" s="45"/>
      <c r="F27" s="45"/>
      <c r="G27" s="46"/>
    </row>
    <row r="28" spans="1:7" ht="17.25" customHeight="1">
      <c r="A28" s="53" t="s">
        <v>621</v>
      </c>
      <c r="B28" s="32" t="s">
        <v>622</v>
      </c>
      <c r="C28" s="26">
        <f>VLOOKUP($C$1,详尽档案总表!$B$1:$CL$49,68,FALSE)</f>
        <v>0</v>
      </c>
      <c r="D28" s="29" t="s">
        <v>623</v>
      </c>
      <c r="E28" s="26">
        <f>VLOOKUP($C$1,详尽档案总表!$B$1:$CL$49,69,FALSE)</f>
        <v>0</v>
      </c>
      <c r="F28" s="29" t="s">
        <v>624</v>
      </c>
      <c r="G28" s="26" t="str">
        <f>VLOOKUP($C$1,详尽档案总表!$B$1:$CL$49,70,FALSE)</f>
        <v>二胎</v>
      </c>
    </row>
    <row r="29" spans="1:7" ht="17.25" customHeight="1">
      <c r="A29" s="53"/>
      <c r="B29" s="33" t="s">
        <v>625</v>
      </c>
      <c r="C29" s="26">
        <f>VLOOKUP($C$1,详尽档案总表!$B$1:$CL$49,71,FALSE)</f>
        <v>0</v>
      </c>
      <c r="D29" s="29" t="s">
        <v>626</v>
      </c>
      <c r="E29" s="26">
        <f>VLOOKUP($C$1,详尽档案总表!$B$1:$CL$49,72,FALSE)</f>
        <v>0</v>
      </c>
      <c r="F29" s="29" t="s">
        <v>627</v>
      </c>
      <c r="G29" s="26">
        <f>VLOOKUP($C$1,详尽档案总表!$B$1:$CL$49,72,FALSE)</f>
        <v>0</v>
      </c>
    </row>
    <row r="30" spans="1:7" ht="17.25" customHeight="1">
      <c r="A30" s="53"/>
      <c r="B30" s="34" t="s">
        <v>628</v>
      </c>
      <c r="C30" s="26" t="str">
        <f>VLOOKUP($C$1,详尽档案总表!$B$1:$CL$49,74,FALSE)</f>
        <v>马潇</v>
      </c>
      <c r="D30" s="26" t="s">
        <v>629</v>
      </c>
      <c r="E30" s="26" t="str">
        <f>VLOOKUP($C$1,详尽档案总表!$B$1:$CL$49,75,FALSE)</f>
        <v>丈夫</v>
      </c>
      <c r="F30" s="26" t="s">
        <v>5</v>
      </c>
      <c r="G30" s="26">
        <f>VLOOKUP($C$1,详尽档案总表!$B$1:$CL$49,76,FALSE)</f>
        <v>13759440189</v>
      </c>
    </row>
    <row r="31" spans="1:7" ht="17.25" customHeight="1">
      <c r="A31" s="53"/>
      <c r="B31" s="34" t="s">
        <v>4</v>
      </c>
      <c r="C31" s="26">
        <f>VLOOKUP($C$1,详尽档案总表!$B$1:$CL$49,77,FALSE)</f>
        <v>0</v>
      </c>
      <c r="D31" s="26" t="s">
        <v>630</v>
      </c>
      <c r="E31" s="26">
        <f>VLOOKUP($C$1,详尽档案总表!$B$1:$CL$49,78,FALSE)</f>
        <v>0</v>
      </c>
      <c r="F31" s="26" t="s">
        <v>631</v>
      </c>
      <c r="G31" s="26">
        <f>VLOOKUP($C$1,详尽档案总表!$B$1:$CL$49,79,FALSE)</f>
        <v>0</v>
      </c>
    </row>
    <row r="32" spans="1:7" ht="17.25" customHeight="1">
      <c r="A32" s="53"/>
      <c r="B32" s="34" t="s">
        <v>632</v>
      </c>
      <c r="C32" s="26" t="str">
        <f>VLOOKUP($C$1,详尽档案总表!$B$1:$CL$49,80,FALSE)</f>
        <v>李</v>
      </c>
      <c r="D32" s="26" t="s">
        <v>633</v>
      </c>
      <c r="E32" s="26">
        <f>VLOOKUP($C$1,详尽档案总表!$B$1:$CL$49,81,FALSE)</f>
        <v>0</v>
      </c>
      <c r="F32" s="26" t="s">
        <v>5</v>
      </c>
      <c r="G32" s="26">
        <f>VLOOKUP($C$1,详尽档案总表!$B$1:$CL$49,82,FALSE)</f>
        <v>13658858236</v>
      </c>
    </row>
    <row r="33" spans="1:7" ht="17.25" customHeight="1">
      <c r="A33" s="53"/>
      <c r="B33" s="34" t="s">
        <v>634</v>
      </c>
      <c r="C33" s="26">
        <f>VLOOKUP($C$1,详尽档案总表!$B$1:$CL$49,83,FALSE)</f>
        <v>0</v>
      </c>
      <c r="D33" s="26" t="s">
        <v>635</v>
      </c>
      <c r="E33" s="26">
        <f>VLOOKUP($C$1,详尽档案总表!$B$1:$CL$49,84,FALSE)</f>
        <v>0</v>
      </c>
      <c r="F33" s="26" t="s">
        <v>5</v>
      </c>
      <c r="G33" s="26">
        <f>VLOOKUP($C$1,详尽档案总表!$B$1:$CL$49,85,FALSE)</f>
        <v>0</v>
      </c>
    </row>
    <row r="34" spans="1:7" ht="17.25" customHeight="1">
      <c r="A34" s="52" t="s">
        <v>636</v>
      </c>
      <c r="B34" s="35" t="s">
        <v>637</v>
      </c>
      <c r="C34" s="47">
        <f>VLOOKUP($C$1,详尽档案总表!$B$1:$CL$49,86,FALSE)</f>
        <v>0</v>
      </c>
      <c r="D34" s="48"/>
      <c r="E34" s="48"/>
      <c r="F34" s="48"/>
      <c r="G34" s="31"/>
    </row>
    <row r="35" spans="1:7" ht="17.25" customHeight="1">
      <c r="A35" s="52"/>
      <c r="B35" s="31" t="s">
        <v>638</v>
      </c>
      <c r="C35" s="31">
        <f>VLOOKUP($C$1,详尽档案总表!$B$1:$CL$49,87,FALSE)</f>
        <v>0</v>
      </c>
      <c r="D35" s="31" t="s">
        <v>639</v>
      </c>
      <c r="E35" s="31">
        <f>VLOOKUP($C$1,详尽档案总表!$B$1:$CL$49,88,FALSE)</f>
        <v>0</v>
      </c>
      <c r="F35" s="31" t="s">
        <v>640</v>
      </c>
      <c r="G35" s="31">
        <f>VLOOKUP($C$1,详尽档案总表!$B$1:$CL$49,89,FALSE)</f>
        <v>0</v>
      </c>
    </row>
  </sheetData>
  <mergeCells count="4">
    <mergeCell ref="A1:A22"/>
    <mergeCell ref="A23:A27"/>
    <mergeCell ref="A28:A33"/>
    <mergeCell ref="A34:A35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E22" sqref="E22"/>
    </sheetView>
  </sheetViews>
  <sheetFormatPr defaultRowHeight="17.25" customHeight="1"/>
  <cols>
    <col min="1" max="1" width="5" style="36" customWidth="1"/>
    <col min="2" max="2" width="15" style="2" customWidth="1"/>
    <col min="3" max="3" width="15.5" style="2" bestFit="1" customWidth="1"/>
    <col min="4" max="7" width="15.625" style="2" customWidth="1"/>
    <col min="8" max="8" width="5.25" style="2" bestFit="1" customWidth="1"/>
    <col min="9" max="11" width="9" style="2"/>
    <col min="12" max="12" width="13" style="2" bestFit="1" customWidth="1"/>
    <col min="13" max="13" width="9" style="2"/>
    <col min="14" max="15" width="11" style="2" bestFit="1" customWidth="1"/>
    <col min="16" max="16" width="7.5" style="2" bestFit="1" customWidth="1"/>
    <col min="17" max="17" width="9" style="2"/>
    <col min="18" max="18" width="7.5" style="2" bestFit="1" customWidth="1"/>
    <col min="19" max="20" width="5.25" style="2" bestFit="1" customWidth="1"/>
    <col min="21" max="22" width="9" style="2"/>
    <col min="23" max="23" width="5.25" style="2" bestFit="1" customWidth="1"/>
    <col min="24" max="31" width="9" style="2"/>
    <col min="32" max="32" width="13" style="2" bestFit="1" customWidth="1"/>
    <col min="33" max="33" width="9" style="2"/>
    <col min="34" max="34" width="11" style="2" bestFit="1" customWidth="1"/>
    <col min="35" max="37" width="7.125" style="2" bestFit="1" customWidth="1"/>
    <col min="38" max="39" width="5.25" style="2" bestFit="1" customWidth="1"/>
    <col min="40" max="44" width="9" style="2"/>
    <col min="45" max="47" width="13" style="2" bestFit="1" customWidth="1"/>
    <col min="48" max="48" width="9" style="2"/>
    <col min="49" max="49" width="7.125" style="2" bestFit="1" customWidth="1"/>
    <col min="50" max="50" width="13" style="2" bestFit="1" customWidth="1"/>
    <col min="51" max="51" width="9" style="2"/>
    <col min="52" max="52" width="7.125" style="2" bestFit="1" customWidth="1"/>
    <col min="53" max="55" width="9" style="2"/>
    <col min="56" max="56" width="16.375" style="2" bestFit="1" customWidth="1"/>
    <col min="57" max="57" width="17.5" style="2" bestFit="1" customWidth="1"/>
    <col min="58" max="59" width="16.375" style="2" bestFit="1" customWidth="1"/>
    <col min="60" max="60" width="9" style="2"/>
    <col min="61" max="61" width="13" style="2" bestFit="1" customWidth="1"/>
    <col min="62" max="64" width="9" style="2"/>
    <col min="65" max="65" width="17.25" style="2" bestFit="1" customWidth="1"/>
    <col min="66" max="68" width="9" style="2"/>
    <col min="69" max="69" width="13" style="2" bestFit="1" customWidth="1"/>
    <col min="70" max="70" width="9" style="2"/>
    <col min="71" max="71" width="10" style="2" bestFit="1" customWidth="1"/>
    <col min="72" max="72" width="9" style="2"/>
    <col min="73" max="73" width="11" style="2" bestFit="1" customWidth="1"/>
    <col min="74" max="74" width="9" style="2"/>
    <col min="75" max="75" width="10" style="2" bestFit="1" customWidth="1"/>
    <col min="76" max="77" width="9" style="2"/>
    <col min="78" max="78" width="10" style="2" bestFit="1" customWidth="1"/>
    <col min="79" max="80" width="9" style="2"/>
    <col min="81" max="82" width="11" style="2" bestFit="1" customWidth="1"/>
    <col min="83" max="16384" width="9" style="2"/>
  </cols>
  <sheetData>
    <row r="1" spans="1:13" ht="17.25" customHeight="1">
      <c r="A1" s="53" t="s">
        <v>597</v>
      </c>
      <c r="B1" s="26" t="s">
        <v>1</v>
      </c>
      <c r="C1" s="39">
        <v>201805006</v>
      </c>
      <c r="D1" s="40"/>
      <c r="E1" s="40"/>
      <c r="F1" s="40"/>
      <c r="G1" s="34"/>
    </row>
    <row r="2" spans="1:13" s="28" customFormat="1" ht="17.25" customHeight="1">
      <c r="A2" s="53"/>
      <c r="B2" s="26" t="s">
        <v>2</v>
      </c>
      <c r="C2" s="26" t="str">
        <f>VLOOKUP($C$1,详尽档案总表!$B$1:$CL$49,2,FALSE)</f>
        <v>叶小娇</v>
      </c>
      <c r="D2" s="26" t="s">
        <v>598</v>
      </c>
      <c r="E2" s="26">
        <f>VLOOKUP($C$1,详尽档案总表!$B$1:$CL$49,3,FALSE)</f>
        <v>722</v>
      </c>
      <c r="F2" s="27" t="s">
        <v>599</v>
      </c>
      <c r="G2" s="26">
        <f>VLOOKUP($C$1,详尽档案总表!$B$1:$CL$49,4,FALSE)</f>
        <v>2017122605</v>
      </c>
    </row>
    <row r="3" spans="1:13" ht="17.25" customHeight="1">
      <c r="A3" s="53"/>
      <c r="B3" s="26" t="s">
        <v>3</v>
      </c>
      <c r="C3" s="26">
        <f>VLOOKUP($C$1,详尽档案总表!$B$1:$CL$49,5,FALSE)</f>
        <v>32800</v>
      </c>
      <c r="D3" s="27" t="s">
        <v>600</v>
      </c>
      <c r="E3" s="26" t="str">
        <f>VLOOKUP($C$1,详尽档案总表!$B$1:$CL$49,6,FALSE)</f>
        <v>舒心房</v>
      </c>
      <c r="F3" s="26" t="s">
        <v>601</v>
      </c>
      <c r="G3" s="26">
        <f>VLOOKUP($C$1,详尽档案总表!$B$1:$CL$49,7,FALSE)</f>
        <v>26</v>
      </c>
    </row>
    <row r="4" spans="1:13" ht="17.25" customHeight="1">
      <c r="A4" s="53"/>
      <c r="B4" s="27" t="s">
        <v>35</v>
      </c>
      <c r="C4" s="26">
        <f>VLOOKUP($C$1,详尽档案总表!$B$1:$CL$49,8,FALSE)</f>
        <v>43245</v>
      </c>
      <c r="D4" s="27" t="s">
        <v>36</v>
      </c>
      <c r="E4" s="26">
        <f>VLOOKUP($C$1,详尽档案总表!$B$1:$CL$49,9,FALSE)</f>
        <v>0</v>
      </c>
      <c r="F4" s="26" t="s">
        <v>602</v>
      </c>
      <c r="G4" s="26">
        <f>VLOOKUP($C$1,详尽档案总表!$B$1:$CL$49,10,FALSE)</f>
        <v>0</v>
      </c>
    </row>
    <row r="5" spans="1:13" ht="17.25" customHeight="1">
      <c r="A5" s="53"/>
      <c r="B5" s="26" t="s">
        <v>5</v>
      </c>
      <c r="C5" s="26">
        <f>VLOOKUP($C$1,详尽档案总表!$B$1:$CL$49,11,FALSE)</f>
        <v>15912469963</v>
      </c>
      <c r="D5" s="26" t="s">
        <v>603</v>
      </c>
      <c r="E5" s="26">
        <f>VLOOKUP($C$1,详尽档案总表!$B$1:$CL$49,12,FALSE)</f>
        <v>0</v>
      </c>
      <c r="F5" s="26" t="s">
        <v>604</v>
      </c>
      <c r="G5" s="26">
        <f>VLOOKUP($C$1,详尽档案总表!$B$1:$CL$49,13,FALSE)</f>
        <v>0</v>
      </c>
    </row>
    <row r="6" spans="1:13" ht="17.25" customHeight="1">
      <c r="A6" s="53"/>
      <c r="B6" s="27" t="s">
        <v>4</v>
      </c>
      <c r="C6" s="50" t="str">
        <f>VLOOKUP($C$1,详尽档案总表!$B$1:$CL$49,16,FALSE)</f>
        <v>53292419910306002x</v>
      </c>
      <c r="D6" s="27" t="s">
        <v>205</v>
      </c>
      <c r="E6" s="49" t="str">
        <f>VLOOKUP($C$1,详尽档案总表!$B$1:$CL$49,17,FALSE)</f>
        <v>云南省昆明市五华区莲花池正街144号欣安花园3栋2单元401室</v>
      </c>
      <c r="F6" s="42"/>
      <c r="G6" s="43"/>
    </row>
    <row r="7" spans="1:13" ht="17.25" customHeight="1">
      <c r="A7" s="53"/>
      <c r="B7" s="26" t="s">
        <v>12</v>
      </c>
      <c r="C7" s="26">
        <f>VLOOKUP($C$1,详尽档案总表!$B$1:$CL$49,18,FALSE)</f>
        <v>0</v>
      </c>
      <c r="D7" s="27" t="s">
        <v>605</v>
      </c>
      <c r="E7" s="26" t="str">
        <f>VLOOKUP($C$1,详尽档案总表!$B$1:$CL$49,19,FALSE)</f>
        <v>昆明莲花正街莲峰苑</v>
      </c>
      <c r="F7" s="42"/>
      <c r="G7" s="43"/>
    </row>
    <row r="8" spans="1:13" ht="17.25" customHeight="1">
      <c r="A8" s="53"/>
      <c r="B8" s="26" t="s">
        <v>7</v>
      </c>
      <c r="C8" s="26">
        <f>VLOOKUP($C$1,详尽档案总表!$B$1:$CL$49,20,FALSE)</f>
        <v>0</v>
      </c>
      <c r="D8" s="27" t="s">
        <v>606</v>
      </c>
      <c r="E8" s="26" t="str">
        <f>VLOOKUP($C$1,详尽档案总表!$B$1:$CL$49,21,FALSE)</f>
        <v>大学教师</v>
      </c>
      <c r="F8" s="27" t="s">
        <v>9</v>
      </c>
      <c r="G8" s="26">
        <f>VLOOKUP($C$1,详尽档案总表!$B$1:$CL$49,22,FALSE)</f>
        <v>0</v>
      </c>
    </row>
    <row r="9" spans="1:13" ht="17.25" customHeight="1">
      <c r="A9" s="53"/>
      <c r="B9" s="26" t="s">
        <v>8</v>
      </c>
      <c r="C9" s="26" t="str">
        <f>VLOOKUP($C$1,详尽档案总表!$B$1:$CL$49,23,FALSE)</f>
        <v>白</v>
      </c>
      <c r="D9" s="27" t="s">
        <v>10</v>
      </c>
      <c r="E9" s="26">
        <f>VLOOKUP($C$1,详尽档案总表!$B$1:$CL$49,24,FALSE)</f>
        <v>0</v>
      </c>
      <c r="F9" s="26" t="s">
        <v>11</v>
      </c>
      <c r="G9" s="26">
        <f>VLOOKUP($C$1,详尽档案总表!$B$1:$CL$49,25,FALSE)</f>
        <v>0</v>
      </c>
    </row>
    <row r="10" spans="1:13" ht="17.25" customHeight="1">
      <c r="A10" s="53"/>
      <c r="B10" s="26" t="s">
        <v>13</v>
      </c>
      <c r="C10" s="26">
        <f>VLOOKUP($C$1,详尽档案总表!$B$1:$CL$49,26,FALSE)</f>
        <v>0</v>
      </c>
      <c r="D10" s="26" t="s">
        <v>14</v>
      </c>
      <c r="E10" s="26">
        <f>VLOOKUP($C$1,详尽档案总表!$B$1:$CL$49,27,FALSE)</f>
        <v>0</v>
      </c>
      <c r="F10" s="26" t="s">
        <v>607</v>
      </c>
      <c r="G10" s="26">
        <f>VLOOKUP($C$1,详尽档案总表!$B$1:$CL$49,28,FALSE)</f>
        <v>0</v>
      </c>
    </row>
    <row r="11" spans="1:13" ht="17.25" customHeight="1">
      <c r="A11" s="53"/>
      <c r="B11" s="26" t="s">
        <v>608</v>
      </c>
      <c r="C11" s="26">
        <f>VLOOKUP($C$1,详尽档案总表!$B$1:$CL$49,29,FALSE)</f>
        <v>0</v>
      </c>
      <c r="D11" s="26" t="s">
        <v>609</v>
      </c>
      <c r="E11" s="26">
        <f>VLOOKUP($C$1,详尽档案总表!$B$1:$CL$49,30,FALSE)</f>
        <v>0</v>
      </c>
      <c r="F11" s="26" t="s">
        <v>610</v>
      </c>
      <c r="G11" s="26">
        <f>VLOOKUP($C$1,详尽档案总表!$B$1:$CL$49,31,FALSE)</f>
        <v>0</v>
      </c>
    </row>
    <row r="12" spans="1:13" ht="17.25" customHeight="1">
      <c r="A12" s="53"/>
      <c r="B12" s="26" t="s">
        <v>611</v>
      </c>
      <c r="C12" s="26">
        <f>VLOOKUP($C$1,详尽档案总表!$B$1:$CL$49,32,FALSE)</f>
        <v>0</v>
      </c>
      <c r="D12" s="26" t="s">
        <v>612</v>
      </c>
      <c r="E12" s="26">
        <f>VLOOKUP($C$1,详尽档案总表!$B$1:$CL$49,33,FALSE)</f>
        <v>0</v>
      </c>
      <c r="F12" s="26" t="s">
        <v>613</v>
      </c>
      <c r="G12" s="26">
        <f>VLOOKUP($C$1,详尽档案总表!$B$1:$CL$49,34,FALSE)</f>
        <v>0</v>
      </c>
    </row>
    <row r="13" spans="1:13" ht="17.25" customHeight="1">
      <c r="A13" s="53"/>
      <c r="B13" s="26" t="s">
        <v>15</v>
      </c>
      <c r="C13" s="39" t="str">
        <f>VLOOKUP($C$1,详尽档案总表!$B$1:$CL$49,35,FALSE)</f>
        <v>带皮或能看出鸡形状的鸡</v>
      </c>
      <c r="D13" s="40"/>
      <c r="E13" s="40"/>
      <c r="F13" s="40"/>
      <c r="G13" s="34"/>
    </row>
    <row r="14" spans="1:13" ht="17.25" customHeight="1">
      <c r="A14" s="53"/>
      <c r="B14" s="26" t="s">
        <v>19</v>
      </c>
      <c r="C14" s="26">
        <f>VLOOKUP($C$1,详尽档案总表!$B$1:$CL$49,36,FALSE)</f>
        <v>0</v>
      </c>
      <c r="D14" s="26" t="s">
        <v>18</v>
      </c>
      <c r="E14" s="26">
        <f>VLOOKUP($C$1,详尽档案总表!$B$1:$CL$49,37,FALSE)</f>
        <v>0</v>
      </c>
      <c r="F14" s="26" t="s">
        <v>17</v>
      </c>
      <c r="G14" s="26">
        <f>VLOOKUP($C$1,详尽档案总表!$B$1:$CL$49,38,FALSE)</f>
        <v>0</v>
      </c>
    </row>
    <row r="15" spans="1:13" ht="17.25" customHeight="1">
      <c r="A15" s="53"/>
      <c r="B15" s="26" t="s">
        <v>20</v>
      </c>
      <c r="C15" s="26">
        <f>VLOOKUP($C$1,详尽档案总表!$B$1:$CL$49,39,FALSE)</f>
        <v>0</v>
      </c>
      <c r="D15" s="26" t="s">
        <v>80</v>
      </c>
      <c r="E15" s="26" t="str">
        <f>VLOOKUP($C$1,详尽档案总表!$B$1:$CL$49,40,FALSE)</f>
        <v>2018.5.22</v>
      </c>
      <c r="F15" s="26" t="s">
        <v>25</v>
      </c>
      <c r="G15" s="26">
        <f>VLOOKUP($C$1,详尽档案总表!$B$1:$CL$49,41,FALSE)</f>
        <v>0</v>
      </c>
    </row>
    <row r="16" spans="1:13" ht="17.25" customHeight="1">
      <c r="A16" s="53"/>
      <c r="B16" s="26" t="s">
        <v>206</v>
      </c>
      <c r="C16" s="26" t="str">
        <f>VLOOKUP($C$1,详尽档案总表!$B$1:$CL$49,42,FALSE)</f>
        <v>一胎</v>
      </c>
      <c r="D16" s="26" t="s">
        <v>207</v>
      </c>
      <c r="E16" s="26">
        <f>VLOOKUP($C$1,详尽档案总表!$B$1:$CL$49,43,FALSE)</f>
        <v>26</v>
      </c>
      <c r="F16" s="26" t="s">
        <v>22</v>
      </c>
      <c r="G16" s="26">
        <f>VLOOKUP($C$1,详尽档案总表!$B$1:$CL$49,44,FALSE)</f>
        <v>4</v>
      </c>
      <c r="M16" s="41"/>
    </row>
    <row r="17" spans="1:7" ht="17.25" customHeight="1">
      <c r="A17" s="53"/>
      <c r="B17" s="26" t="s">
        <v>21</v>
      </c>
      <c r="C17" s="26" t="str">
        <f>VLOOKUP($C$1,详尽档案总表!$B$1:$CL$49,45,FALSE)</f>
        <v>市妇幼</v>
      </c>
      <c r="D17" s="26" t="s">
        <v>24</v>
      </c>
      <c r="E17" s="26" t="str">
        <f>VLOOKUP($C$1,详尽档案总表!$B$1:$CL$49,46,FALSE)</f>
        <v>剖宫产</v>
      </c>
      <c r="F17" s="26" t="s">
        <v>16</v>
      </c>
      <c r="G17" s="26">
        <f>VLOOKUP($C$1,详尽档案总表!$B$1:$CL$49,47,FALSE)</f>
        <v>0</v>
      </c>
    </row>
    <row r="18" spans="1:7" ht="17.25" customHeight="1">
      <c r="A18" s="53"/>
      <c r="B18" s="26" t="s">
        <v>23</v>
      </c>
      <c r="C18" s="39" t="str">
        <f>VLOOKUP($C$1,详尽档案总表!$B$1:$CL$49,48,FALSE)</f>
        <v>G1P1孕40周/胎儿窘迫/脐绕颈一周/轻度贫血</v>
      </c>
      <c r="D18" s="37"/>
      <c r="E18" s="37"/>
      <c r="F18" s="37"/>
      <c r="G18" s="38"/>
    </row>
    <row r="19" spans="1:7" ht="17.25" customHeight="1">
      <c r="A19" s="53"/>
      <c r="B19" s="26" t="s">
        <v>614</v>
      </c>
      <c r="C19" s="26">
        <f>VLOOKUP($C$1,详尽档案总表!$B$1:$CL$49,49,FALSE)</f>
        <v>0</v>
      </c>
      <c r="D19" s="29" t="s">
        <v>615</v>
      </c>
      <c r="E19" s="26">
        <f>VLOOKUP($C$1,详尽档案总表!$B$1:$CL$49,50,FALSE)</f>
        <v>0</v>
      </c>
      <c r="F19" s="29" t="s">
        <v>616</v>
      </c>
      <c r="G19" s="26">
        <f>VLOOKUP($C$1,详尽档案总表!$B$1:$CL$49,51,FALSE)</f>
        <v>0</v>
      </c>
    </row>
    <row r="20" spans="1:7" ht="17.25" customHeight="1">
      <c r="A20" s="53"/>
      <c r="B20" s="26" t="s">
        <v>617</v>
      </c>
      <c r="C20" s="39">
        <f>VLOOKUP($C$1,详尽档案总表!$B$1:$CL$49,52,FALSE)</f>
        <v>0</v>
      </c>
      <c r="D20" s="37"/>
      <c r="E20" s="37"/>
      <c r="F20" s="37"/>
      <c r="G20" s="38"/>
    </row>
    <row r="21" spans="1:7" ht="17.25" customHeight="1">
      <c r="A21" s="53"/>
      <c r="B21" s="27" t="s">
        <v>618</v>
      </c>
      <c r="C21" s="39">
        <f>VLOOKUP($C$1,详尽档案总表!$B$1:$CL$49,53,FALSE)</f>
        <v>0</v>
      </c>
      <c r="D21" s="42"/>
      <c r="E21" s="42"/>
      <c r="F21" s="42"/>
      <c r="G21" s="43"/>
    </row>
    <row r="22" spans="1:7" ht="17.25" customHeight="1">
      <c r="A22" s="53"/>
      <c r="B22" s="27" t="s">
        <v>619</v>
      </c>
      <c r="C22" s="39">
        <f>VLOOKUP($C$1,详尽档案总表!$B$1:$CL$49,54,FALSE)</f>
        <v>0</v>
      </c>
      <c r="D22" s="42"/>
      <c r="E22" s="42"/>
      <c r="F22" s="42"/>
      <c r="G22" s="43"/>
    </row>
    <row r="23" spans="1:7" ht="17.25" customHeight="1">
      <c r="A23" s="51" t="s">
        <v>620</v>
      </c>
      <c r="B23" s="30" t="s">
        <v>208</v>
      </c>
      <c r="C23" s="44">
        <f>VLOOKUP($C$1,详尽档案总表!$B$1:$CL$49,55,FALSE)</f>
        <v>43242</v>
      </c>
      <c r="D23" s="31" t="s">
        <v>209</v>
      </c>
      <c r="E23" s="31">
        <f>VLOOKUP($C$1,详尽档案总表!$B$1:$CL$49,56,FALSE)</f>
        <v>0</v>
      </c>
      <c r="F23" s="31" t="s">
        <v>210</v>
      </c>
      <c r="G23" s="31">
        <f>VLOOKUP($C$1,详尽档案总表!$B$1:$CL$49,57,FALSE)</f>
        <v>0</v>
      </c>
    </row>
    <row r="24" spans="1:7" ht="17.25" customHeight="1">
      <c r="A24" s="52"/>
      <c r="B24" s="31" t="s">
        <v>26</v>
      </c>
      <c r="C24" s="31">
        <f>VLOOKUP($C$1,详尽档案总表!$B$1:$CL$49,58,FALSE)</f>
        <v>0</v>
      </c>
      <c r="D24" s="31" t="s">
        <v>211</v>
      </c>
      <c r="E24" s="31">
        <f>VLOOKUP($C$1,详尽档案总表!$B$1:$CL$49,59,FALSE)</f>
        <v>0</v>
      </c>
      <c r="F24" s="31" t="s">
        <v>27</v>
      </c>
      <c r="G24" s="31" t="str">
        <f>VLOOKUP($C$1,详尽档案总表!$B$1:$CL$49,60,FALSE)</f>
        <v>男</v>
      </c>
    </row>
    <row r="25" spans="1:7" ht="17.25" customHeight="1">
      <c r="A25" s="52"/>
      <c r="B25" s="31" t="s">
        <v>28</v>
      </c>
      <c r="C25" s="31">
        <f>VLOOKUP($C$1,详尽档案总表!$B$1:$CL$49,61,FALSE)</f>
        <v>2950</v>
      </c>
      <c r="D25" s="31" t="s">
        <v>29</v>
      </c>
      <c r="E25" s="31">
        <f>VLOOKUP($C$1,详尽档案总表!$B$1:$CL$49,62,FALSE)</f>
        <v>0</v>
      </c>
      <c r="F25" s="31" t="s">
        <v>32</v>
      </c>
      <c r="G25" s="31">
        <f>VLOOKUP($C$1,详尽档案总表!$B$1:$CL$49,63,FALSE)</f>
        <v>0</v>
      </c>
    </row>
    <row r="26" spans="1:7" ht="17.25" customHeight="1">
      <c r="A26" s="52"/>
      <c r="B26" s="31" t="s">
        <v>30</v>
      </c>
      <c r="C26" s="31">
        <f>VLOOKUP($C$1,详尽档案总表!$B$1:$CL$49,64,FALSE)</f>
        <v>0</v>
      </c>
      <c r="D26" s="31" t="s">
        <v>31</v>
      </c>
      <c r="E26" s="31">
        <f>VLOOKUP($C$1,详尽档案总表!$B$1:$CL$49,65,FALSE)</f>
        <v>0</v>
      </c>
      <c r="F26" s="31" t="s">
        <v>34</v>
      </c>
      <c r="G26" s="31">
        <f>VLOOKUP($C$1,详尽档案总表!$B$1:$CL$49,66,FALSE)</f>
        <v>0</v>
      </c>
    </row>
    <row r="27" spans="1:7" ht="17.25" customHeight="1">
      <c r="A27" s="52"/>
      <c r="B27" s="31" t="s">
        <v>33</v>
      </c>
      <c r="C27" s="31">
        <f>VLOOKUP($C$1,详尽档案总表!$B$1:$CL$49,67,FALSE)</f>
        <v>0</v>
      </c>
      <c r="D27" s="45"/>
      <c r="E27" s="45"/>
      <c r="F27" s="45"/>
      <c r="G27" s="46"/>
    </row>
    <row r="28" spans="1:7" ht="17.25" customHeight="1">
      <c r="A28" s="53" t="s">
        <v>621</v>
      </c>
      <c r="B28" s="32" t="s">
        <v>622</v>
      </c>
      <c r="C28" s="26">
        <f>VLOOKUP($C$1,详尽档案总表!$B$1:$CL$49,68,FALSE)</f>
        <v>0</v>
      </c>
      <c r="D28" s="29" t="s">
        <v>623</v>
      </c>
      <c r="E28" s="26">
        <f>VLOOKUP($C$1,详尽档案总表!$B$1:$CL$49,69,FALSE)</f>
        <v>0</v>
      </c>
      <c r="F28" s="29" t="s">
        <v>624</v>
      </c>
      <c r="G28" s="26" t="str">
        <f>VLOOKUP($C$1,详尽档案总表!$B$1:$CL$49,70,FALSE)</f>
        <v>无</v>
      </c>
    </row>
    <row r="29" spans="1:7" ht="17.25" customHeight="1">
      <c r="A29" s="53"/>
      <c r="B29" s="33" t="s">
        <v>625</v>
      </c>
      <c r="C29" s="26">
        <f>VLOOKUP($C$1,详尽档案总表!$B$1:$CL$49,71,FALSE)</f>
        <v>0</v>
      </c>
      <c r="D29" s="29" t="s">
        <v>626</v>
      </c>
      <c r="E29" s="26">
        <f>VLOOKUP($C$1,详尽档案总表!$B$1:$CL$49,72,FALSE)</f>
        <v>0</v>
      </c>
      <c r="F29" s="29" t="s">
        <v>627</v>
      </c>
      <c r="G29" s="26">
        <f>VLOOKUP($C$1,详尽档案总表!$B$1:$CL$49,72,FALSE)</f>
        <v>0</v>
      </c>
    </row>
    <row r="30" spans="1:7" ht="17.25" customHeight="1">
      <c r="A30" s="53"/>
      <c r="B30" s="34" t="s">
        <v>628</v>
      </c>
      <c r="C30" s="26" t="str">
        <f>VLOOKUP($C$1,详尽档案总表!$B$1:$CL$49,74,FALSE)</f>
        <v>张颖星</v>
      </c>
      <c r="D30" s="26" t="s">
        <v>629</v>
      </c>
      <c r="E30" s="26" t="str">
        <f>VLOOKUP($C$1,详尽档案总表!$B$1:$CL$49,75,FALSE)</f>
        <v>母亲</v>
      </c>
      <c r="F30" s="26" t="s">
        <v>5</v>
      </c>
      <c r="G30" s="26">
        <f>VLOOKUP($C$1,详尽档案总表!$B$1:$CL$49,76,FALSE)</f>
        <v>15825255774</v>
      </c>
    </row>
    <row r="31" spans="1:7" ht="17.25" customHeight="1">
      <c r="A31" s="53"/>
      <c r="B31" s="34" t="s">
        <v>4</v>
      </c>
      <c r="C31" s="26">
        <f>VLOOKUP($C$1,详尽档案总表!$B$1:$CL$49,77,FALSE)</f>
        <v>0</v>
      </c>
      <c r="D31" s="26" t="s">
        <v>630</v>
      </c>
      <c r="E31" s="26">
        <f>VLOOKUP($C$1,详尽档案总表!$B$1:$CL$49,78,FALSE)</f>
        <v>0</v>
      </c>
      <c r="F31" s="26" t="s">
        <v>631</v>
      </c>
      <c r="G31" s="26">
        <f>VLOOKUP($C$1,详尽档案总表!$B$1:$CL$49,79,FALSE)</f>
        <v>0</v>
      </c>
    </row>
    <row r="32" spans="1:7" ht="17.25" customHeight="1">
      <c r="A32" s="53"/>
      <c r="B32" s="34" t="s">
        <v>632</v>
      </c>
      <c r="C32" s="26" t="str">
        <f>VLOOKUP($C$1,详尽档案总表!$B$1:$CL$49,80,FALSE)</f>
        <v>田维巍</v>
      </c>
      <c r="D32" s="26" t="s">
        <v>633</v>
      </c>
      <c r="E32" s="26" t="str">
        <f>VLOOKUP($C$1,详尽档案总表!$B$1:$CL$49,81,FALSE)</f>
        <v>丈夫</v>
      </c>
      <c r="F32" s="26" t="s">
        <v>5</v>
      </c>
      <c r="G32" s="26">
        <f>VLOOKUP($C$1,详尽档案总表!$B$1:$CL$49,82,FALSE)</f>
        <v>15825255774</v>
      </c>
    </row>
    <row r="33" spans="1:7" ht="17.25" customHeight="1">
      <c r="A33" s="53"/>
      <c r="B33" s="34" t="s">
        <v>634</v>
      </c>
      <c r="C33" s="26">
        <f>VLOOKUP($C$1,详尽档案总表!$B$1:$CL$49,83,FALSE)</f>
        <v>0</v>
      </c>
      <c r="D33" s="26" t="s">
        <v>635</v>
      </c>
      <c r="E33" s="26">
        <f>VLOOKUP($C$1,详尽档案总表!$B$1:$CL$49,84,FALSE)</f>
        <v>0</v>
      </c>
      <c r="F33" s="26" t="s">
        <v>5</v>
      </c>
      <c r="G33" s="26">
        <f>VLOOKUP($C$1,详尽档案总表!$B$1:$CL$49,85,FALSE)</f>
        <v>0</v>
      </c>
    </row>
    <row r="34" spans="1:7" ht="17.25" customHeight="1">
      <c r="A34" s="52" t="s">
        <v>636</v>
      </c>
      <c r="B34" s="35" t="s">
        <v>637</v>
      </c>
      <c r="C34" s="47">
        <f>VLOOKUP($C$1,详尽档案总表!$B$1:$CL$49,86,FALSE)</f>
        <v>0</v>
      </c>
      <c r="D34" s="48"/>
      <c r="E34" s="48"/>
      <c r="F34" s="48"/>
      <c r="G34" s="31"/>
    </row>
    <row r="35" spans="1:7" ht="17.25" customHeight="1">
      <c r="A35" s="52"/>
      <c r="B35" s="31" t="s">
        <v>638</v>
      </c>
      <c r="C35" s="31">
        <f>VLOOKUP($C$1,详尽档案总表!$B$1:$CL$49,87,FALSE)</f>
        <v>0</v>
      </c>
      <c r="D35" s="31" t="s">
        <v>639</v>
      </c>
      <c r="E35" s="31">
        <f>VLOOKUP($C$1,详尽档案总表!$B$1:$CL$49,88,FALSE)</f>
        <v>0</v>
      </c>
      <c r="F35" s="31" t="s">
        <v>640</v>
      </c>
      <c r="G35" s="31">
        <f>VLOOKUP($C$1,详尽档案总表!$B$1:$CL$49,89,FALSE)</f>
        <v>0</v>
      </c>
    </row>
  </sheetData>
  <mergeCells count="4">
    <mergeCell ref="A1:A22"/>
    <mergeCell ref="A23:A27"/>
    <mergeCell ref="A28:A33"/>
    <mergeCell ref="A34:A35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H20" sqref="H20"/>
    </sheetView>
  </sheetViews>
  <sheetFormatPr defaultRowHeight="17.25" customHeight="1"/>
  <cols>
    <col min="1" max="1" width="5" style="36" customWidth="1"/>
    <col min="2" max="2" width="15" style="2" customWidth="1"/>
    <col min="3" max="3" width="15.5" style="2" bestFit="1" customWidth="1"/>
    <col min="4" max="7" width="15.625" style="2" customWidth="1"/>
    <col min="8" max="8" width="5.25" style="2" bestFit="1" customWidth="1"/>
    <col min="9" max="11" width="9" style="2"/>
    <col min="12" max="12" width="13" style="2" bestFit="1" customWidth="1"/>
    <col min="13" max="13" width="9" style="2"/>
    <col min="14" max="15" width="11" style="2" bestFit="1" customWidth="1"/>
    <col min="16" max="16" width="7.5" style="2" bestFit="1" customWidth="1"/>
    <col min="17" max="17" width="9" style="2"/>
    <col min="18" max="18" width="7.5" style="2" bestFit="1" customWidth="1"/>
    <col min="19" max="20" width="5.25" style="2" bestFit="1" customWidth="1"/>
    <col min="21" max="22" width="9" style="2"/>
    <col min="23" max="23" width="5.25" style="2" bestFit="1" customWidth="1"/>
    <col min="24" max="31" width="9" style="2"/>
    <col min="32" max="32" width="13" style="2" bestFit="1" customWidth="1"/>
    <col min="33" max="33" width="9" style="2"/>
    <col min="34" max="34" width="11" style="2" bestFit="1" customWidth="1"/>
    <col min="35" max="37" width="7.125" style="2" bestFit="1" customWidth="1"/>
    <col min="38" max="39" width="5.25" style="2" bestFit="1" customWidth="1"/>
    <col min="40" max="44" width="9" style="2"/>
    <col min="45" max="47" width="13" style="2" bestFit="1" customWidth="1"/>
    <col min="48" max="48" width="9" style="2"/>
    <col min="49" max="49" width="7.125" style="2" bestFit="1" customWidth="1"/>
    <col min="50" max="50" width="13" style="2" bestFit="1" customWidth="1"/>
    <col min="51" max="51" width="9" style="2"/>
    <col min="52" max="52" width="7.125" style="2" bestFit="1" customWidth="1"/>
    <col min="53" max="55" width="9" style="2"/>
    <col min="56" max="56" width="16.375" style="2" bestFit="1" customWidth="1"/>
    <col min="57" max="57" width="17.5" style="2" bestFit="1" customWidth="1"/>
    <col min="58" max="59" width="16.375" style="2" bestFit="1" customWidth="1"/>
    <col min="60" max="60" width="9" style="2"/>
    <col min="61" max="61" width="13" style="2" bestFit="1" customWidth="1"/>
    <col min="62" max="64" width="9" style="2"/>
    <col min="65" max="65" width="17.25" style="2" bestFit="1" customWidth="1"/>
    <col min="66" max="68" width="9" style="2"/>
    <col min="69" max="69" width="13" style="2" bestFit="1" customWidth="1"/>
    <col min="70" max="70" width="9" style="2"/>
    <col min="71" max="71" width="10" style="2" bestFit="1" customWidth="1"/>
    <col min="72" max="72" width="9" style="2"/>
    <col min="73" max="73" width="11" style="2" bestFit="1" customWidth="1"/>
    <col min="74" max="74" width="9" style="2"/>
    <col min="75" max="75" width="10" style="2" bestFit="1" customWidth="1"/>
    <col min="76" max="77" width="9" style="2"/>
    <col min="78" max="78" width="10" style="2" bestFit="1" customWidth="1"/>
    <col min="79" max="80" width="9" style="2"/>
    <col min="81" max="82" width="11" style="2" bestFit="1" customWidth="1"/>
    <col min="83" max="16384" width="9" style="2"/>
  </cols>
  <sheetData>
    <row r="1" spans="1:13" ht="17.25" customHeight="1">
      <c r="A1" s="53" t="s">
        <v>597</v>
      </c>
      <c r="B1" s="26" t="s">
        <v>1</v>
      </c>
      <c r="C1" s="39">
        <v>201805007</v>
      </c>
      <c r="D1" s="40"/>
      <c r="E1" s="40"/>
      <c r="F1" s="40"/>
      <c r="G1" s="34"/>
    </row>
    <row r="2" spans="1:13" s="28" customFormat="1" ht="17.25" customHeight="1">
      <c r="A2" s="53"/>
      <c r="B2" s="26" t="s">
        <v>2</v>
      </c>
      <c r="C2" s="26" t="str">
        <f>VLOOKUP($C$1,详尽档案总表!$B$1:$CL$49,2,FALSE)</f>
        <v>朱丽羽</v>
      </c>
      <c r="D2" s="26" t="s">
        <v>598</v>
      </c>
      <c r="E2" s="26">
        <f>VLOOKUP($C$1,详尽档案总表!$B$1:$CL$49,3,FALSE)</f>
        <v>718</v>
      </c>
      <c r="F2" s="27" t="s">
        <v>599</v>
      </c>
      <c r="G2" s="26">
        <f>VLOOKUP($C$1,详尽档案总表!$B$1:$CL$49,4,FALSE)</f>
        <v>2018010401</v>
      </c>
    </row>
    <row r="3" spans="1:13" ht="17.25" customHeight="1">
      <c r="A3" s="53"/>
      <c r="B3" s="26" t="s">
        <v>3</v>
      </c>
      <c r="C3" s="26">
        <f>VLOOKUP($C$1,详尽档案总表!$B$1:$CL$49,5,FALSE)</f>
        <v>33800</v>
      </c>
      <c r="D3" s="27" t="s">
        <v>600</v>
      </c>
      <c r="E3" s="26" t="str">
        <f>VLOOKUP($C$1,详尽档案总表!$B$1:$CL$49,6,FALSE)</f>
        <v>舒心房</v>
      </c>
      <c r="F3" s="26" t="s">
        <v>601</v>
      </c>
      <c r="G3" s="26">
        <f>VLOOKUP($C$1,详尽档案总表!$B$1:$CL$49,7,FALSE)</f>
        <v>26</v>
      </c>
    </row>
    <row r="4" spans="1:13" ht="17.25" customHeight="1">
      <c r="A4" s="53"/>
      <c r="B4" s="27" t="s">
        <v>35</v>
      </c>
      <c r="C4" s="26">
        <f>VLOOKUP($C$1,详尽档案总表!$B$1:$CL$49,8,FALSE)</f>
        <v>0</v>
      </c>
      <c r="D4" s="27" t="s">
        <v>36</v>
      </c>
      <c r="E4" s="26">
        <f>VLOOKUP($C$1,详尽档案总表!$B$1:$CL$49,9,FALSE)</f>
        <v>0</v>
      </c>
      <c r="F4" s="26" t="s">
        <v>602</v>
      </c>
      <c r="G4" s="26">
        <f>VLOOKUP($C$1,详尽档案总表!$B$1:$CL$49,10,FALSE)</f>
        <v>0</v>
      </c>
    </row>
    <row r="5" spans="1:13" ht="17.25" customHeight="1">
      <c r="A5" s="53"/>
      <c r="B5" s="26" t="s">
        <v>5</v>
      </c>
      <c r="C5" s="26">
        <f>VLOOKUP($C$1,详尽档案总表!$B$1:$CL$49,11,FALSE)</f>
        <v>13888089520</v>
      </c>
      <c r="D5" s="26" t="s">
        <v>603</v>
      </c>
      <c r="E5" s="26">
        <f>VLOOKUP($C$1,详尽档案总表!$B$1:$CL$49,12,FALSE)</f>
        <v>0</v>
      </c>
      <c r="F5" s="26" t="s">
        <v>604</v>
      </c>
      <c r="G5" s="26">
        <f>VLOOKUP($C$1,详尽档案总表!$B$1:$CL$49,13,FALSE)</f>
        <v>0</v>
      </c>
    </row>
    <row r="6" spans="1:13" ht="17.25" customHeight="1">
      <c r="A6" s="53"/>
      <c r="B6" s="27" t="s">
        <v>4</v>
      </c>
      <c r="C6" s="50" t="str">
        <f>VLOOKUP($C$1,详尽档案总表!$B$1:$CL$49,16,FALSE)</f>
        <v>530102198806281525</v>
      </c>
      <c r="D6" s="27" t="s">
        <v>205</v>
      </c>
      <c r="E6" s="49" t="str">
        <f>VLOOKUP($C$1,详尽档案总表!$B$1:$CL$49,17,FALSE)</f>
        <v>云南省昆明市西山区湖畔西路95号九夏云水俊园4号地块1幢2单元402室</v>
      </c>
      <c r="F6" s="42"/>
      <c r="G6" s="43"/>
    </row>
    <row r="7" spans="1:13" ht="17.25" customHeight="1">
      <c r="A7" s="53"/>
      <c r="B7" s="26" t="s">
        <v>12</v>
      </c>
      <c r="C7" s="26">
        <f>VLOOKUP($C$1,详尽档案总表!$B$1:$CL$49,18,FALSE)</f>
        <v>0</v>
      </c>
      <c r="D7" s="27" t="s">
        <v>605</v>
      </c>
      <c r="E7" s="26" t="str">
        <f>VLOOKUP($C$1,详尽档案总表!$B$1:$CL$49,19,FALSE)</f>
        <v>广福路力夏云水4#1-2-402</v>
      </c>
      <c r="F7" s="42"/>
      <c r="G7" s="43"/>
    </row>
    <row r="8" spans="1:13" ht="17.25" customHeight="1">
      <c r="A8" s="53"/>
      <c r="B8" s="26" t="s">
        <v>7</v>
      </c>
      <c r="C8" s="26">
        <f>VLOOKUP($C$1,详尽档案总表!$B$1:$CL$49,20,FALSE)</f>
        <v>0</v>
      </c>
      <c r="D8" s="27" t="s">
        <v>606</v>
      </c>
      <c r="E8" s="26" t="str">
        <f>VLOOKUP($C$1,详尽档案总表!$B$1:$CL$49,21,FALSE)</f>
        <v>文员</v>
      </c>
      <c r="F8" s="27" t="s">
        <v>9</v>
      </c>
      <c r="G8" s="26">
        <f>VLOOKUP($C$1,详尽档案总表!$B$1:$CL$49,22,FALSE)</f>
        <v>0</v>
      </c>
    </row>
    <row r="9" spans="1:13" ht="17.25" customHeight="1">
      <c r="A9" s="53"/>
      <c r="B9" s="26" t="s">
        <v>8</v>
      </c>
      <c r="C9" s="26" t="str">
        <f>VLOOKUP($C$1,详尽档案总表!$B$1:$CL$49,23,FALSE)</f>
        <v>汉</v>
      </c>
      <c r="D9" s="27" t="s">
        <v>10</v>
      </c>
      <c r="E9" s="26">
        <f>VLOOKUP($C$1,详尽档案总表!$B$1:$CL$49,24,FALSE)</f>
        <v>0</v>
      </c>
      <c r="F9" s="26" t="s">
        <v>11</v>
      </c>
      <c r="G9" s="26">
        <f>VLOOKUP($C$1,详尽档案总表!$B$1:$CL$49,25,FALSE)</f>
        <v>0</v>
      </c>
    </row>
    <row r="10" spans="1:13" ht="17.25" customHeight="1">
      <c r="A10" s="53"/>
      <c r="B10" s="26" t="s">
        <v>13</v>
      </c>
      <c r="C10" s="26">
        <f>VLOOKUP($C$1,详尽档案总表!$B$1:$CL$49,26,FALSE)</f>
        <v>0</v>
      </c>
      <c r="D10" s="26" t="s">
        <v>14</v>
      </c>
      <c r="E10" s="26">
        <f>VLOOKUP($C$1,详尽档案总表!$B$1:$CL$49,27,FALSE)</f>
        <v>0</v>
      </c>
      <c r="F10" s="26" t="s">
        <v>607</v>
      </c>
      <c r="G10" s="26">
        <f>VLOOKUP($C$1,详尽档案总表!$B$1:$CL$49,28,FALSE)</f>
        <v>0</v>
      </c>
    </row>
    <row r="11" spans="1:13" ht="17.25" customHeight="1">
      <c r="A11" s="53"/>
      <c r="B11" s="26" t="s">
        <v>608</v>
      </c>
      <c r="C11" s="26">
        <f>VLOOKUP($C$1,详尽档案总表!$B$1:$CL$49,29,FALSE)</f>
        <v>0</v>
      </c>
      <c r="D11" s="26" t="s">
        <v>609</v>
      </c>
      <c r="E11" s="26">
        <f>VLOOKUP($C$1,详尽档案总表!$B$1:$CL$49,30,FALSE)</f>
        <v>0</v>
      </c>
      <c r="F11" s="26" t="s">
        <v>610</v>
      </c>
      <c r="G11" s="26">
        <f>VLOOKUP($C$1,详尽档案总表!$B$1:$CL$49,31,FALSE)</f>
        <v>0</v>
      </c>
    </row>
    <row r="12" spans="1:13" ht="17.25" customHeight="1">
      <c r="A12" s="53"/>
      <c r="B12" s="26" t="s">
        <v>611</v>
      </c>
      <c r="C12" s="26">
        <f>VLOOKUP($C$1,详尽档案总表!$B$1:$CL$49,32,FALSE)</f>
        <v>0</v>
      </c>
      <c r="D12" s="26" t="s">
        <v>612</v>
      </c>
      <c r="E12" s="26">
        <f>VLOOKUP($C$1,详尽档案总表!$B$1:$CL$49,33,FALSE)</f>
        <v>0</v>
      </c>
      <c r="F12" s="26" t="s">
        <v>613</v>
      </c>
      <c r="G12" s="26">
        <f>VLOOKUP($C$1,详尽档案总表!$B$1:$CL$49,34,FALSE)</f>
        <v>0</v>
      </c>
    </row>
    <row r="13" spans="1:13" ht="17.25" customHeight="1">
      <c r="A13" s="53"/>
      <c r="B13" s="26" t="s">
        <v>15</v>
      </c>
      <c r="C13" s="39">
        <f>VLOOKUP($C$1,详尽档案总表!$B$1:$CL$49,35,FALSE)</f>
        <v>0</v>
      </c>
      <c r="D13" s="40"/>
      <c r="E13" s="40"/>
      <c r="F13" s="40"/>
      <c r="G13" s="34"/>
    </row>
    <row r="14" spans="1:13" ht="17.25" customHeight="1">
      <c r="A14" s="53"/>
      <c r="B14" s="26" t="s">
        <v>19</v>
      </c>
      <c r="C14" s="26">
        <f>VLOOKUP($C$1,详尽档案总表!$B$1:$CL$49,36,FALSE)</f>
        <v>0</v>
      </c>
      <c r="D14" s="26" t="s">
        <v>18</v>
      </c>
      <c r="E14" s="26">
        <f>VLOOKUP($C$1,详尽档案总表!$B$1:$CL$49,37,FALSE)</f>
        <v>0</v>
      </c>
      <c r="F14" s="26" t="s">
        <v>17</v>
      </c>
      <c r="G14" s="26">
        <f>VLOOKUP($C$1,详尽档案总表!$B$1:$CL$49,38,FALSE)</f>
        <v>0</v>
      </c>
    </row>
    <row r="15" spans="1:13" ht="17.25" customHeight="1">
      <c r="A15" s="53"/>
      <c r="B15" s="26" t="s">
        <v>20</v>
      </c>
      <c r="C15" s="26">
        <f>VLOOKUP($C$1,详尽档案总表!$B$1:$CL$49,39,FALSE)</f>
        <v>0</v>
      </c>
      <c r="D15" s="26" t="s">
        <v>80</v>
      </c>
      <c r="E15" s="26" t="str">
        <f>VLOOKUP($C$1,详尽档案总表!$B$1:$CL$49,40,FALSE)</f>
        <v>2018.5.27</v>
      </c>
      <c r="F15" s="26" t="s">
        <v>25</v>
      </c>
      <c r="G15" s="26">
        <f>VLOOKUP($C$1,详尽档案总表!$B$1:$CL$49,41,FALSE)</f>
        <v>0</v>
      </c>
    </row>
    <row r="16" spans="1:13" ht="17.25" customHeight="1">
      <c r="A16" s="53"/>
      <c r="B16" s="26" t="s">
        <v>206</v>
      </c>
      <c r="C16" s="26" t="str">
        <f>VLOOKUP($C$1,详尽档案总表!$B$1:$CL$49,42,FALSE)</f>
        <v>一胎</v>
      </c>
      <c r="D16" s="26" t="s">
        <v>207</v>
      </c>
      <c r="E16" s="26">
        <f>VLOOKUP($C$1,详尽档案总表!$B$1:$CL$49,43,FALSE)</f>
        <v>30</v>
      </c>
      <c r="F16" s="26" t="s">
        <v>22</v>
      </c>
      <c r="G16" s="26">
        <f>VLOOKUP($C$1,详尽档案总表!$B$1:$CL$49,44,FALSE)</f>
        <v>0</v>
      </c>
      <c r="M16" s="41"/>
    </row>
    <row r="17" spans="1:7" ht="17.25" customHeight="1">
      <c r="A17" s="53"/>
      <c r="B17" s="26" t="s">
        <v>21</v>
      </c>
      <c r="C17" s="26" t="str">
        <f>VLOOKUP($C$1,详尽档案总表!$B$1:$CL$49,45,FALSE)</f>
        <v>市妇幼</v>
      </c>
      <c r="D17" s="26" t="s">
        <v>24</v>
      </c>
      <c r="E17" s="26" t="str">
        <f>VLOOKUP($C$1,详尽档案总表!$B$1:$CL$49,46,FALSE)</f>
        <v>顺产</v>
      </c>
      <c r="F17" s="26" t="s">
        <v>16</v>
      </c>
      <c r="G17" s="26">
        <f>VLOOKUP($C$1,详尽档案总表!$B$1:$CL$49,47,FALSE)</f>
        <v>0</v>
      </c>
    </row>
    <row r="18" spans="1:7" ht="17.25" customHeight="1">
      <c r="A18" s="53"/>
      <c r="B18" s="26" t="s">
        <v>23</v>
      </c>
      <c r="C18" s="39">
        <f>VLOOKUP($C$1,详尽档案总表!$B$1:$CL$49,48,FALSE)</f>
        <v>0</v>
      </c>
      <c r="D18" s="37"/>
      <c r="E18" s="37"/>
      <c r="F18" s="37"/>
      <c r="G18" s="38"/>
    </row>
    <row r="19" spans="1:7" ht="17.25" customHeight="1">
      <c r="A19" s="53"/>
      <c r="B19" s="26" t="s">
        <v>614</v>
      </c>
      <c r="C19" s="26">
        <f>VLOOKUP($C$1,详尽档案总表!$B$1:$CL$49,49,FALSE)</f>
        <v>0</v>
      </c>
      <c r="D19" s="29" t="s">
        <v>615</v>
      </c>
      <c r="E19" s="26">
        <f>VLOOKUP($C$1,详尽档案总表!$B$1:$CL$49,50,FALSE)</f>
        <v>0</v>
      </c>
      <c r="F19" s="29" t="s">
        <v>616</v>
      </c>
      <c r="G19" s="26">
        <f>VLOOKUP($C$1,详尽档案总表!$B$1:$CL$49,51,FALSE)</f>
        <v>0</v>
      </c>
    </row>
    <row r="20" spans="1:7" ht="17.25" customHeight="1">
      <c r="A20" s="53"/>
      <c r="B20" s="26" t="s">
        <v>617</v>
      </c>
      <c r="C20" s="39">
        <f>VLOOKUP($C$1,详尽档案总表!$B$1:$CL$49,52,FALSE)</f>
        <v>0</v>
      </c>
      <c r="D20" s="37"/>
      <c r="E20" s="37"/>
      <c r="F20" s="37"/>
      <c r="G20" s="38"/>
    </row>
    <row r="21" spans="1:7" ht="17.25" customHeight="1">
      <c r="A21" s="53"/>
      <c r="B21" s="27" t="s">
        <v>618</v>
      </c>
      <c r="C21" s="39">
        <f>VLOOKUP($C$1,详尽档案总表!$B$1:$CL$49,53,FALSE)</f>
        <v>0</v>
      </c>
      <c r="D21" s="42"/>
      <c r="E21" s="42"/>
      <c r="F21" s="42"/>
      <c r="G21" s="43"/>
    </row>
    <row r="22" spans="1:7" ht="17.25" customHeight="1">
      <c r="A22" s="53"/>
      <c r="B22" s="27" t="s">
        <v>619</v>
      </c>
      <c r="C22" s="39">
        <f>VLOOKUP($C$1,详尽档案总表!$B$1:$CL$49,54,FALSE)</f>
        <v>0</v>
      </c>
      <c r="D22" s="42"/>
      <c r="E22" s="42"/>
      <c r="F22" s="42"/>
      <c r="G22" s="43"/>
    </row>
    <row r="23" spans="1:7" ht="17.25" customHeight="1">
      <c r="A23" s="51" t="s">
        <v>620</v>
      </c>
      <c r="B23" s="30" t="s">
        <v>208</v>
      </c>
      <c r="C23" s="44">
        <f>VLOOKUP($C$1,详尽档案总表!$B$1:$CL$49,55,FALSE)</f>
        <v>0</v>
      </c>
      <c r="D23" s="31" t="s">
        <v>209</v>
      </c>
      <c r="E23" s="31">
        <f>VLOOKUP($C$1,详尽档案总表!$B$1:$CL$49,56,FALSE)</f>
        <v>0</v>
      </c>
      <c r="F23" s="31" t="s">
        <v>210</v>
      </c>
      <c r="G23" s="31">
        <f>VLOOKUP($C$1,详尽档案总表!$B$1:$CL$49,57,FALSE)</f>
        <v>0</v>
      </c>
    </row>
    <row r="24" spans="1:7" ht="17.25" customHeight="1">
      <c r="A24" s="52"/>
      <c r="B24" s="31" t="s">
        <v>26</v>
      </c>
      <c r="C24" s="31">
        <f>VLOOKUP($C$1,详尽档案总表!$B$1:$CL$49,58,FALSE)</f>
        <v>0</v>
      </c>
      <c r="D24" s="31" t="s">
        <v>211</v>
      </c>
      <c r="E24" s="31">
        <f>VLOOKUP($C$1,详尽档案总表!$B$1:$CL$49,59,FALSE)</f>
        <v>0</v>
      </c>
      <c r="F24" s="31" t="s">
        <v>27</v>
      </c>
      <c r="G24" s="31">
        <f>VLOOKUP($C$1,详尽档案总表!$B$1:$CL$49,60,FALSE)</f>
        <v>0</v>
      </c>
    </row>
    <row r="25" spans="1:7" ht="17.25" customHeight="1">
      <c r="A25" s="52"/>
      <c r="B25" s="31" t="s">
        <v>28</v>
      </c>
      <c r="C25" s="31">
        <f>VLOOKUP($C$1,详尽档案总表!$B$1:$CL$49,61,FALSE)</f>
        <v>0</v>
      </c>
      <c r="D25" s="31" t="s">
        <v>29</v>
      </c>
      <c r="E25" s="31">
        <f>VLOOKUP($C$1,详尽档案总表!$B$1:$CL$49,62,FALSE)</f>
        <v>0</v>
      </c>
      <c r="F25" s="31" t="s">
        <v>32</v>
      </c>
      <c r="G25" s="31">
        <f>VLOOKUP($C$1,详尽档案总表!$B$1:$CL$49,63,FALSE)</f>
        <v>0</v>
      </c>
    </row>
    <row r="26" spans="1:7" ht="17.25" customHeight="1">
      <c r="A26" s="52"/>
      <c r="B26" s="31" t="s">
        <v>30</v>
      </c>
      <c r="C26" s="31">
        <f>VLOOKUP($C$1,详尽档案总表!$B$1:$CL$49,64,FALSE)</f>
        <v>0</v>
      </c>
      <c r="D26" s="31" t="s">
        <v>31</v>
      </c>
      <c r="E26" s="31">
        <f>VLOOKUP($C$1,详尽档案总表!$B$1:$CL$49,65,FALSE)</f>
        <v>0</v>
      </c>
      <c r="F26" s="31" t="s">
        <v>34</v>
      </c>
      <c r="G26" s="31">
        <f>VLOOKUP($C$1,详尽档案总表!$B$1:$CL$49,66,FALSE)</f>
        <v>0</v>
      </c>
    </row>
    <row r="27" spans="1:7" ht="17.25" customHeight="1">
      <c r="A27" s="52"/>
      <c r="B27" s="31" t="s">
        <v>33</v>
      </c>
      <c r="C27" s="31">
        <f>VLOOKUP($C$1,详尽档案总表!$B$1:$CL$49,67,FALSE)</f>
        <v>0</v>
      </c>
      <c r="D27" s="45"/>
      <c r="E27" s="45"/>
      <c r="F27" s="45"/>
      <c r="G27" s="46"/>
    </row>
    <row r="28" spans="1:7" ht="17.25" customHeight="1">
      <c r="A28" s="53" t="s">
        <v>621</v>
      </c>
      <c r="B28" s="32" t="s">
        <v>622</v>
      </c>
      <c r="C28" s="26" t="str">
        <f>VLOOKUP($C$1,详尽档案总表!$B$1:$CL$49,68,FALSE)</f>
        <v>——</v>
      </c>
      <c r="D28" s="29" t="s">
        <v>623</v>
      </c>
      <c r="E28" s="26">
        <f>VLOOKUP($C$1,详尽档案总表!$B$1:$CL$49,69,FALSE)</f>
        <v>0</v>
      </c>
      <c r="F28" s="29" t="s">
        <v>624</v>
      </c>
      <c r="G28" s="26" t="str">
        <f>VLOOKUP($C$1,详尽档案总表!$B$1:$CL$49,70,FALSE)</f>
        <v>——</v>
      </c>
    </row>
    <row r="29" spans="1:7" ht="17.25" customHeight="1">
      <c r="A29" s="53"/>
      <c r="B29" s="33" t="s">
        <v>625</v>
      </c>
      <c r="C29" s="26" t="str">
        <f>VLOOKUP($C$1,详尽档案总表!$B$1:$CL$49,71,FALSE)</f>
        <v>——</v>
      </c>
      <c r="D29" s="29" t="s">
        <v>626</v>
      </c>
      <c r="E29" s="26" t="str">
        <f>VLOOKUP($C$1,详尽档案总表!$B$1:$CL$49,72,FALSE)</f>
        <v>——</v>
      </c>
      <c r="F29" s="29" t="s">
        <v>627</v>
      </c>
      <c r="G29" s="26" t="str">
        <f>VLOOKUP($C$1,详尽档案总表!$B$1:$CL$49,72,FALSE)</f>
        <v>——</v>
      </c>
    </row>
    <row r="30" spans="1:7" ht="17.25" customHeight="1">
      <c r="A30" s="53"/>
      <c r="B30" s="34" t="s">
        <v>628</v>
      </c>
      <c r="C30" s="26" t="str">
        <f>VLOOKUP($C$1,详尽档案总表!$B$1:$CL$49,74,FALSE)</f>
        <v>韩智宇</v>
      </c>
      <c r="D30" s="26" t="s">
        <v>629</v>
      </c>
      <c r="E30" s="26" t="str">
        <f>VLOOKUP($C$1,详尽档案总表!$B$1:$CL$49,75,FALSE)</f>
        <v>丈夫</v>
      </c>
      <c r="F30" s="26" t="s">
        <v>5</v>
      </c>
      <c r="G30" s="26">
        <f>VLOOKUP($C$1,详尽档案总表!$B$1:$CL$49,76,FALSE)</f>
        <v>18687174511</v>
      </c>
    </row>
    <row r="31" spans="1:7" ht="17.25" customHeight="1">
      <c r="A31" s="53"/>
      <c r="B31" s="34" t="s">
        <v>4</v>
      </c>
      <c r="C31" s="26">
        <f>VLOOKUP($C$1,详尽档案总表!$B$1:$CL$49,77,FALSE)</f>
        <v>0</v>
      </c>
      <c r="D31" s="26" t="s">
        <v>630</v>
      </c>
      <c r="E31" s="26">
        <f>VLOOKUP($C$1,详尽档案总表!$B$1:$CL$49,78,FALSE)</f>
        <v>0</v>
      </c>
      <c r="F31" s="26" t="s">
        <v>631</v>
      </c>
      <c r="G31" s="26">
        <f>VLOOKUP($C$1,详尽档案总表!$B$1:$CL$49,79,FALSE)</f>
        <v>0</v>
      </c>
    </row>
    <row r="32" spans="1:7" ht="17.25" customHeight="1">
      <c r="A32" s="53"/>
      <c r="B32" s="34" t="s">
        <v>632</v>
      </c>
      <c r="C32" s="26">
        <f>VLOOKUP($C$1,详尽档案总表!$B$1:$CL$49,80,FALSE)</f>
        <v>0</v>
      </c>
      <c r="D32" s="26" t="s">
        <v>633</v>
      </c>
      <c r="E32" s="26">
        <f>VLOOKUP($C$1,详尽档案总表!$B$1:$CL$49,81,FALSE)</f>
        <v>0</v>
      </c>
      <c r="F32" s="26" t="s">
        <v>5</v>
      </c>
      <c r="G32" s="26">
        <f>VLOOKUP($C$1,详尽档案总表!$B$1:$CL$49,82,FALSE)</f>
        <v>0</v>
      </c>
    </row>
    <row r="33" spans="1:7" ht="17.25" customHeight="1">
      <c r="A33" s="53"/>
      <c r="B33" s="34" t="s">
        <v>634</v>
      </c>
      <c r="C33" s="26">
        <f>VLOOKUP($C$1,详尽档案总表!$B$1:$CL$49,83,FALSE)</f>
        <v>0</v>
      </c>
      <c r="D33" s="26" t="s">
        <v>635</v>
      </c>
      <c r="E33" s="26">
        <f>VLOOKUP($C$1,详尽档案总表!$B$1:$CL$49,84,FALSE)</f>
        <v>0</v>
      </c>
      <c r="F33" s="26" t="s">
        <v>5</v>
      </c>
      <c r="G33" s="26">
        <f>VLOOKUP($C$1,详尽档案总表!$B$1:$CL$49,85,FALSE)</f>
        <v>0</v>
      </c>
    </row>
    <row r="34" spans="1:7" ht="17.25" customHeight="1">
      <c r="A34" s="52" t="s">
        <v>636</v>
      </c>
      <c r="B34" s="35" t="s">
        <v>637</v>
      </c>
      <c r="C34" s="47">
        <f>VLOOKUP($C$1,详尽档案总表!$B$1:$CL$49,86,FALSE)</f>
        <v>0</v>
      </c>
      <c r="D34" s="48"/>
      <c r="E34" s="48"/>
      <c r="F34" s="48"/>
      <c r="G34" s="31"/>
    </row>
    <row r="35" spans="1:7" ht="17.25" customHeight="1">
      <c r="A35" s="52"/>
      <c r="B35" s="31" t="s">
        <v>638</v>
      </c>
      <c r="C35" s="31">
        <f>VLOOKUP($C$1,详尽档案总表!$B$1:$CL$49,87,FALSE)</f>
        <v>0</v>
      </c>
      <c r="D35" s="31" t="s">
        <v>639</v>
      </c>
      <c r="E35" s="31">
        <f>VLOOKUP($C$1,详尽档案总表!$B$1:$CL$49,88,FALSE)</f>
        <v>0</v>
      </c>
      <c r="F35" s="31" t="s">
        <v>640</v>
      </c>
      <c r="G35" s="31">
        <f>VLOOKUP($C$1,详尽档案总表!$B$1:$CL$49,89,FALSE)</f>
        <v>0</v>
      </c>
    </row>
  </sheetData>
  <mergeCells count="4">
    <mergeCell ref="A1:A22"/>
    <mergeCell ref="A23:A27"/>
    <mergeCell ref="A28:A33"/>
    <mergeCell ref="A34:A3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I24" sqref="I24"/>
    </sheetView>
  </sheetViews>
  <sheetFormatPr defaultRowHeight="17.25" customHeight="1"/>
  <cols>
    <col min="1" max="1" width="5" style="36" customWidth="1"/>
    <col min="2" max="2" width="15" style="2" customWidth="1"/>
    <col min="3" max="3" width="15.5" style="2" bestFit="1" customWidth="1"/>
    <col min="4" max="7" width="15.625" style="2" customWidth="1"/>
    <col min="8" max="8" width="5.25" style="2" bestFit="1" customWidth="1"/>
    <col min="9" max="11" width="9" style="2"/>
    <col min="12" max="12" width="13" style="2" bestFit="1" customWidth="1"/>
    <col min="13" max="13" width="9" style="2"/>
    <col min="14" max="15" width="11" style="2" bestFit="1" customWidth="1"/>
    <col min="16" max="16" width="7.5" style="2" bestFit="1" customWidth="1"/>
    <col min="17" max="17" width="9" style="2"/>
    <col min="18" max="18" width="7.5" style="2" bestFit="1" customWidth="1"/>
    <col min="19" max="20" width="5.25" style="2" bestFit="1" customWidth="1"/>
    <col min="21" max="22" width="9" style="2"/>
    <col min="23" max="23" width="5.25" style="2" bestFit="1" customWidth="1"/>
    <col min="24" max="31" width="9" style="2"/>
    <col min="32" max="32" width="13" style="2" bestFit="1" customWidth="1"/>
    <col min="33" max="33" width="9" style="2"/>
    <col min="34" max="34" width="11" style="2" bestFit="1" customWidth="1"/>
    <col min="35" max="37" width="7.125" style="2" bestFit="1" customWidth="1"/>
    <col min="38" max="39" width="5.25" style="2" bestFit="1" customWidth="1"/>
    <col min="40" max="44" width="9" style="2"/>
    <col min="45" max="47" width="13" style="2" bestFit="1" customWidth="1"/>
    <col min="48" max="48" width="9" style="2"/>
    <col min="49" max="49" width="7.125" style="2" bestFit="1" customWidth="1"/>
    <col min="50" max="50" width="13" style="2" bestFit="1" customWidth="1"/>
    <col min="51" max="51" width="9" style="2"/>
    <col min="52" max="52" width="7.125" style="2" bestFit="1" customWidth="1"/>
    <col min="53" max="55" width="9" style="2"/>
    <col min="56" max="56" width="16.375" style="2" bestFit="1" customWidth="1"/>
    <col min="57" max="57" width="17.5" style="2" bestFit="1" customWidth="1"/>
    <col min="58" max="59" width="16.375" style="2" bestFit="1" customWidth="1"/>
    <col min="60" max="60" width="9" style="2"/>
    <col min="61" max="61" width="13" style="2" bestFit="1" customWidth="1"/>
    <col min="62" max="64" width="9" style="2"/>
    <col min="65" max="65" width="17.25" style="2" bestFit="1" customWidth="1"/>
    <col min="66" max="68" width="9" style="2"/>
    <col min="69" max="69" width="13" style="2" bestFit="1" customWidth="1"/>
    <col min="70" max="70" width="9" style="2"/>
    <col min="71" max="71" width="10" style="2" bestFit="1" customWidth="1"/>
    <col min="72" max="72" width="9" style="2"/>
    <col min="73" max="73" width="11" style="2" bestFit="1" customWidth="1"/>
    <col min="74" max="74" width="9" style="2"/>
    <col min="75" max="75" width="10" style="2" bestFit="1" customWidth="1"/>
    <col min="76" max="77" width="9" style="2"/>
    <col min="78" max="78" width="10" style="2" bestFit="1" customWidth="1"/>
    <col min="79" max="80" width="9" style="2"/>
    <col min="81" max="82" width="11" style="2" bestFit="1" customWidth="1"/>
    <col min="83" max="16384" width="9" style="2"/>
  </cols>
  <sheetData>
    <row r="1" spans="1:13" ht="17.25" customHeight="1">
      <c r="A1" s="53" t="s">
        <v>597</v>
      </c>
      <c r="B1" s="26" t="s">
        <v>1</v>
      </c>
      <c r="C1" s="39">
        <v>201805008</v>
      </c>
      <c r="D1" s="40"/>
      <c r="E1" s="40"/>
      <c r="F1" s="40"/>
      <c r="G1" s="34"/>
    </row>
    <row r="2" spans="1:13" s="28" customFormat="1" ht="17.25" customHeight="1">
      <c r="A2" s="53"/>
      <c r="B2" s="26" t="s">
        <v>2</v>
      </c>
      <c r="C2" s="26" t="str">
        <f>VLOOKUP($C$1,详尽档案总表!$B$1:$CL$49,2,FALSE)</f>
        <v>昂静菲</v>
      </c>
      <c r="D2" s="26" t="s">
        <v>598</v>
      </c>
      <c r="E2" s="26">
        <f>VLOOKUP($C$1,详尽档案总表!$B$1:$CL$49,3,FALSE)</f>
        <v>716</v>
      </c>
      <c r="F2" s="27" t="s">
        <v>599</v>
      </c>
      <c r="G2" s="26">
        <f>VLOOKUP($C$1,详尽档案总表!$B$1:$CL$49,4,FALSE)</f>
        <v>2018011102</v>
      </c>
    </row>
    <row r="3" spans="1:13" ht="17.25" customHeight="1">
      <c r="A3" s="53"/>
      <c r="B3" s="26" t="s">
        <v>3</v>
      </c>
      <c r="C3" s="26">
        <f>VLOOKUP($C$1,详尽档案总表!$B$1:$CL$49,5,FALSE)</f>
        <v>32800</v>
      </c>
      <c r="D3" s="27" t="s">
        <v>600</v>
      </c>
      <c r="E3" s="26" t="str">
        <f>VLOOKUP($C$1,详尽档案总表!$B$1:$CL$49,6,FALSE)</f>
        <v>舒心房</v>
      </c>
      <c r="F3" s="26" t="s">
        <v>601</v>
      </c>
      <c r="G3" s="26">
        <f>VLOOKUP($C$1,详尽档案总表!$B$1:$CL$49,7,FALSE)</f>
        <v>26</v>
      </c>
    </row>
    <row r="4" spans="1:13" ht="17.25" customHeight="1">
      <c r="A4" s="53"/>
      <c r="B4" s="27" t="s">
        <v>35</v>
      </c>
      <c r="C4" s="26">
        <f>VLOOKUP($C$1,详尽档案总表!$B$1:$CL$49,8,FALSE)</f>
        <v>43248</v>
      </c>
      <c r="D4" s="27" t="s">
        <v>36</v>
      </c>
      <c r="E4" s="26">
        <f>VLOOKUP($C$1,详尽档案总表!$B$1:$CL$49,9,FALSE)</f>
        <v>0</v>
      </c>
      <c r="F4" s="26" t="s">
        <v>602</v>
      </c>
      <c r="G4" s="26">
        <f>VLOOKUP($C$1,详尽档案总表!$B$1:$CL$49,10,FALSE)</f>
        <v>0</v>
      </c>
    </row>
    <row r="5" spans="1:13" ht="17.25" customHeight="1">
      <c r="A5" s="53"/>
      <c r="B5" s="26" t="s">
        <v>5</v>
      </c>
      <c r="C5" s="26">
        <f>VLOOKUP($C$1,详尽档案总表!$B$1:$CL$49,11,FALSE)</f>
        <v>13987616090</v>
      </c>
      <c r="D5" s="26" t="s">
        <v>603</v>
      </c>
      <c r="E5" s="26">
        <f>VLOOKUP($C$1,详尽档案总表!$B$1:$CL$49,12,FALSE)</f>
        <v>0</v>
      </c>
      <c r="F5" s="26" t="s">
        <v>604</v>
      </c>
      <c r="G5" s="26">
        <f>VLOOKUP($C$1,详尽档案总表!$B$1:$CL$49,13,FALSE)</f>
        <v>0</v>
      </c>
    </row>
    <row r="6" spans="1:13" ht="17.25" customHeight="1">
      <c r="A6" s="53"/>
      <c r="B6" s="27" t="s">
        <v>4</v>
      </c>
      <c r="C6" s="50" t="str">
        <f>VLOOKUP($C$1,详尽档案总表!$B$1:$CL$49,16,FALSE)</f>
        <v>53012419780125082x</v>
      </c>
      <c r="D6" s="27" t="s">
        <v>205</v>
      </c>
      <c r="E6" s="49" t="str">
        <f>VLOOKUP($C$1,详尽档案总表!$B$1:$CL$49,17,FALSE)</f>
        <v>南京市玄武区成贤街119-3号</v>
      </c>
      <c r="F6" s="42"/>
      <c r="G6" s="43"/>
    </row>
    <row r="7" spans="1:13" ht="17.25" customHeight="1">
      <c r="A7" s="53"/>
      <c r="B7" s="26" t="s">
        <v>12</v>
      </c>
      <c r="C7" s="26">
        <f>VLOOKUP($C$1,详尽档案总表!$B$1:$CL$49,18,FALSE)</f>
        <v>0</v>
      </c>
      <c r="D7" s="27" t="s">
        <v>605</v>
      </c>
      <c r="E7" s="26" t="str">
        <f>VLOOKUP($C$1,详尽档案总表!$B$1:$CL$49,19,FALSE)</f>
        <v>五华区虹山东路141号</v>
      </c>
      <c r="F7" s="42"/>
      <c r="G7" s="43"/>
    </row>
    <row r="8" spans="1:13" ht="17.25" customHeight="1">
      <c r="A8" s="53"/>
      <c r="B8" s="26" t="s">
        <v>7</v>
      </c>
      <c r="C8" s="26">
        <f>VLOOKUP($C$1,详尽档案总表!$B$1:$CL$49,20,FALSE)</f>
        <v>0</v>
      </c>
      <c r="D8" s="27" t="s">
        <v>606</v>
      </c>
      <c r="E8" s="26" t="str">
        <f>VLOOKUP($C$1,详尽档案总表!$B$1:$CL$49,21,FALSE)</f>
        <v>设计师</v>
      </c>
      <c r="F8" s="27" t="s">
        <v>9</v>
      </c>
      <c r="G8" s="26">
        <f>VLOOKUP($C$1,详尽档案总表!$B$1:$CL$49,22,FALSE)</f>
        <v>0</v>
      </c>
    </row>
    <row r="9" spans="1:13" ht="17.25" customHeight="1">
      <c r="A9" s="53"/>
      <c r="B9" s="26" t="s">
        <v>8</v>
      </c>
      <c r="C9" s="26" t="str">
        <f>VLOOKUP($C$1,详尽档案总表!$B$1:$CL$49,23,FALSE)</f>
        <v>彝</v>
      </c>
      <c r="D9" s="27" t="s">
        <v>10</v>
      </c>
      <c r="E9" s="26">
        <f>VLOOKUP($C$1,详尽档案总表!$B$1:$CL$49,24,FALSE)</f>
        <v>0</v>
      </c>
      <c r="F9" s="26" t="s">
        <v>11</v>
      </c>
      <c r="G9" s="26">
        <f>VLOOKUP($C$1,详尽档案总表!$B$1:$CL$49,25,FALSE)</f>
        <v>0</v>
      </c>
    </row>
    <row r="10" spans="1:13" ht="17.25" customHeight="1">
      <c r="A10" s="53"/>
      <c r="B10" s="26" t="s">
        <v>13</v>
      </c>
      <c r="C10" s="26">
        <f>VLOOKUP($C$1,详尽档案总表!$B$1:$CL$49,26,FALSE)</f>
        <v>0</v>
      </c>
      <c r="D10" s="26" t="s">
        <v>14</v>
      </c>
      <c r="E10" s="26">
        <f>VLOOKUP($C$1,详尽档案总表!$B$1:$CL$49,27,FALSE)</f>
        <v>0</v>
      </c>
      <c r="F10" s="26" t="s">
        <v>607</v>
      </c>
      <c r="G10" s="26">
        <f>VLOOKUP($C$1,详尽档案总表!$B$1:$CL$49,28,FALSE)</f>
        <v>0</v>
      </c>
    </row>
    <row r="11" spans="1:13" ht="17.25" customHeight="1">
      <c r="A11" s="53"/>
      <c r="B11" s="26" t="s">
        <v>608</v>
      </c>
      <c r="C11" s="26">
        <f>VLOOKUP($C$1,详尽档案总表!$B$1:$CL$49,29,FALSE)</f>
        <v>0</v>
      </c>
      <c r="D11" s="26" t="s">
        <v>609</v>
      </c>
      <c r="E11" s="26">
        <f>VLOOKUP($C$1,详尽档案总表!$B$1:$CL$49,30,FALSE)</f>
        <v>0</v>
      </c>
      <c r="F11" s="26" t="s">
        <v>610</v>
      </c>
      <c r="G11" s="26">
        <f>VLOOKUP($C$1,详尽档案总表!$B$1:$CL$49,31,FALSE)</f>
        <v>0</v>
      </c>
    </row>
    <row r="12" spans="1:13" ht="17.25" customHeight="1">
      <c r="A12" s="53"/>
      <c r="B12" s="26" t="s">
        <v>611</v>
      </c>
      <c r="C12" s="26">
        <f>VLOOKUP($C$1,详尽档案总表!$B$1:$CL$49,32,FALSE)</f>
        <v>0</v>
      </c>
      <c r="D12" s="26" t="s">
        <v>612</v>
      </c>
      <c r="E12" s="26">
        <f>VLOOKUP($C$1,详尽档案总表!$B$1:$CL$49,33,FALSE)</f>
        <v>0</v>
      </c>
      <c r="F12" s="26" t="s">
        <v>613</v>
      </c>
      <c r="G12" s="26">
        <f>VLOOKUP($C$1,详尽档案总表!$B$1:$CL$49,34,FALSE)</f>
        <v>0</v>
      </c>
    </row>
    <row r="13" spans="1:13" ht="17.25" customHeight="1">
      <c r="A13" s="53"/>
      <c r="B13" s="26" t="s">
        <v>15</v>
      </c>
      <c r="C13" s="39">
        <f>VLOOKUP($C$1,详尽档案总表!$B$1:$CL$49,35,FALSE)</f>
        <v>0</v>
      </c>
      <c r="D13" s="40"/>
      <c r="E13" s="40"/>
      <c r="F13" s="40"/>
      <c r="G13" s="34"/>
    </row>
    <row r="14" spans="1:13" ht="17.25" customHeight="1">
      <c r="A14" s="53"/>
      <c r="B14" s="26" t="s">
        <v>19</v>
      </c>
      <c r="C14" s="26">
        <f>VLOOKUP($C$1,详尽档案总表!$B$1:$CL$49,36,FALSE)</f>
        <v>0</v>
      </c>
      <c r="D14" s="26" t="s">
        <v>18</v>
      </c>
      <c r="E14" s="26">
        <f>VLOOKUP($C$1,详尽档案总表!$B$1:$CL$49,37,FALSE)</f>
        <v>0</v>
      </c>
      <c r="F14" s="26" t="s">
        <v>17</v>
      </c>
      <c r="G14" s="26">
        <f>VLOOKUP($C$1,详尽档案总表!$B$1:$CL$49,38,FALSE)</f>
        <v>0</v>
      </c>
    </row>
    <row r="15" spans="1:13" ht="17.25" customHeight="1">
      <c r="A15" s="53"/>
      <c r="B15" s="26" t="s">
        <v>20</v>
      </c>
      <c r="C15" s="26">
        <f>VLOOKUP($C$1,详尽档案总表!$B$1:$CL$49,39,FALSE)</f>
        <v>0</v>
      </c>
      <c r="D15" s="26" t="s">
        <v>80</v>
      </c>
      <c r="E15" s="26" t="str">
        <f>VLOOKUP($C$1,详尽档案总表!$B$1:$CL$49,40,FALSE)</f>
        <v>2018.5.30</v>
      </c>
      <c r="F15" s="26" t="s">
        <v>25</v>
      </c>
      <c r="G15" s="26">
        <f>VLOOKUP($C$1,详尽档案总表!$B$1:$CL$49,41,FALSE)</f>
        <v>0</v>
      </c>
    </row>
    <row r="16" spans="1:13" ht="17.25" customHeight="1">
      <c r="A16" s="53"/>
      <c r="B16" s="26" t="s">
        <v>206</v>
      </c>
      <c r="C16" s="26" t="str">
        <f>VLOOKUP($C$1,详尽档案总表!$B$1:$CL$49,42,FALSE)</f>
        <v>一胎</v>
      </c>
      <c r="D16" s="26" t="s">
        <v>207</v>
      </c>
      <c r="E16" s="26">
        <f>VLOOKUP($C$1,详尽档案总表!$B$1:$CL$49,43,FALSE)</f>
        <v>40</v>
      </c>
      <c r="F16" s="26" t="s">
        <v>22</v>
      </c>
      <c r="G16" s="26">
        <f>VLOOKUP($C$1,详尽档案总表!$B$1:$CL$49,44,FALSE)</f>
        <v>0</v>
      </c>
      <c r="M16" s="41"/>
    </row>
    <row r="17" spans="1:7" ht="17.25" customHeight="1">
      <c r="A17" s="53"/>
      <c r="B17" s="26" t="s">
        <v>21</v>
      </c>
      <c r="C17" s="26" t="str">
        <f>VLOOKUP($C$1,详尽档案总表!$B$1:$CL$49,45,FALSE)</f>
        <v>昆华医院</v>
      </c>
      <c r="D17" s="26" t="s">
        <v>24</v>
      </c>
      <c r="E17" s="26">
        <f>VLOOKUP($C$1,详尽档案总表!$B$1:$CL$49,46,FALSE)</f>
        <v>0</v>
      </c>
      <c r="F17" s="26" t="s">
        <v>16</v>
      </c>
      <c r="G17" s="26" t="str">
        <f>VLOOKUP($C$1,详尽档案总表!$B$1:$CL$49,47,FALSE)</f>
        <v>妊娠糖尿病</v>
      </c>
    </row>
    <row r="18" spans="1:7" ht="17.25" customHeight="1">
      <c r="A18" s="53"/>
      <c r="B18" s="26" t="s">
        <v>23</v>
      </c>
      <c r="C18" s="39">
        <f>VLOOKUP($C$1,详尽档案总表!$B$1:$CL$49,48,FALSE)</f>
        <v>0</v>
      </c>
      <c r="D18" s="37"/>
      <c r="E18" s="37"/>
      <c r="F18" s="37"/>
      <c r="G18" s="38"/>
    </row>
    <row r="19" spans="1:7" ht="17.25" customHeight="1">
      <c r="A19" s="53"/>
      <c r="B19" s="26" t="s">
        <v>614</v>
      </c>
      <c r="C19" s="26">
        <f>VLOOKUP($C$1,详尽档案总表!$B$1:$CL$49,49,FALSE)</f>
        <v>0</v>
      </c>
      <c r="D19" s="29" t="s">
        <v>615</v>
      </c>
      <c r="E19" s="26">
        <f>VLOOKUP($C$1,详尽档案总表!$B$1:$CL$49,50,FALSE)</f>
        <v>0</v>
      </c>
      <c r="F19" s="29" t="s">
        <v>616</v>
      </c>
      <c r="G19" s="26">
        <f>VLOOKUP($C$1,详尽档案总表!$B$1:$CL$49,51,FALSE)</f>
        <v>0</v>
      </c>
    </row>
    <row r="20" spans="1:7" ht="17.25" customHeight="1">
      <c r="A20" s="53"/>
      <c r="B20" s="26" t="s">
        <v>617</v>
      </c>
      <c r="C20" s="39">
        <f>VLOOKUP($C$1,详尽档案总表!$B$1:$CL$49,52,FALSE)</f>
        <v>0</v>
      </c>
      <c r="D20" s="37"/>
      <c r="E20" s="37"/>
      <c r="F20" s="37"/>
      <c r="G20" s="38"/>
    </row>
    <row r="21" spans="1:7" ht="17.25" customHeight="1">
      <c r="A21" s="53"/>
      <c r="B21" s="27" t="s">
        <v>618</v>
      </c>
      <c r="C21" s="39">
        <f>VLOOKUP($C$1,详尽档案总表!$B$1:$CL$49,53,FALSE)</f>
        <v>0</v>
      </c>
      <c r="D21" s="42"/>
      <c r="E21" s="42"/>
      <c r="F21" s="42"/>
      <c r="G21" s="43"/>
    </row>
    <row r="22" spans="1:7" ht="17.25" customHeight="1">
      <c r="A22" s="53"/>
      <c r="B22" s="27" t="s">
        <v>619</v>
      </c>
      <c r="C22" s="39">
        <f>VLOOKUP($C$1,详尽档案总表!$B$1:$CL$49,54,FALSE)</f>
        <v>0</v>
      </c>
      <c r="D22" s="42"/>
      <c r="E22" s="42"/>
      <c r="F22" s="42"/>
      <c r="G22" s="43"/>
    </row>
    <row r="23" spans="1:7" ht="17.25" customHeight="1">
      <c r="A23" s="51" t="s">
        <v>620</v>
      </c>
      <c r="B23" s="30" t="s">
        <v>208</v>
      </c>
      <c r="C23" s="44">
        <f>VLOOKUP($C$1,详尽档案总表!$B$1:$CL$49,55,FALSE)</f>
        <v>43242</v>
      </c>
      <c r="D23" s="31" t="s">
        <v>209</v>
      </c>
      <c r="E23" s="31">
        <f>VLOOKUP($C$1,详尽档案总表!$B$1:$CL$49,56,FALSE)</f>
        <v>0</v>
      </c>
      <c r="F23" s="31" t="s">
        <v>210</v>
      </c>
      <c r="G23" s="31">
        <f>VLOOKUP($C$1,详尽档案总表!$B$1:$CL$49,57,FALSE)</f>
        <v>0</v>
      </c>
    </row>
    <row r="24" spans="1:7" ht="17.25" customHeight="1">
      <c r="A24" s="52"/>
      <c r="B24" s="31" t="s">
        <v>26</v>
      </c>
      <c r="C24" s="31">
        <f>VLOOKUP($C$1,详尽档案总表!$B$1:$CL$49,58,FALSE)</f>
        <v>0</v>
      </c>
      <c r="D24" s="31" t="s">
        <v>211</v>
      </c>
      <c r="E24" s="31">
        <f>VLOOKUP($C$1,详尽档案总表!$B$1:$CL$49,59,FALSE)</f>
        <v>0</v>
      </c>
      <c r="F24" s="31" t="s">
        <v>27</v>
      </c>
      <c r="G24" s="31" t="str">
        <f>VLOOKUP($C$1,详尽档案总表!$B$1:$CL$49,60,FALSE)</f>
        <v>男</v>
      </c>
    </row>
    <row r="25" spans="1:7" ht="17.25" customHeight="1">
      <c r="A25" s="52"/>
      <c r="B25" s="31" t="s">
        <v>28</v>
      </c>
      <c r="C25" s="31">
        <f>VLOOKUP($C$1,详尽档案总表!$B$1:$CL$49,61,FALSE)</f>
        <v>0</v>
      </c>
      <c r="D25" s="31" t="s">
        <v>29</v>
      </c>
      <c r="E25" s="31">
        <f>VLOOKUP($C$1,详尽档案总表!$B$1:$CL$49,62,FALSE)</f>
        <v>0</v>
      </c>
      <c r="F25" s="31" t="s">
        <v>32</v>
      </c>
      <c r="G25" s="31">
        <f>VLOOKUP($C$1,详尽档案总表!$B$1:$CL$49,63,FALSE)</f>
        <v>0</v>
      </c>
    </row>
    <row r="26" spans="1:7" ht="17.25" customHeight="1">
      <c r="A26" s="52"/>
      <c r="B26" s="31" t="s">
        <v>30</v>
      </c>
      <c r="C26" s="31">
        <f>VLOOKUP($C$1,详尽档案总表!$B$1:$CL$49,64,FALSE)</f>
        <v>0</v>
      </c>
      <c r="D26" s="31" t="s">
        <v>31</v>
      </c>
      <c r="E26" s="31">
        <f>VLOOKUP($C$1,详尽档案总表!$B$1:$CL$49,65,FALSE)</f>
        <v>0</v>
      </c>
      <c r="F26" s="31" t="s">
        <v>34</v>
      </c>
      <c r="G26" s="31">
        <f>VLOOKUP($C$1,详尽档案总表!$B$1:$CL$49,66,FALSE)</f>
        <v>0</v>
      </c>
    </row>
    <row r="27" spans="1:7" ht="17.25" customHeight="1">
      <c r="A27" s="52"/>
      <c r="B27" s="31" t="s">
        <v>33</v>
      </c>
      <c r="C27" s="31">
        <f>VLOOKUP($C$1,详尽档案总表!$B$1:$CL$49,67,FALSE)</f>
        <v>0</v>
      </c>
      <c r="D27" s="45"/>
      <c r="E27" s="45"/>
      <c r="F27" s="45"/>
      <c r="G27" s="46"/>
    </row>
    <row r="28" spans="1:7" ht="17.25" customHeight="1">
      <c r="A28" s="53" t="s">
        <v>621</v>
      </c>
      <c r="B28" s="32" t="s">
        <v>622</v>
      </c>
      <c r="C28" s="26">
        <f>VLOOKUP($C$1,详尽档案总表!$B$1:$CL$49,68,FALSE)</f>
        <v>0</v>
      </c>
      <c r="D28" s="29" t="s">
        <v>623</v>
      </c>
      <c r="E28" s="26">
        <f>VLOOKUP($C$1,详尽档案总表!$B$1:$CL$49,69,FALSE)</f>
        <v>0</v>
      </c>
      <c r="F28" s="29" t="s">
        <v>624</v>
      </c>
      <c r="G28" s="26" t="str">
        <f>VLOOKUP($C$1,详尽档案总表!$B$1:$CL$49,70,FALSE)</f>
        <v>二胎</v>
      </c>
    </row>
    <row r="29" spans="1:7" ht="17.25" customHeight="1">
      <c r="A29" s="53"/>
      <c r="B29" s="33" t="s">
        <v>625</v>
      </c>
      <c r="C29" s="26">
        <f>VLOOKUP($C$1,详尽档案总表!$B$1:$CL$49,71,FALSE)</f>
        <v>0</v>
      </c>
      <c r="D29" s="29" t="s">
        <v>626</v>
      </c>
      <c r="E29" s="26">
        <f>VLOOKUP($C$1,详尽档案总表!$B$1:$CL$49,72,FALSE)</f>
        <v>0</v>
      </c>
      <c r="F29" s="29" t="s">
        <v>627</v>
      </c>
      <c r="G29" s="26">
        <f>VLOOKUP($C$1,详尽档案总表!$B$1:$CL$49,72,FALSE)</f>
        <v>0</v>
      </c>
    </row>
    <row r="30" spans="1:7" ht="17.25" customHeight="1">
      <c r="A30" s="53"/>
      <c r="B30" s="34" t="s">
        <v>628</v>
      </c>
      <c r="C30" s="26" t="str">
        <f>VLOOKUP($C$1,详尽档案总表!$B$1:$CL$49,74,FALSE)</f>
        <v>陈敏文</v>
      </c>
      <c r="D30" s="26" t="s">
        <v>629</v>
      </c>
      <c r="E30" s="26" t="str">
        <f>VLOOKUP($C$1,详尽档案总表!$B$1:$CL$49,75,FALSE)</f>
        <v>丈夫</v>
      </c>
      <c r="F30" s="26" t="s">
        <v>5</v>
      </c>
      <c r="G30" s="26">
        <f>VLOOKUP($C$1,详尽档案总表!$B$1:$CL$49,76,FALSE)</f>
        <v>13888517717</v>
      </c>
    </row>
    <row r="31" spans="1:7" ht="17.25" customHeight="1">
      <c r="A31" s="53"/>
      <c r="B31" s="34" t="s">
        <v>4</v>
      </c>
      <c r="C31" s="26">
        <f>VLOOKUP($C$1,详尽档案总表!$B$1:$CL$49,77,FALSE)</f>
        <v>0</v>
      </c>
      <c r="D31" s="26" t="s">
        <v>630</v>
      </c>
      <c r="E31" s="26">
        <f>VLOOKUP($C$1,详尽档案总表!$B$1:$CL$49,78,FALSE)</f>
        <v>0</v>
      </c>
      <c r="F31" s="26" t="s">
        <v>631</v>
      </c>
      <c r="G31" s="26">
        <f>VLOOKUP($C$1,详尽档案总表!$B$1:$CL$49,79,FALSE)</f>
        <v>0</v>
      </c>
    </row>
    <row r="32" spans="1:7" ht="17.25" customHeight="1">
      <c r="A32" s="53"/>
      <c r="B32" s="34" t="s">
        <v>632</v>
      </c>
      <c r="C32" s="26">
        <f>VLOOKUP($C$1,详尽档案总表!$B$1:$CL$49,80,FALSE)</f>
        <v>0</v>
      </c>
      <c r="D32" s="26" t="s">
        <v>633</v>
      </c>
      <c r="E32" s="26">
        <f>VLOOKUP($C$1,详尽档案总表!$B$1:$CL$49,81,FALSE)</f>
        <v>0</v>
      </c>
      <c r="F32" s="26" t="s">
        <v>5</v>
      </c>
      <c r="G32" s="26">
        <f>VLOOKUP($C$1,详尽档案总表!$B$1:$CL$49,82,FALSE)</f>
        <v>0</v>
      </c>
    </row>
    <row r="33" spans="1:7" ht="17.25" customHeight="1">
      <c r="A33" s="53"/>
      <c r="B33" s="34" t="s">
        <v>634</v>
      </c>
      <c r="C33" s="26">
        <f>VLOOKUP($C$1,详尽档案总表!$B$1:$CL$49,83,FALSE)</f>
        <v>0</v>
      </c>
      <c r="D33" s="26" t="s">
        <v>635</v>
      </c>
      <c r="E33" s="26">
        <f>VLOOKUP($C$1,详尽档案总表!$B$1:$CL$49,84,FALSE)</f>
        <v>0</v>
      </c>
      <c r="F33" s="26" t="s">
        <v>5</v>
      </c>
      <c r="G33" s="26">
        <f>VLOOKUP($C$1,详尽档案总表!$B$1:$CL$49,85,FALSE)</f>
        <v>0</v>
      </c>
    </row>
    <row r="34" spans="1:7" ht="17.25" customHeight="1">
      <c r="A34" s="52" t="s">
        <v>636</v>
      </c>
      <c r="B34" s="35" t="s">
        <v>637</v>
      </c>
      <c r="C34" s="47">
        <f>VLOOKUP($C$1,详尽档案总表!$B$1:$CL$49,86,FALSE)</f>
        <v>0</v>
      </c>
      <c r="D34" s="48"/>
      <c r="E34" s="48"/>
      <c r="F34" s="48"/>
      <c r="G34" s="31"/>
    </row>
    <row r="35" spans="1:7" ht="17.25" customHeight="1">
      <c r="A35" s="52"/>
      <c r="B35" s="31" t="s">
        <v>638</v>
      </c>
      <c r="C35" s="31">
        <f>VLOOKUP($C$1,详尽档案总表!$B$1:$CL$49,87,FALSE)</f>
        <v>0</v>
      </c>
      <c r="D35" s="31" t="s">
        <v>639</v>
      </c>
      <c r="E35" s="31">
        <f>VLOOKUP($C$1,详尽档案总表!$B$1:$CL$49,88,FALSE)</f>
        <v>0</v>
      </c>
      <c r="F35" s="31" t="s">
        <v>640</v>
      </c>
      <c r="G35" s="31">
        <f>VLOOKUP($C$1,详尽档案总表!$B$1:$CL$49,89,FALSE)</f>
        <v>0</v>
      </c>
    </row>
  </sheetData>
  <mergeCells count="4">
    <mergeCell ref="A1:A22"/>
    <mergeCell ref="A23:A27"/>
    <mergeCell ref="A28:A33"/>
    <mergeCell ref="A34:A3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详尽档案总表</vt:lpstr>
      <vt:lpstr>李骜</vt:lpstr>
      <vt:lpstr>马翥</vt:lpstr>
      <vt:lpstr>谭澍</vt:lpstr>
      <vt:lpstr>郭君</vt:lpstr>
      <vt:lpstr>王慧勤</vt:lpstr>
      <vt:lpstr>叶小娇</vt:lpstr>
      <vt:lpstr>朱丽羽</vt:lpstr>
      <vt:lpstr>昂静菲</vt:lpstr>
      <vt:lpstr>陈焕美</vt:lpstr>
      <vt:lpstr>杨芸</vt:lpstr>
      <vt:lpstr>胡永俊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cp:lastPrinted>2018-06-08T07:27:07Z</cp:lastPrinted>
  <dcterms:created xsi:type="dcterms:W3CDTF">2006-09-13T11:21:00Z</dcterms:created>
  <dcterms:modified xsi:type="dcterms:W3CDTF">2018-06-08T07:56:45Z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