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70" windowHeight="0"/>
  </bookViews>
  <sheets>
    <sheet name="MAIN" sheetId="7" r:id="rId1"/>
    <sheet name="熊本_20240313_20240317" sheetId="5" r:id="rId2"/>
    <sheet name="釜山_20240627_20240630" sheetId="1" r:id="rId3"/>
    <sheet name="布里斯本_20241010_20241019" sheetId="6" r:id="rId4"/>
    <sheet name="東京_20240503_20240505" sheetId="12" r:id="rId5"/>
    <sheet name="美西_20250124_20250131_東京外站" sheetId="10" r:id="rId6"/>
    <sheet name="沖繩_20250312_20250316_東京外站" sheetId="11" r:id="rId7"/>
    <sheet name="新加坡峇里島_20250124_20250129" sheetId="8" r:id="rId8"/>
    <sheet name="沖繩_20250312_20250316" sheetId="9" r:id="rId9"/>
    <sheet name="沖繩_20241213_20241215" sheetId="3" r:id="rId10"/>
    <sheet name="美西_20250124_20250131" sheetId="2" r:id="rId11"/>
    <sheet name="福岡_20250312_20250316" sheetId="4" r:id="rId12"/>
  </sheets>
  <calcPr calcId="162913"/>
</workbook>
</file>

<file path=xl/calcChain.xml><?xml version="1.0" encoding="utf-8"?>
<calcChain xmlns="http://schemas.openxmlformats.org/spreadsheetml/2006/main">
  <c r="C21" i="7" l="1"/>
  <c r="E30" i="7"/>
  <c r="D30" i="7"/>
  <c r="C30" i="7"/>
  <c r="C15" i="7"/>
  <c r="C16" i="7"/>
  <c r="C29" i="7"/>
  <c r="E29" i="7" s="1"/>
  <c r="C28" i="7"/>
  <c r="E28" i="7" s="1"/>
  <c r="C27" i="7"/>
  <c r="E27" i="7" s="1"/>
  <c r="D13" i="10"/>
  <c r="D11" i="12"/>
  <c r="D9" i="12"/>
  <c r="D11" i="10"/>
  <c r="E15" i="7" l="1"/>
  <c r="D12" i="8"/>
  <c r="D11" i="2"/>
  <c r="C22" i="7"/>
  <c r="E22" i="7" s="1"/>
  <c r="D9" i="9"/>
  <c r="E21" i="7"/>
  <c r="D23" i="7"/>
  <c r="D11" i="8"/>
  <c r="C14" i="7"/>
  <c r="D6" i="7"/>
  <c r="D5" i="7"/>
  <c r="D4" i="7"/>
  <c r="D7" i="7" s="1"/>
  <c r="C6" i="7"/>
  <c r="C5" i="7"/>
  <c r="C4" i="7"/>
  <c r="C7" i="7" s="1"/>
  <c r="D14" i="6"/>
  <c r="F7" i="6"/>
  <c r="F6" i="6"/>
  <c r="F5" i="6"/>
  <c r="F4" i="6"/>
  <c r="F3" i="6"/>
  <c r="F2" i="6"/>
  <c r="D12" i="1"/>
  <c r="D11" i="1"/>
  <c r="D9" i="1"/>
  <c r="D13" i="6"/>
  <c r="D10" i="6"/>
  <c r="D13" i="5"/>
  <c r="D12" i="5"/>
  <c r="F57" i="5"/>
  <c r="F56" i="5"/>
  <c r="F55" i="5"/>
  <c r="F54" i="5"/>
  <c r="F53" i="5"/>
  <c r="F52" i="5"/>
  <c r="F51" i="5"/>
  <c r="F2" i="5"/>
  <c r="F3" i="5"/>
  <c r="D10" i="4"/>
  <c r="D9" i="4"/>
  <c r="D10" i="3"/>
  <c r="D9" i="2"/>
  <c r="D9" i="3"/>
  <c r="F4" i="1"/>
  <c r="F3" i="1"/>
  <c r="F2" i="1"/>
  <c r="E23" i="7" l="1"/>
  <c r="C23" i="7"/>
  <c r="E14" i="7"/>
  <c r="E6" i="7"/>
  <c r="E16" i="7"/>
  <c r="C17" i="7"/>
  <c r="D17" i="7"/>
  <c r="E4" i="7"/>
  <c r="E5" i="7"/>
  <c r="E17" i="7" l="1"/>
  <c r="E7" i="7"/>
</calcChain>
</file>

<file path=xl/sharedStrings.xml><?xml version="1.0" encoding="utf-8"?>
<sst xmlns="http://schemas.openxmlformats.org/spreadsheetml/2006/main" count="263" uniqueCount="95">
  <si>
    <t>預計住宿</t>
  </si>
  <si>
    <t>匯率</t>
  </si>
  <si>
    <t>Mipo Oceanside Hotel</t>
  </si>
  <si>
    <t>2024/6/27~2024/6/30</t>
  </si>
  <si>
    <t>BookingTS</t>
  </si>
  <si>
    <t>Y典藏飯店 (LCT Residence Y collection)</t>
  </si>
  <si>
    <t>AgodaVISA</t>
  </si>
  <si>
    <t>UH 海雲台套房飯店 (UH SUITE THE HAEUNDAE)</t>
  </si>
  <si>
    <t>已取消住宿</t>
  </si>
  <si>
    <t>交通</t>
  </si>
  <si>
    <t>釜山航空 BX794</t>
  </si>
  <si>
    <t>濟州航空 7C2653</t>
  </si>
  <si>
    <t>體驗</t>
  </si>
  <si>
    <t>三</t>
  </si>
  <si>
    <t>四</t>
  </si>
  <si>
    <t>五</t>
  </si>
  <si>
    <t>六</t>
  </si>
  <si>
    <t>日</t>
  </si>
  <si>
    <t>星宇航空</t>
    <phoneticPr fontId="10" type="noConversion"/>
  </si>
  <si>
    <t>ezTravel</t>
    <phoneticPr fontId="10" type="noConversion"/>
  </si>
  <si>
    <t>星宇航空(台北→洛杉磯 1/24外站票)</t>
    <phoneticPr fontId="10" type="noConversion"/>
  </si>
  <si>
    <t>星宇航空(舊金山→台北 1/31外站票)</t>
    <phoneticPr fontId="10" type="noConversion"/>
  </si>
  <si>
    <t>星宇航空(沖繩→台北 12/15外站票)</t>
    <phoneticPr fontId="10" type="noConversion"/>
  </si>
  <si>
    <t>中華航空(台北→沖繩 沖繩福岡來回)</t>
    <phoneticPr fontId="10" type="noConversion"/>
  </si>
  <si>
    <r>
      <rPr>
        <u/>
        <sz val="10"/>
        <color theme="10"/>
        <rFont val="Arial"/>
        <family val="3"/>
        <charset val="136"/>
        <scheme val="minor"/>
      </rPr>
      <t>山富旅遊</t>
    </r>
    <phoneticPr fontId="10" type="noConversion"/>
  </si>
  <si>
    <t>星宇航空(台北→福岡 2月外站票)</t>
    <phoneticPr fontId="10" type="noConversion"/>
  </si>
  <si>
    <t>Yamashitako Lodge</t>
  </si>
  <si>
    <t>2024/3/13~2024/3/15</t>
  </si>
  <si>
    <t>Candeo熊本新市街飯店(Candeo Hotels Kumamoto Shinshigai)</t>
  </si>
  <si>
    <t>2024/3/15~2024/3/17</t>
  </si>
  <si>
    <t>Trip</t>
  </si>
  <si>
    <t>Rakuten STAY HOUSE x WILL STYLE Yufuin Kawakami 101</t>
  </si>
  <si>
    <t>Booking</t>
  </si>
  <si>
    <t>Rakuten STAY HOUSE x WILL STYLE Yufuin Kawakami 102</t>
  </si>
  <si>
    <t>Gensen-Private Vacation Villa Bettei Gensen</t>
  </si>
  <si>
    <t>OMO5 Kumamoto by Hoshino Resorts</t>
  </si>
  <si>
    <t>Cominka Yufuin</t>
  </si>
  <si>
    <t>SUMITSUGU HOUSE Atelier Suite</t>
  </si>
  <si>
    <t>W2 3/13 1200~3/17 1200</t>
    <phoneticPr fontId="10" type="noConversion"/>
  </si>
  <si>
    <t>Toyota Rent a Car</t>
    <phoneticPr fontId="10" type="noConversion"/>
  </si>
  <si>
    <t>補助款</t>
    <phoneticPr fontId="10" type="noConversion"/>
  </si>
  <si>
    <t>雅齡媽媽</t>
    <phoneticPr fontId="10" type="noConversion"/>
  </si>
  <si>
    <t>星宇航空(選位)</t>
    <phoneticPr fontId="10" type="noConversion"/>
  </si>
  <si>
    <t>選位</t>
    <phoneticPr fontId="10" type="noConversion"/>
  </si>
  <si>
    <t>現金回饋</t>
    <phoneticPr fontId="10" type="noConversion"/>
  </si>
  <si>
    <t>Gold Coast Paradise Retreat 4Beds at Arundel</t>
  </si>
  <si>
    <t>Booking(TS)</t>
  </si>
  <si>
    <t>Beach House 4 brm, 3 mins walk to beach</t>
  </si>
  <si>
    <t>Hope Street Apartments by CLLIX</t>
  </si>
  <si>
    <t>長榮航空(外站票)</t>
    <phoneticPr fontId="10" type="noConversion"/>
  </si>
  <si>
    <t>2024/10/10~2024/10/14</t>
    <phoneticPr fontId="10" type="noConversion"/>
  </si>
  <si>
    <t>2024/10/14~2024/10/17</t>
    <phoneticPr fontId="10" type="noConversion"/>
  </si>
  <si>
    <t>2024/10/17~2024/10/19</t>
    <phoneticPr fontId="10" type="noConversion"/>
  </si>
  <si>
    <t>Plantation Retreat 4 Bedroom Modern Home</t>
  </si>
  <si>
    <t>Oasis by the Pool, thrilling themeparks.</t>
  </si>
  <si>
    <t>雅齡爸爸+媽媽</t>
    <phoneticPr fontId="10" type="noConversion"/>
  </si>
  <si>
    <t>Toyota HiAce</t>
  </si>
  <si>
    <t>VroomVroom</t>
  </si>
  <si>
    <t>預計費用</t>
    <phoneticPr fontId="10" type="noConversion"/>
  </si>
  <si>
    <t>熊本_20240313_20240317</t>
    <phoneticPr fontId="10" type="noConversion"/>
  </si>
  <si>
    <t>釜山_20240627_20240630</t>
    <phoneticPr fontId="10" type="noConversion"/>
  </si>
  <si>
    <t>布里斯本_20241010_20241019</t>
    <phoneticPr fontId="10" type="noConversion"/>
  </si>
  <si>
    <t>沖繩_20241213_20241215</t>
  </si>
  <si>
    <t>美西_20250124_20250131</t>
  </si>
  <si>
    <t>福岡_20250312_20250316</t>
  </si>
  <si>
    <t>已付費用</t>
    <phoneticPr fontId="10" type="noConversion"/>
  </si>
  <si>
    <t>待支出費用</t>
    <phoneticPr fontId="10" type="noConversion"/>
  </si>
  <si>
    <t>合計</t>
    <phoneticPr fontId="10" type="noConversion"/>
  </si>
  <si>
    <t>已確定旅行</t>
    <phoneticPr fontId="10" type="noConversion"/>
  </si>
  <si>
    <t>計劃旅行</t>
    <phoneticPr fontId="10" type="noConversion"/>
  </si>
  <si>
    <t>Y/N</t>
    <phoneticPr fontId="10" type="noConversion"/>
  </si>
  <si>
    <t>爸媽單人票</t>
    <phoneticPr fontId="10" type="noConversion"/>
  </si>
  <si>
    <t>kiwi</t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</si>
  <si>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荷蘭航空</t>
    </r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</si>
  <si>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酷航</t>
    </r>
    <phoneticPr fontId="10" type="noConversion"/>
  </si>
  <si>
    <t>酷航(台北→新加坡 2025/1/24)</t>
    <phoneticPr fontId="10" type="noConversion"/>
  </si>
  <si>
    <t>荷蘭航空(新加坡→峇里島 2025/1/26)</t>
    <phoneticPr fontId="10" type="noConversion"/>
  </si>
  <si>
    <t>長榮航空(峇里島→台北 兩段票 2025/1/29)</t>
    <phoneticPr fontId="10" type="noConversion"/>
  </si>
  <si>
    <t>新加坡峇里島_20250124_20250129</t>
  </si>
  <si>
    <t>長榮航空(台北→沖繩 兩段票 2025/3/12)</t>
    <phoneticPr fontId="10" type="noConversion"/>
  </si>
  <si>
    <t>沖繩_20250312_20250316</t>
    <phoneticPr fontId="10" type="noConversion"/>
  </si>
  <si>
    <t>爸媽單人票(外站票)</t>
    <phoneticPr fontId="10" type="noConversion"/>
  </si>
  <si>
    <t>ezTravel</t>
  </si>
  <si>
    <t>星宇航空(台北→沖繩 2月外站票)</t>
    <phoneticPr fontId="10" type="noConversion"/>
  </si>
  <si>
    <t>星宇航空(東京→台北 1/24外站票)</t>
    <phoneticPr fontId="10" type="noConversion"/>
  </si>
  <si>
    <t>酷航(台北→東京)</t>
    <phoneticPr fontId="10" type="noConversion"/>
  </si>
  <si>
    <t>kiwi</t>
    <phoneticPr fontId="10" type="noConversion"/>
  </si>
  <si>
    <t>爸媽單人票</t>
    <phoneticPr fontId="10" type="noConversion"/>
  </si>
  <si>
    <t>租車</t>
  </si>
  <si>
    <t>租車</t>
    <phoneticPr fontId="10" type="noConversion"/>
  </si>
  <si>
    <t>回程</t>
  </si>
  <si>
    <t>回程</t>
    <phoneticPr fontId="10" type="noConversion"/>
  </si>
  <si>
    <t>東京_20240503_20240505</t>
  </si>
  <si>
    <t>美西_20250124_20250131_東京外站</t>
  </si>
  <si>
    <t>沖繩_20250312_20250316_東京外站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</si>
</sst>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NT$&quot;#,##0"/>
    <numFmt numFmtId="177" formatCode="#,##0_ ;[Red]\-#,##0\ "/>
  </numFmts>
  <fonts count="2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u/>
      <sz val="14"/>
      <color rgb="FF0000FF"/>
      <name val="Arial"/>
      <family val="2"/>
    </font>
    <font>
      <u/>
      <sz val="14"/>
      <color rgb="FF0000FF"/>
      <name val="Arial"/>
      <family val="2"/>
    </font>
    <font>
      <u/>
      <sz val="14"/>
      <color rgb="FF1155CC"/>
      <name val="Arial"/>
      <family val="2"/>
    </font>
    <font>
      <u/>
      <sz val="14"/>
      <color rgb="FF1155CC"/>
      <name val="Arial"/>
      <family val="2"/>
    </font>
    <font>
      <sz val="13"/>
      <color theme="1"/>
      <name val="Arial"/>
      <family val="2"/>
    </font>
    <font>
      <u/>
      <sz val="10"/>
      <color theme="10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  <font>
      <u/>
      <sz val="14"/>
      <color rgb="FF0000FF"/>
      <name val="微軟正黑體"/>
      <family val="2"/>
      <charset val="136"/>
    </font>
    <font>
      <sz val="14"/>
      <color theme="1"/>
      <name val="微軟正黑體"/>
      <family val="2"/>
      <charset val="136"/>
    </font>
    <font>
      <u/>
      <sz val="14"/>
      <color rgb="FF1155CC"/>
      <name val="微軟正黑體"/>
      <family val="2"/>
      <charset val="136"/>
    </font>
    <font>
      <u/>
      <sz val="10"/>
      <color theme="10"/>
      <name val="Arial"/>
      <family val="3"/>
      <charset val="136"/>
      <scheme val="minor"/>
    </font>
    <font>
      <sz val="10"/>
      <name val="微軟正黑體"/>
      <family val="2"/>
      <charset val="136"/>
    </font>
    <font>
      <sz val="14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000000"/>
      <name val="Arial"/>
      <family val="2"/>
    </font>
    <font>
      <sz val="12"/>
      <color rgb="FF000000"/>
      <name val="Arial"/>
      <family val="3"/>
      <charset val="136"/>
      <scheme val="minor"/>
    </font>
    <font>
      <u/>
      <sz val="10"/>
      <color theme="10"/>
      <name val="Arial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theme="2" tint="-4.9989318521683403E-2"/>
        <bgColor rgb="FFCFE2F3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0" tint="-4.9989318521683403E-2"/>
        <bgColor rgb="FFCFE2F3"/>
      </patternFill>
    </fill>
    <fill>
      <patternFill patternType="solid">
        <fgColor theme="5" tint="0.79998168889431442"/>
        <bgColor rgb="FFCFE2F3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3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4" fillId="2" borderId="5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>
      <alignment horizontal="right"/>
    </xf>
    <xf numFmtId="176" fontId="2" fillId="2" borderId="5" xfId="0" applyNumberFormat="1" applyFont="1" applyFill="1" applyBorder="1" applyAlignment="1">
      <alignment horizontal="right"/>
    </xf>
    <xf numFmtId="176" fontId="1" fillId="0" borderId="0" xfId="0" applyNumberFormat="1" applyFont="1" applyAlignment="1"/>
    <xf numFmtId="0" fontId="2" fillId="2" borderId="5" xfId="0" applyFont="1" applyFill="1" applyBorder="1" applyAlignment="1"/>
    <xf numFmtId="0" fontId="1" fillId="2" borderId="5" xfId="0" applyFont="1" applyFill="1" applyBorder="1" applyAlignment="1"/>
    <xf numFmtId="0" fontId="1" fillId="2" borderId="5" xfId="0" applyFont="1" applyFill="1" applyBorder="1" applyAlignment="1"/>
    <xf numFmtId="14" fontId="1" fillId="2" borderId="5" xfId="0" applyNumberFormat="1" applyFont="1" applyFill="1" applyBorder="1" applyAlignment="1"/>
    <xf numFmtId="176" fontId="1" fillId="2" borderId="5" xfId="0" applyNumberFormat="1" applyFont="1" applyFill="1" applyBorder="1" applyAlignment="1"/>
    <xf numFmtId="0" fontId="1" fillId="0" borderId="4" xfId="0" applyFont="1" applyBorder="1" applyAlignment="1"/>
    <xf numFmtId="0" fontId="5" fillId="2" borderId="5" xfId="0" applyFont="1" applyFill="1" applyBorder="1" applyAlignment="1"/>
    <xf numFmtId="0" fontId="6" fillId="2" borderId="5" xfId="0" applyFont="1" applyFill="1" applyBorder="1" applyAlignment="1"/>
    <xf numFmtId="14" fontId="1" fillId="3" borderId="5" xfId="0" applyNumberFormat="1" applyFont="1" applyFill="1" applyBorder="1" applyAlignment="1"/>
    <xf numFmtId="176" fontId="1" fillId="3" borderId="5" xfId="0" applyNumberFormat="1" applyFont="1" applyFill="1" applyBorder="1" applyAlignment="1"/>
    <xf numFmtId="0" fontId="7" fillId="4" borderId="5" xfId="0" applyFont="1" applyFill="1" applyBorder="1" applyAlignment="1">
      <alignment wrapText="1"/>
    </xf>
    <xf numFmtId="176" fontId="2" fillId="4" borderId="5" xfId="0" applyNumberFormat="1" applyFont="1" applyFill="1" applyBorder="1" applyAlignment="1">
      <alignment horizontal="right" wrapText="1"/>
    </xf>
    <xf numFmtId="0" fontId="8" fillId="4" borderId="5" xfId="0" applyFont="1" applyFill="1" applyBorder="1" applyAlignment="1">
      <alignment wrapText="1"/>
    </xf>
    <xf numFmtId="0" fontId="8" fillId="4" borderId="5" xfId="0" applyFont="1" applyFill="1" applyBorder="1" applyAlignment="1">
      <alignment wrapText="1"/>
    </xf>
    <xf numFmtId="0" fontId="1" fillId="4" borderId="5" xfId="0" applyFont="1" applyFill="1" applyBorder="1" applyAlignment="1"/>
    <xf numFmtId="176" fontId="1" fillId="4" borderId="5" xfId="0" applyNumberFormat="1" applyFont="1" applyFill="1" applyBorder="1" applyAlignment="1"/>
    <xf numFmtId="14" fontId="11" fillId="3" borderId="5" xfId="0" applyNumberFormat="1" applyFont="1" applyFill="1" applyBorder="1" applyAlignment="1"/>
    <xf numFmtId="176" fontId="11" fillId="3" borderId="5" xfId="0" applyNumberFormat="1" applyFont="1" applyFill="1" applyBorder="1" applyAlignment="1"/>
    <xf numFmtId="0" fontId="12" fillId="2" borderId="5" xfId="0" applyFont="1" applyFill="1" applyBorder="1" applyAlignment="1"/>
    <xf numFmtId="0" fontId="13" fillId="2" borderId="5" xfId="0" applyFont="1" applyFill="1" applyBorder="1" applyAlignment="1"/>
    <xf numFmtId="176" fontId="11" fillId="2" borderId="5" xfId="0" applyNumberFormat="1" applyFont="1" applyFill="1" applyBorder="1" applyAlignment="1"/>
    <xf numFmtId="176" fontId="13" fillId="2" borderId="5" xfId="0" applyNumberFormat="1" applyFont="1" applyFill="1" applyBorder="1" applyAlignment="1">
      <alignment horizontal="right"/>
    </xf>
    <xf numFmtId="14" fontId="11" fillId="2" borderId="5" xfId="0" applyNumberFormat="1" applyFont="1" applyFill="1" applyBorder="1" applyAlignment="1"/>
    <xf numFmtId="0" fontId="14" fillId="2" borderId="5" xfId="0" applyFont="1" applyFill="1" applyBorder="1" applyAlignment="1"/>
    <xf numFmtId="14" fontId="13" fillId="2" borderId="5" xfId="0" applyNumberFormat="1" applyFont="1" applyFill="1" applyBorder="1" applyAlignment="1">
      <alignment horizontal="right"/>
    </xf>
    <xf numFmtId="0" fontId="11" fillId="2" borderId="5" xfId="0" applyFont="1" applyFill="1" applyBorder="1" applyAlignment="1"/>
    <xf numFmtId="14" fontId="9" fillId="3" borderId="5" xfId="1" applyNumberFormat="1" applyFill="1" applyBorder="1" applyAlignment="1"/>
    <xf numFmtId="0" fontId="1" fillId="0" borderId="0" xfId="0" applyFont="1" applyBorder="1" applyAlignment="1"/>
    <xf numFmtId="14" fontId="11" fillId="3" borderId="6" xfId="0" applyNumberFormat="1" applyFont="1" applyFill="1" applyBorder="1" applyAlignment="1"/>
    <xf numFmtId="14" fontId="9" fillId="3" borderId="6" xfId="1" applyNumberFormat="1" applyFill="1" applyBorder="1" applyAlignment="1"/>
    <xf numFmtId="176" fontId="11" fillId="3" borderId="6" xfId="0" applyNumberFormat="1" applyFont="1" applyFill="1" applyBorder="1" applyAlignment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4" fillId="2" borderId="11" xfId="0" applyFont="1" applyFill="1" applyBorder="1" applyAlignment="1"/>
    <xf numFmtId="0" fontId="6" fillId="2" borderId="11" xfId="0" applyFont="1" applyFill="1" applyBorder="1" applyAlignment="1"/>
    <xf numFmtId="0" fontId="12" fillId="2" borderId="11" xfId="0" applyFont="1" applyFill="1" applyBorder="1" applyAlignment="1"/>
    <xf numFmtId="14" fontId="11" fillId="5" borderId="5" xfId="0" applyNumberFormat="1" applyFont="1" applyFill="1" applyBorder="1" applyAlignment="1"/>
    <xf numFmtId="176" fontId="11" fillId="5" borderId="5" xfId="0" applyNumberFormat="1" applyFont="1" applyFill="1" applyBorder="1" applyAlignment="1"/>
    <xf numFmtId="176" fontId="16" fillId="3" borderId="5" xfId="0" applyNumberFormat="1" applyFont="1" applyFill="1" applyBorder="1" applyAlignment="1"/>
    <xf numFmtId="14" fontId="11" fillId="3" borderId="1" xfId="0" applyNumberFormat="1" applyFont="1" applyFill="1" applyBorder="1" applyAlignment="1"/>
    <xf numFmtId="176" fontId="16" fillId="3" borderId="6" xfId="0" applyNumberFormat="1" applyFont="1" applyFill="1" applyBorder="1" applyAlignment="1"/>
    <xf numFmtId="0" fontId="17" fillId="2" borderId="5" xfId="0" applyFont="1" applyFill="1" applyBorder="1" applyAlignment="1"/>
    <xf numFmtId="0" fontId="19" fillId="2" borderId="5" xfId="0" applyFont="1" applyFill="1" applyBorder="1" applyAlignment="1"/>
    <xf numFmtId="0" fontId="20" fillId="2" borderId="5" xfId="0" applyFont="1" applyFill="1" applyBorder="1" applyAlignment="1"/>
    <xf numFmtId="14" fontId="20" fillId="2" borderId="5" xfId="0" applyNumberFormat="1" applyFont="1" applyFill="1" applyBorder="1" applyAlignment="1">
      <alignment horizontal="right"/>
    </xf>
    <xf numFmtId="0" fontId="18" fillId="2" borderId="14" xfId="0" applyFont="1" applyFill="1" applyBorder="1" applyAlignment="1"/>
    <xf numFmtId="0" fontId="19" fillId="2" borderId="15" xfId="0" applyFont="1" applyFill="1" applyBorder="1" applyAlignment="1"/>
    <xf numFmtId="0" fontId="20" fillId="2" borderId="15" xfId="0" applyFont="1" applyFill="1" applyBorder="1" applyAlignment="1"/>
    <xf numFmtId="14" fontId="20" fillId="2" borderId="15" xfId="0" applyNumberFormat="1" applyFont="1" applyFill="1" applyBorder="1" applyAlignment="1">
      <alignment horizontal="right"/>
    </xf>
    <xf numFmtId="176" fontId="20" fillId="2" borderId="16" xfId="0" applyNumberFormat="1" applyFont="1" applyFill="1" applyBorder="1" applyAlignment="1">
      <alignment horizontal="right"/>
    </xf>
    <xf numFmtId="0" fontId="18" fillId="2" borderId="17" xfId="0" applyFont="1" applyFill="1" applyBorder="1" applyAlignment="1"/>
    <xf numFmtId="176" fontId="20" fillId="2" borderId="18" xfId="0" applyNumberFormat="1" applyFont="1" applyFill="1" applyBorder="1" applyAlignment="1">
      <alignment horizontal="right"/>
    </xf>
    <xf numFmtId="0" fontId="18" fillId="2" borderId="19" xfId="0" applyFont="1" applyFill="1" applyBorder="1" applyAlignment="1"/>
    <xf numFmtId="0" fontId="19" fillId="2" borderId="20" xfId="0" applyFont="1" applyFill="1" applyBorder="1" applyAlignment="1"/>
    <xf numFmtId="0" fontId="20" fillId="2" borderId="20" xfId="0" applyFont="1" applyFill="1" applyBorder="1" applyAlignment="1"/>
    <xf numFmtId="14" fontId="20" fillId="2" borderId="20" xfId="0" applyNumberFormat="1" applyFont="1" applyFill="1" applyBorder="1" applyAlignment="1">
      <alignment horizontal="right"/>
    </xf>
    <xf numFmtId="176" fontId="20" fillId="2" borderId="21" xfId="0" applyNumberFormat="1" applyFont="1" applyFill="1" applyBorder="1" applyAlignment="1">
      <alignment horizontal="right"/>
    </xf>
    <xf numFmtId="14" fontId="11" fillId="5" borderId="6" xfId="0" applyNumberFormat="1" applyFont="1" applyFill="1" applyBorder="1" applyAlignment="1"/>
    <xf numFmtId="176" fontId="11" fillId="5" borderId="6" xfId="0" applyNumberFormat="1" applyFont="1" applyFill="1" applyBorder="1" applyAlignment="1"/>
    <xf numFmtId="0" fontId="21" fillId="0" borderId="6" xfId="0" applyFont="1" applyBorder="1" applyAlignment="1"/>
    <xf numFmtId="14" fontId="18" fillId="6" borderId="6" xfId="0" applyNumberFormat="1" applyFont="1" applyFill="1" applyBorder="1" applyAlignment="1"/>
    <xf numFmtId="14" fontId="18" fillId="7" borderId="6" xfId="0" applyNumberFormat="1" applyFont="1" applyFill="1" applyBorder="1" applyAlignment="1"/>
    <xf numFmtId="14" fontId="18" fillId="8" borderId="6" xfId="0" applyNumberFormat="1" applyFont="1" applyFill="1" applyBorder="1" applyAlignment="1"/>
    <xf numFmtId="14" fontId="18" fillId="9" borderId="6" xfId="0" applyNumberFormat="1" applyFont="1" applyFill="1" applyBorder="1" applyAlignment="1"/>
    <xf numFmtId="177" fontId="18" fillId="8" borderId="6" xfId="0" applyNumberFormat="1" applyFont="1" applyFill="1" applyBorder="1" applyAlignment="1"/>
    <xf numFmtId="177" fontId="18" fillId="7" borderId="6" xfId="0" applyNumberFormat="1" applyFont="1" applyFill="1" applyBorder="1" applyAlignment="1"/>
    <xf numFmtId="177" fontId="18" fillId="9" borderId="6" xfId="0" applyNumberFormat="1" applyFont="1" applyFill="1" applyBorder="1" applyAlignment="1"/>
    <xf numFmtId="177" fontId="18" fillId="6" borderId="6" xfId="0" applyNumberFormat="1" applyFont="1" applyFill="1" applyBorder="1" applyAlignment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2" fillId="0" borderId="7" xfId="0" applyFont="1" applyBorder="1" applyAlignment="1">
      <alignment horizontal="center" wrapText="1"/>
    </xf>
    <xf numFmtId="0" fontId="3" fillId="0" borderId="8" xfId="0" applyFont="1" applyBorder="1"/>
    <xf numFmtId="0" fontId="3" fillId="0" borderId="9" xfId="0" applyFont="1" applyBorder="1"/>
    <xf numFmtId="0" fontId="2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6" fillId="0" borderId="4" xfId="0" applyFont="1" applyBorder="1"/>
    <xf numFmtId="0" fontId="16" fillId="0" borderId="5" xfId="0" applyFont="1" applyBorder="1"/>
    <xf numFmtId="0" fontId="2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13" fillId="0" borderId="6" xfId="0" applyFont="1" applyBorder="1" applyAlignment="1">
      <alignment horizontal="center" wrapText="1"/>
    </xf>
    <xf numFmtId="0" fontId="16" fillId="0" borderId="6" xfId="0" applyFont="1" applyBorder="1"/>
    <xf numFmtId="0" fontId="2" fillId="0" borderId="0" xfId="0" applyFont="1" applyBorder="1" applyAlignment="1">
      <alignment horizontal="center" wrapText="1"/>
    </xf>
    <xf numFmtId="0" fontId="3" fillId="0" borderId="0" xfId="0" applyFont="1" applyBorder="1"/>
    <xf numFmtId="0" fontId="3" fillId="0" borderId="1" xfId="0" applyFont="1" applyBorder="1"/>
    <xf numFmtId="0" fontId="2" fillId="0" borderId="6" xfId="0" applyFont="1" applyBorder="1" applyAlignment="1">
      <alignment horizontal="center" wrapText="1"/>
    </xf>
    <xf numFmtId="0" fontId="3" fillId="0" borderId="6" xfId="0" applyFont="1" applyBorder="1"/>
    <xf numFmtId="14" fontId="18" fillId="10" borderId="6" xfId="0" applyNumberFormat="1" applyFont="1" applyFill="1" applyBorder="1" applyAlignment="1"/>
    <xf numFmtId="177" fontId="18" fillId="10" borderId="6" xfId="0" applyNumberFormat="1" applyFont="1" applyFill="1" applyBorder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DE8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16</xdr:row>
      <xdr:rowOff>152400</xdr:rowOff>
    </xdr:from>
    <xdr:ext cx="7181850" cy="2819400"/>
    <xdr:pic>
      <xdr:nvPicPr>
        <xdr:cNvPr id="3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6775" y="2152650"/>
          <a:ext cx="7181850" cy="2819400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8</xdr:col>
      <xdr:colOff>36774</xdr:colOff>
      <xdr:row>50</xdr:row>
      <xdr:rowOff>56207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4200525"/>
          <a:ext cx="10609524" cy="75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14</xdr:row>
      <xdr:rowOff>9525</xdr:rowOff>
    </xdr:from>
    <xdr:to>
      <xdr:col>20</xdr:col>
      <xdr:colOff>779728</xdr:colOff>
      <xdr:row>32</xdr:row>
      <xdr:rowOff>85270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0025" y="2667000"/>
          <a:ext cx="10571428" cy="36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8</xdr:col>
      <xdr:colOff>36774</xdr:colOff>
      <xdr:row>51</xdr:row>
      <xdr:rowOff>8582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4086225"/>
          <a:ext cx="10609524" cy="75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10</xdr:row>
      <xdr:rowOff>171450</xdr:rowOff>
    </xdr:from>
    <xdr:to>
      <xdr:col>12</xdr:col>
      <xdr:colOff>799595</xdr:colOff>
      <xdr:row>46</xdr:row>
      <xdr:rowOff>113421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77625" y="4057650"/>
          <a:ext cx="4038095" cy="7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13</xdr:row>
      <xdr:rowOff>57150</xdr:rowOff>
    </xdr:from>
    <xdr:ext cx="7000875" cy="3124200"/>
    <xdr:pic>
      <xdr:nvPicPr>
        <xdr:cNvPr id="2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408713</xdr:colOff>
      <xdr:row>24</xdr:row>
      <xdr:rowOff>47558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3943350"/>
          <a:ext cx="6895238" cy="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28575</xdr:rowOff>
    </xdr:from>
    <xdr:to>
      <xdr:col>7</xdr:col>
      <xdr:colOff>770206</xdr:colOff>
      <xdr:row>50</xdr:row>
      <xdr:rowOff>104017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2381250"/>
          <a:ext cx="10552381" cy="6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19050</xdr:rowOff>
    </xdr:from>
    <xdr:to>
      <xdr:col>21</xdr:col>
      <xdr:colOff>131977</xdr:colOff>
      <xdr:row>35</xdr:row>
      <xdr:rowOff>142414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10950" y="2371725"/>
          <a:ext cx="10980952" cy="36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32</xdr:row>
      <xdr:rowOff>9525</xdr:rowOff>
    </xdr:from>
    <xdr:to>
      <xdr:col>20</xdr:col>
      <xdr:colOff>598753</xdr:colOff>
      <xdr:row>50</xdr:row>
      <xdr:rowOff>85270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9050" y="5438775"/>
          <a:ext cx="10571428" cy="29903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28575</xdr:rowOff>
    </xdr:from>
    <xdr:to>
      <xdr:col>7</xdr:col>
      <xdr:colOff>770206</xdr:colOff>
      <xdr:row>50</xdr:row>
      <xdr:rowOff>104017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2371725"/>
          <a:ext cx="10552381" cy="60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161014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57350"/>
          <a:ext cx="10980952" cy="60379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151489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13</xdr:row>
      <xdr:rowOff>57150</xdr:rowOff>
    </xdr:from>
    <xdr:to>
      <xdr:col>18</xdr:col>
      <xdr:colOff>446433</xdr:colOff>
      <xdr:row>51</xdr:row>
      <xdr:rowOff>46690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58425" y="2286000"/>
          <a:ext cx="9933333" cy="7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13</xdr:row>
      <xdr:rowOff>85725</xdr:rowOff>
    </xdr:from>
    <xdr:to>
      <xdr:col>6</xdr:col>
      <xdr:colOff>506575</xdr:colOff>
      <xdr:row>50</xdr:row>
      <xdr:rowOff>85725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2314575"/>
          <a:ext cx="10183975" cy="7324725"/>
        </a:xfrm>
        <a:prstGeom prst="rect">
          <a:avLst/>
        </a:prstGeom>
      </xdr:spPr>
    </xdr:pic>
    <xdr:clientData/>
  </xdr:twoCellAnchor>
  <xdr:twoCellAnchor editAs="oneCell">
    <xdr:from>
      <xdr:col>18</xdr:col>
      <xdr:colOff>514350</xdr:colOff>
      <xdr:row>13</xdr:row>
      <xdr:rowOff>85725</xdr:rowOff>
    </xdr:from>
    <xdr:to>
      <xdr:col>31</xdr:col>
      <xdr:colOff>74893</xdr:colOff>
      <xdr:row>34</xdr:row>
      <xdr:rowOff>94729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59675" y="2314575"/>
          <a:ext cx="10457143" cy="41714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161014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7</xdr:col>
      <xdr:colOff>674968</xdr:colOff>
      <xdr:row>34</xdr:row>
      <xdr:rowOff>9004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2428875"/>
          <a:ext cx="10457143" cy="41714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8</xdr:col>
      <xdr:colOff>36774</xdr:colOff>
      <xdr:row>51</xdr:row>
      <xdr:rowOff>8582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4086225"/>
          <a:ext cx="10609524" cy="75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11</xdr:row>
      <xdr:rowOff>171450</xdr:rowOff>
    </xdr:from>
    <xdr:to>
      <xdr:col>12</xdr:col>
      <xdr:colOff>799595</xdr:colOff>
      <xdr:row>47</xdr:row>
      <xdr:rowOff>113421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77625" y="4057650"/>
          <a:ext cx="4038095" cy="7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s://flight.eztravel.com.tw/booking?adults=2&amp;children=2&amp;direct=false&amp;cabintype=Tourist&amp;airline=&amp;RouteSearchToken=800000010WK4m07l03Ps2X005y000J1H202_m00jWenJ0wO0QGmKWd080000000JW0000000000065sKGe82000058002F_e0005C0000000X6000UlvC51i380000000000&amp;journe" TargetMode="External"/><Relationship Id="rId1" Type="http://schemas.openxmlformats.org/officeDocument/2006/relationships/hyperlink" Target="https://www.travel4u.com.tw/flight/checkout/?uuid=d1150473-2180-4af5-9d46-d0600b43ca82&amp;source=skyscanner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flight.eztravel.com.tw/booking?adults=1&amp;children=0&amp;direct=false&amp;cabintype=Tourist&amp;airline=&amp;RouteSearchToken=META_fad5c0db-29a3-4f9b-b0e6-e575fdbe9579%7C4%7C5%3A4&amp;journeyType=3&amp;secrettoken=5a45549e10312d0cd63fd88651be2a04&amp;token=871474183&amp;resourceTy" TargetMode="External"/><Relationship Id="rId2" Type="http://schemas.openxmlformats.org/officeDocument/2006/relationships/hyperlink" Target="https://flight.eztravel.com.tw/booking?adults=1&amp;children=0&amp;direct=false&amp;cabintype=Tourist&amp;airline=&amp;RouteSearchToken=META_fad5c0db-29a3-4f9b-b0e6-e575fdbe9579%7C4%7C5%3A4&amp;journeyType=3&amp;secrettoken=5a45549e10312d0cd63fd88651be2a04&amp;token=871474183&amp;resourceTy" TargetMode="External"/><Relationship Id="rId1" Type="http://schemas.openxmlformats.org/officeDocument/2006/relationships/hyperlink" Target="https://flight.eztravel.com.tw/booking?adults=2&amp;children=2&amp;direct=false&amp;cabintype=Tourist&amp;airline=&amp;RouteSearchToken=800000010WK4m07l03Ps2X005y000J1H202_m00jWenJ0wO0QGmKWd080000000JW0000000000065sKGe82000058002F_e0005C0000000X6000UlvC51i380000000000&amp;journe" TargetMode="External"/><Relationship Id="rId4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www.travel4u.com.tw/flight/checkout/?uuid=d1150473-2180-4af5-9d46-d0600b43ca82&amp;source=skyscanner" TargetMode="External"/><Relationship Id="rId1" Type="http://schemas.openxmlformats.org/officeDocument/2006/relationships/hyperlink" Target="https://flight.eztravel.com.tw/booking?adults=2&amp;children=2&amp;direct=false&amp;cabintype=Tourist&amp;airline=&amp;RouteSearchToken=800000010WK4m07l03Ps2X005y000J1H202_m00jWenJ0wO0QGmKWd080000000JW0000000000065sKGe82000058002F_e0005C0000000X6000UlvC51i380000000000&amp;journ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tw.trip.com/actualtime/detail?flightNo=7C2653&amp;departCity=PUS&amp;arriveCity=TPE&amp;date=2024-06-30&amp;locale=zh-TW&amp;curr=TW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flight.eztravel.com.tw/booking?adults=2&amp;children=2&amp;direct=false&amp;cabintype=Tourist&amp;airline=&amp;RouteSearchToken=META_f8e45917-1e4e-4528-9e7c-251694534dea%7C1%7C6%3A1%3A1%3A1&amp;journeyType=3&amp;secrettoken=8e498cdb2fa0a1c20d45515ce778feb1&amp;token=700827366&amp;re" TargetMode="External"/><Relationship Id="rId2" Type="http://schemas.openxmlformats.org/officeDocument/2006/relationships/hyperlink" Target="https://flight.eztravel.com.tw/booking?adults=1&amp;children=0&amp;direct=false&amp;cabintype=Tourist&amp;airline=&amp;RouteSearchToken=META_fad5c0db-29a3-4f9b-b0e6-e575fdbe9579%7C4%7C5%3A4&amp;journeyType=3&amp;secrettoken=5a45549e10312d0cd63fd88651be2a04&amp;token=871474183&amp;resourceTy" TargetMode="External"/><Relationship Id="rId1" Type="http://schemas.openxmlformats.org/officeDocument/2006/relationships/hyperlink" Target="https://www.kiwi.com/tw/booking?activeStep=0&amp;affilid=skyscanner_tw&amp;currency=twd&amp;deeplinkId=28763887401&amp;flightsId=1712209f4d860000562f9562_0&amp;lang=tw&amp;passengers=5-0-2-0&amp;price=1031.58&amp;session_identifier=YbBk9Zoa8kzQyPJPaEDvGwBgSxGWrtySNT0jYyQuwrJvNCoklK9SdRM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light.eztravel.com.tw/booking?adults=1&amp;children=0&amp;direct=false&amp;cabintype=Tourist&amp;airline=&amp;RouteSearchToken=META_fad5c0db-29a3-4f9b-b0e6-e575fdbe9579%7C4%7C5%3A4&amp;journeyType=3&amp;secrettoken=5a45549e10312d0cd63fd88651be2a04&amp;token=871474183&amp;resourceTy" TargetMode="External"/><Relationship Id="rId2" Type="http://schemas.openxmlformats.org/officeDocument/2006/relationships/hyperlink" Target="https://flight.eztravel.com.tw/booking?adults=1&amp;children=0&amp;direct=false&amp;cabintype=Tourist&amp;airline=&amp;RouteSearchToken=META_fad5c0db-29a3-4f9b-b0e6-e575fdbe9579%7C4%7C5%3A4&amp;journeyType=3&amp;secrettoken=5a45549e10312d0cd63fd88651be2a04&amp;token=871474183&amp;resourceTy" TargetMode="External"/><Relationship Id="rId1" Type="http://schemas.openxmlformats.org/officeDocument/2006/relationships/hyperlink" Target="https://flight.eztravel.com.tw/booking?adults=2&amp;children=2&amp;direct=false&amp;cabintype=Tourist&amp;airline=&amp;RouteSearchToken=META_f8e45917-1e4e-4528-9e7c-251694534dea%7C1%7C6%3A1%3A1%3A1&amp;journeyType=3&amp;secrettoken=8e498cdb2fa0a1c20d45515ce778feb1&amp;token=700827366&amp;re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abooking.flyscoot.com/book/flight?culture=zh-tw&amp;type=oneway&amp;dst1=TPE&amp;ast1=SIN&amp;dd=2025-01-24&amp;adt=2&amp;chd=2&amp;inf=0&amp;orgtoken=hltSk9DzwJwedKXr4SATxQ%3D%3D&amp;mcc=TWD&amp;skyscanner_redirectid=jvjL9g7yQredGOOiWuoErw&amp;utm_source=skyscanner&amp;utm_medium=referral&amp;" TargetMode="External"/><Relationship Id="rId2" Type="http://schemas.openxmlformats.org/officeDocument/2006/relationships/hyperlink" Target="https://www.klm.com.tw/search/summary/metasearch?tp=390.80&amp;connections=SIN:A:20250126@1745:KL0835:R:RGS0BBLA:ECONOMY%3EDPS:A&amp;pax=2:0:2:0:0:0:0:0&amp;cabinClass=ECONOMY&amp;mp=SCTW&amp;msp=Skyscanner&amp;activeConnection=0" TargetMode="External"/><Relationship Id="rId1" Type="http://schemas.openxmlformats.org/officeDocument/2006/relationships/hyperlink" Target="https://www.kiwi.com/tw/booking?activeStep=0&amp;affilid=skyscanner_tw&amp;currency=twd&amp;deeplinkId=28763683033&amp;flightsId=171218844e90000000175eb3_0-1884009f4e920000ba36ba89_0-009f17124e950000482b5991_0&amp;lang=tw&amp;passengers=1&amp;price=489.57&amp;session_identifier=YbBk9Zoa" TargetMode="External"/><Relationship Id="rId5" Type="http://schemas.openxmlformats.org/officeDocument/2006/relationships/drawing" Target="../drawings/drawing7.xml"/><Relationship Id="rId4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3:F30"/>
  <sheetViews>
    <sheetView tabSelected="1" workbookViewId="0">
      <selection activeCell="C22" sqref="C22"/>
    </sheetView>
  </sheetViews>
  <sheetFormatPr defaultRowHeight="12.75" x14ac:dyDescent="0.2"/>
  <cols>
    <col min="2" max="2" width="41.7109375" bestFit="1" customWidth="1"/>
    <col min="3" max="5" width="15.28515625" bestFit="1" customWidth="1"/>
  </cols>
  <sheetData>
    <row r="3" spans="2:6" ht="15" x14ac:dyDescent="0.2">
      <c r="B3" s="69" t="s">
        <v>68</v>
      </c>
      <c r="C3" s="69" t="s">
        <v>58</v>
      </c>
      <c r="D3" s="69" t="s">
        <v>65</v>
      </c>
      <c r="E3" s="69" t="s">
        <v>66</v>
      </c>
    </row>
    <row r="4" spans="2:6" ht="15.75" x14ac:dyDescent="0.25">
      <c r="B4" s="72" t="s">
        <v>59</v>
      </c>
      <c r="C4" s="74">
        <f>SUM(熊本_20240313_20240317!F2:F6)+SUM(熊本_20240313_20240317!D9:D13)+熊本_20240313_20240317!D16+SUM(熊本_20240313_20240317!D35:D46)</f>
        <v>111245.82</v>
      </c>
      <c r="D4" s="74">
        <f>熊本_20240313_20240317!D9+熊本_20240313_20240317!D11+熊本_20240313_20240317!D13+熊本_20240313_20240317!D16</f>
        <v>47984</v>
      </c>
      <c r="E4" s="74">
        <f>C4-D4</f>
        <v>63261.820000000007</v>
      </c>
    </row>
    <row r="5" spans="2:6" ht="15.75" x14ac:dyDescent="0.25">
      <c r="B5" s="72" t="s">
        <v>60</v>
      </c>
      <c r="C5" s="74">
        <f>SUM(釜山_20240627_20240630!F3)+SUM(釜山_20240627_20240630!D9:D12)+SUM(釜山_20240627_20240630!D31:D42)</f>
        <v>63053.94</v>
      </c>
      <c r="D5" s="74">
        <f>釜山_20240627_20240630!D9+釜山_20240627_20240630!D11+釜山_20240627_20240630!D12</f>
        <v>25450.86</v>
      </c>
      <c r="E5" s="74">
        <f t="shared" ref="E5:E6" si="0">C5-D5</f>
        <v>37603.08</v>
      </c>
    </row>
    <row r="6" spans="2:6" ht="15.75" x14ac:dyDescent="0.25">
      <c r="B6" s="72" t="s">
        <v>61</v>
      </c>
      <c r="C6" s="74">
        <f>SUM(布里斯本_20241010_20241019!F5:F7)+SUM(布里斯本_20241010_20241019!D10:D14)+布里斯本_20241010_20241019!D17+SUM(布里斯本_20241010_20241019!D33:D44)</f>
        <v>212593.95600000001</v>
      </c>
      <c r="D6" s="74">
        <f>布里斯本_20241010_20241019!D10+布里斯本_20241010_20241019!D13</f>
        <v>102361.4</v>
      </c>
      <c r="E6" s="74">
        <f t="shared" si="0"/>
        <v>110232.55600000001</v>
      </c>
    </row>
    <row r="7" spans="2:6" ht="15.75" x14ac:dyDescent="0.25">
      <c r="B7" s="73" t="s">
        <v>67</v>
      </c>
      <c r="C7" s="76">
        <f>SUM(C4:C6)</f>
        <v>386893.71600000001</v>
      </c>
      <c r="D7" s="76">
        <f t="shared" ref="D7:E7" si="1">SUM(D4:D6)</f>
        <v>175796.26</v>
      </c>
      <c r="E7" s="76">
        <f t="shared" si="1"/>
        <v>211097.45600000001</v>
      </c>
    </row>
    <row r="13" spans="2:6" ht="15" x14ac:dyDescent="0.2">
      <c r="B13" s="69" t="s">
        <v>69</v>
      </c>
      <c r="C13" s="69" t="s">
        <v>58</v>
      </c>
      <c r="D13" s="69" t="s">
        <v>65</v>
      </c>
      <c r="E13" s="69" t="s">
        <v>66</v>
      </c>
      <c r="F13" s="69" t="s">
        <v>70</v>
      </c>
    </row>
    <row r="14" spans="2:6" ht="15.75" x14ac:dyDescent="0.25">
      <c r="B14" s="71" t="s">
        <v>62</v>
      </c>
      <c r="C14" s="75">
        <f>SUM(沖繩_20241213_20241215!$F$2:$F$6)+SUM(沖繩_20241213_20241215!$D$9:$D$10)+SUM(沖繩_20241213_20241215!$D$54:$D$65)</f>
        <v>51718</v>
      </c>
      <c r="D14" s="75"/>
      <c r="E14" s="75">
        <f>C14-D14</f>
        <v>51718</v>
      </c>
      <c r="F14" s="75">
        <v>1</v>
      </c>
    </row>
    <row r="15" spans="2:6" ht="15.75" x14ac:dyDescent="0.25">
      <c r="B15" s="71" t="s">
        <v>63</v>
      </c>
      <c r="C15" s="75">
        <f>SUM(美西_20250124_20250131!$F$2:$F$6)+SUM(美西_20250124_20250131!D9:D12)+SUM(美西_20250124_20250131!$D$53:$D$64)</f>
        <v>273946</v>
      </c>
      <c r="D15" s="75"/>
      <c r="E15" s="75">
        <f>C15-D15</f>
        <v>273946</v>
      </c>
      <c r="F15" s="75">
        <v>1</v>
      </c>
    </row>
    <row r="16" spans="2:6" ht="15.75" x14ac:dyDescent="0.25">
      <c r="B16" s="71" t="s">
        <v>64</v>
      </c>
      <c r="C16" s="75">
        <f>SUM(福岡_20250312_20250316!$F$2:$F$6)+SUM(福岡_20250312_20250316!D9:D11)+SUM(福岡_20250312_20250316!$D$54:$D$65)</f>
        <v>86718</v>
      </c>
      <c r="D16" s="75"/>
      <c r="E16" s="75">
        <f>C16-D16</f>
        <v>86718</v>
      </c>
      <c r="F16" s="75">
        <v>1</v>
      </c>
    </row>
    <row r="17" spans="2:6" ht="15.75" x14ac:dyDescent="0.25">
      <c r="B17" s="73" t="s">
        <v>67</v>
      </c>
      <c r="C17" s="76">
        <f>SUMPRODUCT(C14:C16,$F14:$F16)</f>
        <v>412382</v>
      </c>
      <c r="D17" s="76">
        <f t="shared" ref="D17:E17" si="2">SUMPRODUCT(D14:D16,$F14:$F16)</f>
        <v>0</v>
      </c>
      <c r="E17" s="76">
        <f t="shared" si="2"/>
        <v>412382</v>
      </c>
      <c r="F17" s="76"/>
    </row>
    <row r="20" spans="2:6" ht="15" x14ac:dyDescent="0.2">
      <c r="B20" s="69" t="s">
        <v>69</v>
      </c>
      <c r="C20" s="69" t="s">
        <v>58</v>
      </c>
      <c r="D20" s="69" t="s">
        <v>65</v>
      </c>
      <c r="E20" s="69" t="s">
        <v>66</v>
      </c>
      <c r="F20" s="69" t="s">
        <v>70</v>
      </c>
    </row>
    <row r="21" spans="2:6" ht="15.75" x14ac:dyDescent="0.25">
      <c r="B21" s="70" t="s">
        <v>78</v>
      </c>
      <c r="C21" s="77">
        <f>SUM(新加坡峇里島_20250124_20250129!$F$2:$F$6)+SUM(新加坡峇里島_20250124_20250129!$D$9:$D$13)+SUM(新加坡峇里島_20250124_20250129!$D$54:$D$65)</f>
        <v>150826</v>
      </c>
      <c r="D21" s="77"/>
      <c r="E21" s="77">
        <f>C21-D21</f>
        <v>150826</v>
      </c>
      <c r="F21" s="77">
        <v>1</v>
      </c>
    </row>
    <row r="22" spans="2:6" ht="15.75" x14ac:dyDescent="0.25">
      <c r="B22" s="70" t="s">
        <v>80</v>
      </c>
      <c r="C22" s="77">
        <f>SUM(沖繩_20250312_20250316!$F$2:$F$6)+SUM(沖繩_20250312_20250316!$D$9:$D$10)+SUM(沖繩_20250312_20250316!$D$54:$D$65)</f>
        <v>80107</v>
      </c>
      <c r="D22" s="77"/>
      <c r="E22" s="77">
        <f>C22-D22</f>
        <v>80107</v>
      </c>
      <c r="F22" s="77">
        <v>1</v>
      </c>
    </row>
    <row r="23" spans="2:6" ht="15.75" x14ac:dyDescent="0.25">
      <c r="B23" s="73" t="s">
        <v>67</v>
      </c>
      <c r="C23" s="76">
        <f>SUMPRODUCT(C21:C22,$F21:$F22)</f>
        <v>230933</v>
      </c>
      <c r="D23" s="76">
        <f>SUMPRODUCT(D21:D22,$F21:$F22)</f>
        <v>0</v>
      </c>
      <c r="E23" s="76">
        <f>SUMPRODUCT(E21:E22,$F21:$F22)</f>
        <v>230933</v>
      </c>
      <c r="F23" s="76"/>
    </row>
    <row r="26" spans="2:6" ht="15" x14ac:dyDescent="0.2">
      <c r="B26" s="69" t="s">
        <v>69</v>
      </c>
      <c r="C26" s="69" t="s">
        <v>58</v>
      </c>
      <c r="D26" s="69" t="s">
        <v>65</v>
      </c>
      <c r="E26" s="69" t="s">
        <v>66</v>
      </c>
      <c r="F26" s="69" t="s">
        <v>70</v>
      </c>
    </row>
    <row r="27" spans="2:6" ht="15.75" x14ac:dyDescent="0.25">
      <c r="B27" s="101" t="s">
        <v>92</v>
      </c>
      <c r="C27" s="102">
        <f>SUM(東京_20240503_20240505!$F$2:$F$6)+SUM(東京_20240503_20240505!$D$9:$D$12)+SUM(東京_20240503_20240505!$D$53:$D$64)</f>
        <v>55276.644</v>
      </c>
      <c r="D27" s="102"/>
      <c r="E27" s="102">
        <f>C27-D27</f>
        <v>55276.644</v>
      </c>
      <c r="F27" s="102">
        <v>1</v>
      </c>
    </row>
    <row r="28" spans="2:6" ht="15.75" x14ac:dyDescent="0.25">
      <c r="B28" s="101" t="s">
        <v>93</v>
      </c>
      <c r="C28" s="102">
        <f>SUM(美西_20250124_20250131_東京外站!$F$2:$F$6)+SUM(美西_20250124_20250131_東京外站!$D$9:$D$12)+SUM(美西_20250124_20250131_東京外站!$D$53:$D$64)</f>
        <v>268136</v>
      </c>
      <c r="D28" s="102"/>
      <c r="E28" s="102">
        <f>C28-D28</f>
        <v>268136</v>
      </c>
      <c r="F28" s="102">
        <v>1</v>
      </c>
    </row>
    <row r="29" spans="2:6" ht="15.75" x14ac:dyDescent="0.25">
      <c r="B29" s="101" t="s">
        <v>94</v>
      </c>
      <c r="C29" s="102">
        <f>SUM(沖繩_20250312_20250316_東京外站!$F$2:$F$6)+SUM(沖繩_20250312_20250316_東京外站!$D$9:$D$12)+SUM(沖繩_20250312_20250316_東京外站!$D$53:$D$64)</f>
        <v>72000</v>
      </c>
      <c r="D29" s="102"/>
      <c r="E29" s="102">
        <f>C29-D29</f>
        <v>72000</v>
      </c>
      <c r="F29" s="102">
        <v>1</v>
      </c>
    </row>
    <row r="30" spans="2:6" ht="15.75" x14ac:dyDescent="0.25">
      <c r="B30" s="73" t="s">
        <v>67</v>
      </c>
      <c r="C30" s="76">
        <f>SUMPRODUCT(C27:C29,$F27:$F29)</f>
        <v>395412.64399999997</v>
      </c>
      <c r="D30" s="76">
        <f t="shared" ref="D30:E30" si="3">SUMPRODUCT(D27:D29,$F27:$F29)</f>
        <v>0</v>
      </c>
      <c r="E30" s="76">
        <f t="shared" si="3"/>
        <v>395412.64399999997</v>
      </c>
      <c r="F30" s="76"/>
    </row>
  </sheetData>
  <phoneticPr fontId="10" type="noConversion"/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outlinePr summaryBelow="0" summaryRight="0"/>
  </sheetPr>
  <dimension ref="A1:I1016"/>
  <sheetViews>
    <sheetView workbookViewId="0">
      <selection activeCell="F3" sqref="F3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78" t="s">
        <v>0</v>
      </c>
      <c r="C1" s="79"/>
      <c r="D1" s="79"/>
      <c r="E1" s="79"/>
      <c r="F1" s="80"/>
      <c r="G1" s="2"/>
      <c r="H1" s="3" t="s">
        <v>1</v>
      </c>
      <c r="I1" s="4">
        <v>0.21</v>
      </c>
    </row>
    <row r="2" spans="1:9" ht="15.75" customHeight="1" x14ac:dyDescent="0.3">
      <c r="A2" s="1"/>
      <c r="B2" s="28"/>
      <c r="C2" s="28"/>
      <c r="D2" s="29"/>
      <c r="E2" s="34"/>
      <c r="F2" s="31">
        <v>30000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1" t="s">
        <v>9</v>
      </c>
      <c r="C8" s="82"/>
      <c r="D8" s="83"/>
      <c r="E8" s="2"/>
      <c r="F8" s="2"/>
      <c r="G8" s="2"/>
      <c r="H8" s="2"/>
      <c r="I8" s="2"/>
    </row>
    <row r="9" spans="1:9" ht="13.5" x14ac:dyDescent="0.25">
      <c r="A9" s="1"/>
      <c r="B9" s="26" t="s">
        <v>23</v>
      </c>
      <c r="C9" s="36" t="s">
        <v>24</v>
      </c>
      <c r="D9" s="27">
        <f>43436*0.5</f>
        <v>21718</v>
      </c>
      <c r="E9" s="2"/>
      <c r="F9" s="2"/>
      <c r="G9" s="2"/>
      <c r="H9" s="2"/>
      <c r="I9" s="2"/>
    </row>
    <row r="10" spans="1:9" ht="13.5" x14ac:dyDescent="0.25">
      <c r="A10" s="1"/>
      <c r="B10" s="26" t="s">
        <v>22</v>
      </c>
      <c r="C10" s="36" t="s">
        <v>19</v>
      </c>
      <c r="D10" s="27">
        <f>119262*0</f>
        <v>0</v>
      </c>
      <c r="E10" s="2"/>
      <c r="F10" s="2"/>
      <c r="G10" s="2"/>
      <c r="H10" s="2"/>
      <c r="I10" s="2"/>
    </row>
    <row r="11" spans="1:9" ht="12.75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8" x14ac:dyDescent="0.25">
      <c r="A53" s="37"/>
      <c r="B53" s="84" t="s">
        <v>12</v>
      </c>
      <c r="C53" s="85"/>
      <c r="D53" s="86"/>
      <c r="E53" s="41" t="s">
        <v>13</v>
      </c>
      <c r="F53" s="41" t="s">
        <v>14</v>
      </c>
      <c r="G53" s="41" t="s">
        <v>15</v>
      </c>
      <c r="H53" s="41" t="s">
        <v>16</v>
      </c>
      <c r="I53" s="42" t="s">
        <v>17</v>
      </c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8" x14ac:dyDescent="0.25">
      <c r="A60" s="1"/>
      <c r="B60" s="20"/>
      <c r="C60" s="20"/>
      <c r="D60" s="21"/>
      <c r="E60" s="23"/>
      <c r="F60" s="23"/>
      <c r="G60" s="23"/>
      <c r="H60" s="23"/>
      <c r="I60" s="23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1"/>
      <c r="B65" s="24"/>
      <c r="C65" s="24"/>
      <c r="D65" s="25"/>
      <c r="E65" s="24"/>
      <c r="F65" s="24"/>
      <c r="G65" s="24"/>
      <c r="H65" s="24"/>
      <c r="I65" s="24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15"/>
      <c r="C68" s="15"/>
      <c r="D68" s="15"/>
      <c r="E68" s="15"/>
      <c r="F68" s="15"/>
      <c r="G68" s="2"/>
      <c r="H68" s="2"/>
      <c r="I68" s="2"/>
    </row>
    <row r="69" spans="1:9" ht="15.75" customHeight="1" x14ac:dyDescent="0.25">
      <c r="A69" s="1"/>
      <c r="B69" s="87" t="s">
        <v>8</v>
      </c>
      <c r="C69" s="82"/>
      <c r="D69" s="82"/>
      <c r="E69" s="82"/>
      <c r="F69" s="83"/>
      <c r="G69" s="2"/>
      <c r="H69" s="2"/>
      <c r="I69" s="2"/>
    </row>
    <row r="70" spans="1:9" ht="15.75" customHeight="1" x14ac:dyDescent="0.3">
      <c r="A70" s="1"/>
      <c r="B70" s="28"/>
      <c r="C70" s="28"/>
      <c r="D70" s="29"/>
      <c r="E70" s="30"/>
      <c r="F70" s="31"/>
      <c r="G70" s="9"/>
      <c r="H70" s="9"/>
      <c r="I70" s="9"/>
    </row>
    <row r="71" spans="1:9" ht="15.75" customHeight="1" x14ac:dyDescent="0.3">
      <c r="A71" s="1"/>
      <c r="B71" s="28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33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5.75" customHeight="1" x14ac:dyDescent="0.3">
      <c r="A76" s="1"/>
      <c r="B76" s="28"/>
      <c r="C76" s="28"/>
      <c r="D76" s="29"/>
      <c r="E76" s="32"/>
      <c r="F76" s="31"/>
      <c r="G76" s="9"/>
      <c r="H76" s="9"/>
      <c r="I76" s="9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</row>
    <row r="1001" spans="1:9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  <row r="1014" spans="1:1" ht="12.75" x14ac:dyDescent="0.2">
      <c r="A1014" s="2"/>
    </row>
    <row r="1015" spans="1:1" ht="12.75" x14ac:dyDescent="0.2">
      <c r="A1015" s="2"/>
    </row>
    <row r="1016" spans="1:1" ht="12.75" x14ac:dyDescent="0.2">
      <c r="A1016" s="2"/>
    </row>
  </sheetData>
  <mergeCells count="4">
    <mergeCell ref="B1:F1"/>
    <mergeCell ref="B69:F69"/>
    <mergeCell ref="B8:D8"/>
    <mergeCell ref="B53:D53"/>
  </mergeCells>
  <phoneticPr fontId="10" type="noConversion"/>
  <hyperlinks>
    <hyperlink ref="C9" r:id="rId1"/>
    <hyperlink ref="C10" r:id="rId2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outlinePr summaryBelow="0" summaryRight="0"/>
  </sheetPr>
  <dimension ref="A1:I1013"/>
  <sheetViews>
    <sheetView workbookViewId="0">
      <selection activeCell="G12" sqref="G1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78" t="s">
        <v>0</v>
      </c>
      <c r="C1" s="79"/>
      <c r="D1" s="79"/>
      <c r="E1" s="79"/>
      <c r="F1" s="80"/>
      <c r="G1" s="2"/>
      <c r="H1" s="3" t="s">
        <v>1</v>
      </c>
      <c r="I1" s="4">
        <v>31.6</v>
      </c>
    </row>
    <row r="2" spans="1:9" ht="15.75" customHeight="1" x14ac:dyDescent="0.3">
      <c r="A2" s="1"/>
      <c r="B2" s="28"/>
      <c r="C2" s="28"/>
      <c r="D2" s="29"/>
      <c r="E2" s="34"/>
      <c r="F2" s="31">
        <v>80000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1" t="s">
        <v>9</v>
      </c>
      <c r="C8" s="82"/>
      <c r="D8" s="83"/>
      <c r="E8" s="2"/>
      <c r="F8" s="2"/>
      <c r="G8" s="2"/>
      <c r="H8" s="2"/>
      <c r="I8" s="2"/>
    </row>
    <row r="9" spans="1:9" ht="13.5" x14ac:dyDescent="0.25">
      <c r="A9" s="1"/>
      <c r="B9" s="26" t="s">
        <v>20</v>
      </c>
      <c r="C9" s="36" t="s">
        <v>19</v>
      </c>
      <c r="D9" s="27">
        <f>119262</f>
        <v>119262</v>
      </c>
      <c r="E9" s="2"/>
      <c r="F9" s="2"/>
      <c r="G9" s="2"/>
      <c r="H9" s="2"/>
      <c r="I9" s="2"/>
    </row>
    <row r="10" spans="1:9" ht="13.5" x14ac:dyDescent="0.25">
      <c r="A10" s="1"/>
      <c r="B10" s="26" t="s">
        <v>21</v>
      </c>
      <c r="C10" s="26"/>
      <c r="D10" s="27"/>
      <c r="E10" s="2"/>
      <c r="F10" s="2"/>
      <c r="G10" s="2"/>
      <c r="H10" s="2"/>
      <c r="I10" s="2"/>
    </row>
    <row r="11" spans="1:9" ht="13.5" x14ac:dyDescent="0.25">
      <c r="A11" s="2"/>
      <c r="B11" s="38" t="s">
        <v>71</v>
      </c>
      <c r="C11" s="36" t="s">
        <v>19</v>
      </c>
      <c r="D11" s="40">
        <f>39684*1</f>
        <v>39684</v>
      </c>
      <c r="E11" s="2"/>
      <c r="F11" s="2"/>
      <c r="G11" s="2"/>
      <c r="H11" s="2"/>
      <c r="I11" s="2"/>
    </row>
    <row r="12" spans="1:9" ht="13.5" x14ac:dyDescent="0.25">
      <c r="A12" s="2"/>
      <c r="B12" s="38" t="s">
        <v>88</v>
      </c>
      <c r="C12" s="36"/>
      <c r="D12" s="40">
        <v>35000</v>
      </c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4" t="s">
        <v>12</v>
      </c>
      <c r="C52" s="85"/>
      <c r="D52" s="86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87" t="s">
        <v>8</v>
      </c>
      <c r="C68" s="82"/>
      <c r="D68" s="82"/>
      <c r="E68" s="82"/>
      <c r="F68" s="83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68:F68"/>
    <mergeCell ref="B8:D8"/>
    <mergeCell ref="B52:D52"/>
  </mergeCells>
  <phoneticPr fontId="10" type="noConversion"/>
  <hyperlinks>
    <hyperlink ref="C9" r:id="rId1"/>
    <hyperlink ref="C11" r:id="rId2"/>
    <hyperlink ref="C12" r:id="rId3" display="ezTravel"/>
  </hyperlinks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outlinePr summaryBelow="0" summaryRight="0"/>
  </sheetPr>
  <dimension ref="A1:I1016"/>
  <sheetViews>
    <sheetView workbookViewId="0">
      <selection activeCell="D10" sqref="D10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78" t="s">
        <v>0</v>
      </c>
      <c r="C1" s="79"/>
      <c r="D1" s="79"/>
      <c r="E1" s="79"/>
      <c r="F1" s="80"/>
      <c r="G1" s="2"/>
      <c r="H1" s="3" t="s">
        <v>1</v>
      </c>
      <c r="I1" s="4">
        <v>0.21</v>
      </c>
    </row>
    <row r="2" spans="1:9" ht="15.75" customHeight="1" x14ac:dyDescent="0.3">
      <c r="A2" s="1"/>
      <c r="B2" s="28"/>
      <c r="C2" s="28"/>
      <c r="D2" s="29"/>
      <c r="E2" s="34"/>
      <c r="F2" s="31">
        <v>50000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96" t="s">
        <v>9</v>
      </c>
      <c r="C8" s="97"/>
      <c r="D8" s="98"/>
      <c r="E8" s="2"/>
      <c r="F8" s="2"/>
      <c r="G8" s="2"/>
      <c r="H8" s="2"/>
      <c r="I8" s="2"/>
    </row>
    <row r="9" spans="1:9" ht="13.5" x14ac:dyDescent="0.25">
      <c r="A9" s="37"/>
      <c r="B9" s="38" t="s">
        <v>25</v>
      </c>
      <c r="C9" s="39" t="s">
        <v>19</v>
      </c>
      <c r="D9" s="40">
        <f>119262*0</f>
        <v>0</v>
      </c>
      <c r="E9" s="2"/>
      <c r="F9" s="2"/>
      <c r="G9" s="2"/>
      <c r="H9" s="2"/>
      <c r="I9" s="2"/>
    </row>
    <row r="10" spans="1:9" ht="13.5" x14ac:dyDescent="0.25">
      <c r="A10" s="2"/>
      <c r="B10" s="38" t="s">
        <v>23</v>
      </c>
      <c r="C10" s="39" t="s">
        <v>24</v>
      </c>
      <c r="D10" s="40">
        <f>43436*0.5</f>
        <v>21718</v>
      </c>
      <c r="E10" s="2"/>
      <c r="F10" s="2"/>
      <c r="G10" s="2"/>
      <c r="H10" s="2"/>
      <c r="I10" s="2"/>
    </row>
    <row r="11" spans="1:9" ht="13.5" x14ac:dyDescent="0.25">
      <c r="A11" s="2"/>
      <c r="B11" s="38" t="s">
        <v>89</v>
      </c>
      <c r="C11" s="36"/>
      <c r="D11" s="40">
        <v>15000</v>
      </c>
      <c r="E11" s="2"/>
      <c r="F11" s="2"/>
      <c r="G11" s="2"/>
      <c r="H11" s="2"/>
      <c r="I11" s="2"/>
    </row>
    <row r="12" spans="1:9" ht="12.75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8" x14ac:dyDescent="0.25">
      <c r="A53" s="1"/>
      <c r="B53" s="84" t="s">
        <v>12</v>
      </c>
      <c r="C53" s="85"/>
      <c r="D53" s="86"/>
      <c r="E53" s="41" t="s">
        <v>13</v>
      </c>
      <c r="F53" s="41" t="s">
        <v>14</v>
      </c>
      <c r="G53" s="41" t="s">
        <v>15</v>
      </c>
      <c r="H53" s="41" t="s">
        <v>16</v>
      </c>
      <c r="I53" s="42" t="s">
        <v>17</v>
      </c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8" x14ac:dyDescent="0.25">
      <c r="A60" s="1"/>
      <c r="B60" s="20"/>
      <c r="C60" s="20"/>
      <c r="D60" s="21"/>
      <c r="E60" s="23"/>
      <c r="F60" s="23"/>
      <c r="G60" s="23"/>
      <c r="H60" s="23"/>
      <c r="I60" s="23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1"/>
      <c r="B65" s="24"/>
      <c r="C65" s="24"/>
      <c r="D65" s="25"/>
      <c r="E65" s="24"/>
      <c r="F65" s="24"/>
      <c r="G65" s="24"/>
      <c r="H65" s="24"/>
      <c r="I65" s="24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15"/>
      <c r="C68" s="15"/>
      <c r="D68" s="15"/>
      <c r="E68" s="15"/>
      <c r="F68" s="15"/>
      <c r="G68" s="2"/>
      <c r="H68" s="2"/>
      <c r="I68" s="2"/>
    </row>
    <row r="69" spans="1:9" ht="15.75" customHeight="1" x14ac:dyDescent="0.25">
      <c r="A69" s="1"/>
      <c r="B69" s="87" t="s">
        <v>8</v>
      </c>
      <c r="C69" s="82"/>
      <c r="D69" s="82"/>
      <c r="E69" s="82"/>
      <c r="F69" s="83"/>
      <c r="G69" s="2"/>
      <c r="H69" s="2"/>
      <c r="I69" s="2"/>
    </row>
    <row r="70" spans="1:9" ht="15.75" customHeight="1" x14ac:dyDescent="0.3">
      <c r="A70" s="1"/>
      <c r="B70" s="28"/>
      <c r="C70" s="28"/>
      <c r="D70" s="29"/>
      <c r="E70" s="30"/>
      <c r="F70" s="31"/>
      <c r="G70" s="9"/>
      <c r="H70" s="9"/>
      <c r="I70" s="9"/>
    </row>
    <row r="71" spans="1:9" ht="15.75" customHeight="1" x14ac:dyDescent="0.3">
      <c r="A71" s="1"/>
      <c r="B71" s="28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33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5.75" customHeight="1" x14ac:dyDescent="0.3">
      <c r="A76" s="1"/>
      <c r="B76" s="28"/>
      <c r="C76" s="28"/>
      <c r="D76" s="29"/>
      <c r="E76" s="32"/>
      <c r="F76" s="31"/>
      <c r="G76" s="9"/>
      <c r="H76" s="9"/>
      <c r="I76" s="9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</row>
    <row r="1001" spans="1:9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  <row r="1014" spans="1:1" ht="12.75" x14ac:dyDescent="0.2">
      <c r="A1014" s="2"/>
    </row>
    <row r="1015" spans="1:1" ht="12.75" x14ac:dyDescent="0.2">
      <c r="A1015" s="2"/>
    </row>
    <row r="1016" spans="1:1" ht="12.75" x14ac:dyDescent="0.2">
      <c r="A1016" s="2"/>
    </row>
  </sheetData>
  <mergeCells count="4">
    <mergeCell ref="B1:F1"/>
    <mergeCell ref="B69:F69"/>
    <mergeCell ref="B8:D8"/>
    <mergeCell ref="B53:D53"/>
  </mergeCells>
  <phoneticPr fontId="10" type="noConversion"/>
  <hyperlinks>
    <hyperlink ref="C9" r:id="rId1"/>
    <hyperlink ref="C10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M988"/>
  <sheetViews>
    <sheetView workbookViewId="0">
      <selection activeCell="B14" sqref="B14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5.85546875" bestFit="1" customWidth="1"/>
    <col min="6" max="6" width="16.5703125" bestFit="1" customWidth="1"/>
    <col min="7" max="9" width="11.85546875" customWidth="1"/>
  </cols>
  <sheetData>
    <row r="1" spans="1:13" ht="15.75" customHeight="1" x14ac:dyDescent="0.25">
      <c r="A1" s="1"/>
      <c r="B1" s="78" t="s">
        <v>0</v>
      </c>
      <c r="C1" s="79"/>
      <c r="D1" s="79"/>
      <c r="E1" s="79"/>
      <c r="F1" s="80"/>
      <c r="G1" s="2"/>
      <c r="H1" s="9"/>
      <c r="I1" s="9"/>
      <c r="L1" s="3" t="s">
        <v>1</v>
      </c>
      <c r="M1" s="4">
        <v>0.21</v>
      </c>
    </row>
    <row r="2" spans="1:13" ht="15.75" customHeight="1" x14ac:dyDescent="0.3">
      <c r="A2" s="1"/>
      <c r="B2" s="45" t="s">
        <v>26</v>
      </c>
      <c r="C2" s="28" t="s">
        <v>27</v>
      </c>
      <c r="D2" s="29" t="s">
        <v>4</v>
      </c>
      <c r="E2" s="34">
        <v>45359</v>
      </c>
      <c r="F2" s="31">
        <f>101500*$M$1-1700</f>
        <v>19615</v>
      </c>
      <c r="G2" s="9"/>
      <c r="H2" s="9"/>
      <c r="I2" s="9"/>
    </row>
    <row r="3" spans="1:13" ht="15.75" customHeight="1" x14ac:dyDescent="0.3">
      <c r="A3" s="1"/>
      <c r="B3" s="45" t="s">
        <v>28</v>
      </c>
      <c r="C3" s="28" t="s">
        <v>29</v>
      </c>
      <c r="D3" s="29" t="s">
        <v>30</v>
      </c>
      <c r="E3" s="34">
        <v>45364</v>
      </c>
      <c r="F3" s="31">
        <f>(74522+56320)*$M$1</f>
        <v>27476.82</v>
      </c>
      <c r="G3" s="9"/>
      <c r="H3" s="9"/>
      <c r="I3" s="9"/>
    </row>
    <row r="4" spans="1:13" ht="15.75" customHeight="1" x14ac:dyDescent="0.3">
      <c r="A4" s="1"/>
      <c r="B4" s="45"/>
      <c r="C4" s="28"/>
      <c r="D4" s="29"/>
      <c r="E4" s="34"/>
      <c r="F4" s="31"/>
      <c r="G4" s="9"/>
      <c r="H4" s="9"/>
      <c r="I4" s="9"/>
    </row>
    <row r="5" spans="1:13" ht="18.75" x14ac:dyDescent="0.3">
      <c r="A5" s="1"/>
      <c r="B5" s="45"/>
      <c r="C5" s="28"/>
      <c r="D5" s="29"/>
      <c r="E5" s="34"/>
      <c r="F5" s="31"/>
      <c r="G5" s="9"/>
      <c r="H5" s="9"/>
      <c r="I5" s="9"/>
    </row>
    <row r="6" spans="1:13" ht="18.75" x14ac:dyDescent="0.3">
      <c r="A6" s="1"/>
      <c r="B6" s="45"/>
      <c r="C6" s="28"/>
      <c r="D6" s="29"/>
      <c r="E6" s="34"/>
      <c r="F6" s="31"/>
      <c r="G6" s="9"/>
      <c r="H6" s="9"/>
      <c r="I6" s="9"/>
    </row>
    <row r="7" spans="1:13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3" ht="15.75" customHeight="1" x14ac:dyDescent="0.25">
      <c r="A8" s="1"/>
      <c r="B8" s="81" t="s">
        <v>9</v>
      </c>
      <c r="C8" s="82"/>
      <c r="D8" s="83"/>
      <c r="E8" s="2"/>
      <c r="F8" s="2"/>
      <c r="G8" s="2"/>
      <c r="H8" s="2"/>
      <c r="I8" s="2"/>
    </row>
    <row r="9" spans="1:13" ht="13.5" x14ac:dyDescent="0.25">
      <c r="A9" s="1"/>
      <c r="B9" s="26" t="s">
        <v>18</v>
      </c>
      <c r="C9" s="26">
        <v>45364</v>
      </c>
      <c r="D9" s="19">
        <v>72274</v>
      </c>
      <c r="E9" s="2"/>
      <c r="F9" s="2"/>
      <c r="G9" s="2"/>
      <c r="H9" s="2"/>
      <c r="I9" s="2"/>
    </row>
    <row r="10" spans="1:13" ht="13.5" x14ac:dyDescent="0.25">
      <c r="A10" s="1"/>
      <c r="B10" s="26"/>
      <c r="C10" s="26">
        <v>45368</v>
      </c>
      <c r="D10" s="27"/>
      <c r="E10" s="2"/>
      <c r="F10" s="2"/>
      <c r="G10" s="2"/>
      <c r="H10" s="2"/>
      <c r="I10" s="2"/>
    </row>
    <row r="11" spans="1:13" ht="13.5" x14ac:dyDescent="0.25">
      <c r="A11" s="1"/>
      <c r="B11" s="26" t="s">
        <v>42</v>
      </c>
      <c r="C11" s="26"/>
      <c r="D11" s="19">
        <v>2584</v>
      </c>
      <c r="E11" s="2"/>
      <c r="F11" s="2"/>
      <c r="G11" s="2"/>
      <c r="H11" s="2"/>
      <c r="I11" s="2"/>
    </row>
    <row r="12" spans="1:13" ht="13.5" x14ac:dyDescent="0.25">
      <c r="A12" s="1"/>
      <c r="B12" s="49" t="s">
        <v>39</v>
      </c>
      <c r="C12" s="26" t="s">
        <v>38</v>
      </c>
      <c r="D12" s="27">
        <f>(77000)*$M$1</f>
        <v>16170</v>
      </c>
      <c r="E12" s="2"/>
      <c r="F12" s="2"/>
      <c r="G12" s="2"/>
      <c r="H12" s="2"/>
      <c r="I12" s="2"/>
    </row>
    <row r="13" spans="1:13" ht="13.5" x14ac:dyDescent="0.25">
      <c r="A13" s="37"/>
      <c r="B13" s="50" t="s">
        <v>44</v>
      </c>
      <c r="C13" s="18"/>
      <c r="D13" s="19">
        <f>-374-1500</f>
        <v>-1874</v>
      </c>
      <c r="E13" s="2"/>
      <c r="F13" s="2"/>
      <c r="G13" s="2"/>
      <c r="H13" s="2"/>
      <c r="I13" s="2"/>
    </row>
    <row r="14" spans="1:13" ht="12.75" x14ac:dyDescent="0.2">
      <c r="A14" s="2"/>
      <c r="B14" s="15"/>
      <c r="C14" s="15"/>
      <c r="D14" s="15"/>
      <c r="E14" s="2"/>
      <c r="F14" s="2"/>
      <c r="G14" s="2"/>
      <c r="H14" s="2"/>
      <c r="I14" s="2"/>
    </row>
    <row r="15" spans="1:13" ht="15.75" customHeight="1" x14ac:dyDescent="0.3">
      <c r="A15" s="1"/>
      <c r="B15" s="88" t="s">
        <v>40</v>
      </c>
      <c r="C15" s="89"/>
      <c r="D15" s="90"/>
      <c r="E15" s="2"/>
      <c r="F15" s="2"/>
      <c r="G15" s="2"/>
      <c r="H15" s="2"/>
      <c r="I15" s="2"/>
    </row>
    <row r="16" spans="1:13" ht="13.5" x14ac:dyDescent="0.25">
      <c r="A16" s="1"/>
      <c r="B16" s="46" t="s">
        <v>41</v>
      </c>
      <c r="C16" s="46"/>
      <c r="D16" s="47">
        <v>-25000</v>
      </c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8" x14ac:dyDescent="0.25">
      <c r="A34" s="37"/>
      <c r="B34" s="84" t="s">
        <v>12</v>
      </c>
      <c r="C34" s="85"/>
      <c r="D34" s="86"/>
      <c r="E34" s="41" t="s">
        <v>13</v>
      </c>
      <c r="F34" s="41" t="s">
        <v>14</v>
      </c>
      <c r="G34" s="41" t="s">
        <v>15</v>
      </c>
      <c r="H34" s="41" t="s">
        <v>16</v>
      </c>
      <c r="I34" s="42" t="s">
        <v>17</v>
      </c>
    </row>
    <row r="35" spans="1:9" ht="18" x14ac:dyDescent="0.25">
      <c r="A35" s="1"/>
      <c r="B35" s="20"/>
      <c r="C35" s="20"/>
      <c r="D35" s="21"/>
      <c r="E35" s="23"/>
      <c r="F35" s="23"/>
      <c r="G35" s="23"/>
      <c r="H35" s="23"/>
      <c r="I35" s="23"/>
    </row>
    <row r="36" spans="1:9" ht="18" x14ac:dyDescent="0.25">
      <c r="A36" s="1"/>
      <c r="B36" s="20"/>
      <c r="C36" s="20"/>
      <c r="D36" s="21"/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8" x14ac:dyDescent="0.25">
      <c r="A40" s="1"/>
      <c r="B40" s="20"/>
      <c r="C40" s="20"/>
      <c r="D40" s="21"/>
      <c r="E40" s="23"/>
      <c r="F40" s="23"/>
      <c r="G40" s="23"/>
      <c r="H40" s="23"/>
      <c r="I40" s="23"/>
    </row>
    <row r="41" spans="1:9" ht="18" x14ac:dyDescent="0.25">
      <c r="A41" s="1"/>
      <c r="B41" s="20"/>
      <c r="C41" s="20"/>
      <c r="D41" s="21"/>
      <c r="E41" s="23"/>
      <c r="F41" s="23"/>
      <c r="G41" s="23"/>
      <c r="H41" s="23"/>
      <c r="I41" s="23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1"/>
      <c r="B45" s="24"/>
      <c r="C45" s="24"/>
      <c r="D45" s="25"/>
      <c r="E45" s="24"/>
      <c r="F45" s="24"/>
      <c r="G45" s="24"/>
      <c r="H45" s="24"/>
      <c r="I45" s="24"/>
    </row>
    <row r="46" spans="1:9" ht="12.75" x14ac:dyDescent="0.2">
      <c r="A46" s="1"/>
      <c r="B46" s="24"/>
      <c r="C46" s="24"/>
      <c r="D46" s="25"/>
      <c r="E46" s="24"/>
      <c r="F46" s="24"/>
      <c r="G46" s="24"/>
      <c r="H46" s="24"/>
      <c r="I46" s="24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15"/>
      <c r="C49" s="15"/>
      <c r="D49" s="15"/>
      <c r="E49" s="15"/>
      <c r="F49" s="15"/>
      <c r="G49" s="2"/>
      <c r="H49" s="2"/>
      <c r="I49" s="2"/>
    </row>
    <row r="50" spans="1:9" ht="15.75" customHeight="1" x14ac:dyDescent="0.25">
      <c r="A50" s="1"/>
      <c r="B50" s="87" t="s">
        <v>8</v>
      </c>
      <c r="C50" s="82"/>
      <c r="D50" s="82"/>
      <c r="E50" s="82"/>
      <c r="F50" s="83"/>
      <c r="G50" s="2"/>
      <c r="H50" s="2"/>
      <c r="I50" s="2"/>
    </row>
    <row r="51" spans="1:9" ht="15.75" customHeight="1" x14ac:dyDescent="0.25">
      <c r="A51" s="1"/>
      <c r="B51" s="43" t="s">
        <v>31</v>
      </c>
      <c r="C51" s="5" t="s">
        <v>27</v>
      </c>
      <c r="D51" s="10" t="s">
        <v>32</v>
      </c>
      <c r="E51" s="8"/>
      <c r="F51" s="8">
        <f>59621*$M$1</f>
        <v>12520.41</v>
      </c>
      <c r="G51" s="9"/>
      <c r="H51" s="9"/>
      <c r="I51" s="9"/>
    </row>
    <row r="52" spans="1:9" ht="15.75" customHeight="1" x14ac:dyDescent="0.25">
      <c r="A52" s="1"/>
      <c r="B52" s="43" t="s">
        <v>33</v>
      </c>
      <c r="C52" s="5" t="s">
        <v>27</v>
      </c>
      <c r="D52" s="10" t="s">
        <v>4</v>
      </c>
      <c r="E52" s="7"/>
      <c r="F52" s="8">
        <f>69835*$M$1-1218</f>
        <v>13447.35</v>
      </c>
      <c r="G52" s="9"/>
      <c r="H52" s="9"/>
      <c r="I52" s="9"/>
    </row>
    <row r="53" spans="1:9" ht="15.75" customHeight="1" x14ac:dyDescent="0.25">
      <c r="A53" s="1"/>
      <c r="B53" s="44" t="s">
        <v>34</v>
      </c>
      <c r="C53" s="5" t="s">
        <v>27</v>
      </c>
      <c r="D53" s="10" t="s">
        <v>32</v>
      </c>
      <c r="E53" s="7"/>
      <c r="F53" s="8">
        <f>167400*$M$1</f>
        <v>35154</v>
      </c>
      <c r="G53" s="9"/>
      <c r="H53" s="9"/>
      <c r="I53" s="9"/>
    </row>
    <row r="54" spans="1:9" ht="15.75" customHeight="1" x14ac:dyDescent="0.25">
      <c r="A54" s="1"/>
      <c r="B54" s="44" t="s">
        <v>35</v>
      </c>
      <c r="C54" s="5" t="s">
        <v>29</v>
      </c>
      <c r="D54" s="10" t="s">
        <v>32</v>
      </c>
      <c r="E54" s="7"/>
      <c r="F54" s="8">
        <f>125100*$M$1</f>
        <v>26271</v>
      </c>
      <c r="G54" s="9"/>
      <c r="H54" s="9"/>
      <c r="I54" s="9"/>
    </row>
    <row r="55" spans="1:9" ht="15.75" customHeight="1" x14ac:dyDescent="0.25">
      <c r="A55" s="1"/>
      <c r="B55" s="43" t="s">
        <v>36</v>
      </c>
      <c r="C55" s="5" t="s">
        <v>27</v>
      </c>
      <c r="D55" s="10" t="s">
        <v>4</v>
      </c>
      <c r="E55" s="7"/>
      <c r="F55" s="8">
        <f>102600*$M$1-1972</f>
        <v>19574</v>
      </c>
      <c r="G55" s="9"/>
      <c r="H55" s="9"/>
      <c r="I55" s="9"/>
    </row>
    <row r="56" spans="1:9" ht="15.75" customHeight="1" x14ac:dyDescent="0.25">
      <c r="A56" s="1"/>
      <c r="B56" s="43" t="s">
        <v>26</v>
      </c>
      <c r="C56" s="5" t="s">
        <v>27</v>
      </c>
      <c r="D56" s="10" t="s">
        <v>4</v>
      </c>
      <c r="E56" s="7"/>
      <c r="F56" s="8">
        <f>120000*$M$1-2040</f>
        <v>23160</v>
      </c>
      <c r="G56" s="9"/>
      <c r="H56" s="9"/>
      <c r="I56" s="9"/>
    </row>
    <row r="57" spans="1:9" ht="15.75" customHeight="1" x14ac:dyDescent="0.25">
      <c r="A57" s="1"/>
      <c r="B57" s="43" t="s">
        <v>37</v>
      </c>
      <c r="C57" s="5" t="s">
        <v>29</v>
      </c>
      <c r="D57" s="10" t="s">
        <v>4</v>
      </c>
      <c r="E57" s="7"/>
      <c r="F57" s="8">
        <f>95247*$M$1-1632</f>
        <v>18369.87</v>
      </c>
      <c r="G57" s="9"/>
      <c r="H57" s="9"/>
      <c r="I57" s="9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</sheetData>
  <mergeCells count="5">
    <mergeCell ref="B1:F1"/>
    <mergeCell ref="B8:D8"/>
    <mergeCell ref="B34:D34"/>
    <mergeCell ref="B50:F50"/>
    <mergeCell ref="B15:D15"/>
  </mergeCells>
  <phoneticPr fontId="10" type="noConversion"/>
  <hyperlinks>
    <hyperlink ref="B9" r:id="rId1" display="釜山航空 BX794"/>
    <hyperlink ref="B11" r:id="rId2" display="釜山航空 BX794"/>
    <hyperlink ref="B13" r:id="rId3" display="濟州航空 7C265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I984"/>
  <sheetViews>
    <sheetView workbookViewId="0">
      <selection activeCell="C2" sqref="C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78" t="s">
        <v>0</v>
      </c>
      <c r="C1" s="79"/>
      <c r="D1" s="79"/>
      <c r="E1" s="79"/>
      <c r="F1" s="80"/>
      <c r="G1" s="2"/>
      <c r="H1" s="3" t="s">
        <v>1</v>
      </c>
      <c r="I1" s="4">
        <v>2.4E-2</v>
      </c>
    </row>
    <row r="2" spans="1:9" ht="15.75" customHeight="1" x14ac:dyDescent="0.3">
      <c r="A2" s="1"/>
      <c r="B2" s="5" t="s">
        <v>2</v>
      </c>
      <c r="C2" s="51" t="s">
        <v>3</v>
      </c>
      <c r="D2" s="6" t="s">
        <v>4</v>
      </c>
      <c r="E2" s="7">
        <v>45468</v>
      </c>
      <c r="F2" s="8">
        <f>821771*$I$1-1959</f>
        <v>17763.504000000001</v>
      </c>
      <c r="G2" s="9"/>
      <c r="H2" s="9"/>
      <c r="I2" s="9"/>
    </row>
    <row r="3" spans="1:9" ht="15.75" customHeight="1" x14ac:dyDescent="0.3">
      <c r="A3" s="1"/>
      <c r="B3" s="5" t="s">
        <v>5</v>
      </c>
      <c r="C3" s="51" t="s">
        <v>3</v>
      </c>
      <c r="D3" s="10" t="s">
        <v>6</v>
      </c>
      <c r="E3" s="7">
        <v>45461</v>
      </c>
      <c r="F3" s="8">
        <f>1566795*$I$1</f>
        <v>37603.08</v>
      </c>
      <c r="G3" s="9"/>
      <c r="H3" s="9"/>
      <c r="I3" s="9"/>
    </row>
    <row r="4" spans="1:9" ht="15.75" customHeight="1" x14ac:dyDescent="0.3">
      <c r="A4" s="1"/>
      <c r="B4" s="11" t="s">
        <v>7</v>
      </c>
      <c r="C4" s="51" t="s">
        <v>3</v>
      </c>
      <c r="D4" s="10" t="s">
        <v>6</v>
      </c>
      <c r="E4" s="7">
        <v>45461</v>
      </c>
      <c r="F4" s="8">
        <f>1266746*$I$1</f>
        <v>30401.904000000002</v>
      </c>
      <c r="G4" s="9"/>
      <c r="H4" s="9"/>
      <c r="I4" s="9"/>
    </row>
    <row r="5" spans="1:9" ht="12.75" x14ac:dyDescent="0.2">
      <c r="A5" s="1"/>
      <c r="B5" s="12"/>
      <c r="C5" s="12"/>
      <c r="D5" s="12"/>
      <c r="E5" s="13"/>
      <c r="F5" s="14"/>
      <c r="G5" s="9"/>
      <c r="H5" s="9"/>
      <c r="I5" s="9"/>
    </row>
    <row r="6" spans="1:9" ht="12.75" x14ac:dyDescent="0.2">
      <c r="A6" s="1"/>
      <c r="B6" s="12"/>
      <c r="C6" s="12"/>
      <c r="D6" s="12"/>
      <c r="E6" s="13"/>
      <c r="F6" s="14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1" t="s">
        <v>9</v>
      </c>
      <c r="C8" s="82"/>
      <c r="D8" s="83"/>
      <c r="E8" s="2"/>
      <c r="F8" s="2"/>
      <c r="G8" s="2"/>
      <c r="H8" s="2"/>
      <c r="I8" s="2"/>
    </row>
    <row r="9" spans="1:9" ht="13.5" x14ac:dyDescent="0.25">
      <c r="A9" s="1"/>
      <c r="B9" s="48" t="s">
        <v>10</v>
      </c>
      <c r="C9" s="18">
        <v>45470</v>
      </c>
      <c r="D9" s="19">
        <f>24986+375</f>
        <v>25361</v>
      </c>
      <c r="E9" s="2"/>
      <c r="F9" s="2"/>
      <c r="G9" s="2"/>
      <c r="H9" s="2"/>
      <c r="I9" s="2"/>
    </row>
    <row r="10" spans="1:9" ht="13.5" x14ac:dyDescent="0.25">
      <c r="A10" s="1"/>
      <c r="B10" s="48" t="s">
        <v>11</v>
      </c>
      <c r="C10" s="18">
        <v>45473</v>
      </c>
      <c r="D10" s="19"/>
      <c r="E10" s="2"/>
      <c r="F10" s="2"/>
      <c r="G10" s="2"/>
      <c r="H10" s="2"/>
      <c r="I10" s="2"/>
    </row>
    <row r="11" spans="1:9" ht="13.5" x14ac:dyDescent="0.25">
      <c r="A11" s="1"/>
      <c r="B11" s="48" t="s">
        <v>43</v>
      </c>
      <c r="C11" s="18"/>
      <c r="D11" s="19">
        <f>852+13</f>
        <v>865</v>
      </c>
      <c r="E11" s="2"/>
      <c r="F11" s="2"/>
      <c r="G11" s="2"/>
      <c r="H11" s="2"/>
      <c r="I11" s="2"/>
    </row>
    <row r="12" spans="1:9" ht="13.5" x14ac:dyDescent="0.25">
      <c r="A12" s="1"/>
      <c r="B12" s="48" t="s">
        <v>44</v>
      </c>
      <c r="C12" s="18"/>
      <c r="D12" s="19">
        <f>-1*(24986+852)*0.03</f>
        <v>-775.14</v>
      </c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8" x14ac:dyDescent="0.25">
      <c r="A30" s="37"/>
      <c r="B30" s="84" t="s">
        <v>12</v>
      </c>
      <c r="C30" s="85"/>
      <c r="D30" s="86"/>
      <c r="E30" s="41" t="s">
        <v>13</v>
      </c>
      <c r="F30" s="41" t="s">
        <v>14</v>
      </c>
      <c r="G30" s="41" t="s">
        <v>15</v>
      </c>
      <c r="H30" s="41" t="s">
        <v>16</v>
      </c>
      <c r="I30" s="42" t="s">
        <v>17</v>
      </c>
    </row>
    <row r="31" spans="1:9" ht="18" x14ac:dyDescent="0.25">
      <c r="A31" s="1"/>
      <c r="B31" s="20"/>
      <c r="C31" s="20"/>
      <c r="D31" s="21"/>
      <c r="E31" s="22"/>
      <c r="F31" s="22"/>
      <c r="G31" s="22"/>
      <c r="H31" s="22"/>
      <c r="I31" s="22"/>
    </row>
    <row r="32" spans="1:9" ht="18" x14ac:dyDescent="0.25">
      <c r="A32" s="1"/>
      <c r="B32" s="20"/>
      <c r="C32" s="20"/>
      <c r="D32" s="21"/>
      <c r="E32" s="22"/>
      <c r="F32" s="22"/>
      <c r="G32" s="22"/>
      <c r="H32" s="22"/>
      <c r="I32" s="22"/>
    </row>
    <row r="33" spans="1:9" ht="18" x14ac:dyDescent="0.25">
      <c r="A33" s="1"/>
      <c r="B33" s="20"/>
      <c r="C33" s="20"/>
      <c r="D33" s="21"/>
      <c r="E33" s="23"/>
      <c r="F33" s="23"/>
      <c r="G33" s="23"/>
      <c r="H33" s="23"/>
      <c r="I33" s="23"/>
    </row>
    <row r="34" spans="1:9" ht="18" x14ac:dyDescent="0.25">
      <c r="A34" s="1"/>
      <c r="B34" s="20"/>
      <c r="C34" s="20"/>
      <c r="D34" s="21"/>
      <c r="E34" s="23"/>
      <c r="F34" s="23"/>
      <c r="G34" s="23"/>
      <c r="H34" s="23"/>
      <c r="I34" s="23"/>
    </row>
    <row r="35" spans="1:9" ht="18" x14ac:dyDescent="0.25">
      <c r="A35" s="1"/>
      <c r="B35" s="20"/>
      <c r="C35" s="20"/>
      <c r="D35" s="21"/>
      <c r="E35" s="23"/>
      <c r="F35" s="23"/>
      <c r="G35" s="23"/>
      <c r="H35" s="23"/>
      <c r="I35" s="23"/>
    </row>
    <row r="36" spans="1:9" ht="18" x14ac:dyDescent="0.25">
      <c r="A36" s="1"/>
      <c r="B36" s="20"/>
      <c r="C36" s="20"/>
      <c r="D36" s="21"/>
      <c r="E36" s="22"/>
      <c r="F36" s="22"/>
      <c r="G36" s="22"/>
      <c r="H36" s="22"/>
      <c r="I36" s="22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2.75" x14ac:dyDescent="0.2">
      <c r="A38" s="1"/>
      <c r="B38" s="24"/>
      <c r="C38" s="24"/>
      <c r="D38" s="25"/>
      <c r="E38" s="24"/>
      <c r="F38" s="24"/>
      <c r="G38" s="24"/>
      <c r="H38" s="24"/>
      <c r="I38" s="24"/>
    </row>
    <row r="39" spans="1:9" ht="12.75" x14ac:dyDescent="0.2">
      <c r="A39" s="1"/>
      <c r="B39" s="24"/>
      <c r="C39" s="24"/>
      <c r="D39" s="25"/>
      <c r="E39" s="24"/>
      <c r="F39" s="24"/>
      <c r="G39" s="24"/>
      <c r="H39" s="24"/>
      <c r="I39" s="24"/>
    </row>
    <row r="40" spans="1:9" ht="12.75" x14ac:dyDescent="0.2">
      <c r="A40" s="1"/>
      <c r="B40" s="24"/>
      <c r="C40" s="24"/>
      <c r="D40" s="25"/>
      <c r="E40" s="24"/>
      <c r="F40" s="24"/>
      <c r="G40" s="24"/>
      <c r="H40" s="24"/>
      <c r="I40" s="24"/>
    </row>
    <row r="41" spans="1:9" ht="12.75" x14ac:dyDescent="0.2">
      <c r="A41" s="1"/>
      <c r="B41" s="24"/>
      <c r="C41" s="24"/>
      <c r="D41" s="25"/>
      <c r="E41" s="24"/>
      <c r="F41" s="24"/>
      <c r="G41" s="24"/>
      <c r="H41" s="24"/>
      <c r="I41" s="24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15"/>
      <c r="C45" s="15"/>
      <c r="D45" s="15"/>
      <c r="E45" s="15"/>
      <c r="F45" s="15"/>
      <c r="G45" s="2"/>
      <c r="H45" s="2"/>
      <c r="I45" s="2"/>
    </row>
    <row r="46" spans="1:9" ht="15.75" customHeight="1" x14ac:dyDescent="0.25">
      <c r="A46" s="1"/>
      <c r="B46" s="87" t="s">
        <v>8</v>
      </c>
      <c r="C46" s="82"/>
      <c r="D46" s="82"/>
      <c r="E46" s="82"/>
      <c r="F46" s="83"/>
      <c r="G46" s="2"/>
      <c r="H46" s="2"/>
      <c r="I46" s="2"/>
    </row>
    <row r="47" spans="1:9" ht="15.75" customHeight="1" x14ac:dyDescent="0.25">
      <c r="A47" s="1"/>
      <c r="B47" s="16"/>
      <c r="C47" s="16"/>
      <c r="D47" s="6"/>
      <c r="E47" s="14"/>
      <c r="F47" s="8"/>
      <c r="G47" s="9"/>
      <c r="H47" s="9"/>
      <c r="I47" s="9"/>
    </row>
    <row r="48" spans="1:9" ht="15.75" customHeight="1" x14ac:dyDescent="0.25">
      <c r="A48" s="1"/>
      <c r="B48" s="16"/>
      <c r="C48" s="16"/>
      <c r="D48" s="6"/>
      <c r="E48" s="13"/>
      <c r="F48" s="8"/>
      <c r="G48" s="9"/>
      <c r="H48" s="9"/>
      <c r="I48" s="9"/>
    </row>
    <row r="49" spans="1:9" ht="15.75" customHeight="1" x14ac:dyDescent="0.25">
      <c r="A49" s="1"/>
      <c r="B49" s="17"/>
      <c r="C49" s="16"/>
      <c r="D49" s="6"/>
      <c r="E49" s="13"/>
      <c r="F49" s="8"/>
      <c r="G49" s="9"/>
      <c r="H49" s="9"/>
      <c r="I49" s="9"/>
    </row>
    <row r="50" spans="1:9" ht="15.75" customHeight="1" x14ac:dyDescent="0.25">
      <c r="A50" s="1"/>
      <c r="B50" s="17"/>
      <c r="C50" s="16"/>
      <c r="D50" s="6"/>
      <c r="E50" s="13"/>
      <c r="F50" s="8"/>
      <c r="G50" s="9"/>
      <c r="H50" s="9"/>
      <c r="I50" s="9"/>
    </row>
    <row r="51" spans="1:9" ht="15.75" customHeight="1" x14ac:dyDescent="0.25">
      <c r="A51" s="1"/>
      <c r="B51" s="16"/>
      <c r="C51" s="16"/>
      <c r="D51" s="6"/>
      <c r="E51" s="13"/>
      <c r="F51" s="8"/>
      <c r="G51" s="9"/>
      <c r="H51" s="9"/>
      <c r="I51" s="9"/>
    </row>
    <row r="52" spans="1:9" ht="15.75" customHeight="1" x14ac:dyDescent="0.25">
      <c r="A52" s="1"/>
      <c r="B52" s="16"/>
      <c r="C52" s="16"/>
      <c r="D52" s="6"/>
      <c r="E52" s="13"/>
      <c r="F52" s="8"/>
      <c r="G52" s="9"/>
      <c r="H52" s="9"/>
      <c r="I52" s="9"/>
    </row>
    <row r="53" spans="1:9" ht="15.75" customHeight="1" x14ac:dyDescent="0.25">
      <c r="A53" s="1"/>
      <c r="B53" s="16"/>
      <c r="C53" s="16"/>
      <c r="D53" s="6"/>
      <c r="E53" s="13"/>
      <c r="F53" s="8"/>
      <c r="G53" s="9"/>
      <c r="H53" s="9"/>
      <c r="I53" s="9"/>
    </row>
    <row r="54" spans="1:9" ht="12.75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ht="12.75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ht="12.75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2.75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</row>
    <row r="971" spans="1:9" ht="12.75" x14ac:dyDescent="0.2">
      <c r="A971" s="2"/>
    </row>
    <row r="972" spans="1:9" ht="12.75" x14ac:dyDescent="0.2">
      <c r="A972" s="2"/>
    </row>
    <row r="973" spans="1:9" ht="12.75" x14ac:dyDescent="0.2">
      <c r="A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</sheetData>
  <mergeCells count="4">
    <mergeCell ref="B1:F1"/>
    <mergeCell ref="B46:F46"/>
    <mergeCell ref="B8:D8"/>
    <mergeCell ref="B30:D30"/>
  </mergeCells>
  <phoneticPr fontId="10" type="noConversion"/>
  <hyperlinks>
    <hyperlink ref="B9" r:id="rId1"/>
    <hyperlink ref="B10" r:id="rId2"/>
    <hyperlink ref="B11" r:id="rId3" display="濟州航空 7C2653"/>
    <hyperlink ref="B12" r:id="rId4" display="濟州航空 7C2653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I986"/>
  <sheetViews>
    <sheetView workbookViewId="0">
      <selection activeCell="F5" sqref="F5:F6"/>
    </sheetView>
  </sheetViews>
  <sheetFormatPr defaultColWidth="12.5703125" defaultRowHeight="15.75" customHeight="1" x14ac:dyDescent="0.2"/>
  <cols>
    <col min="2" max="2" width="66.570312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thickBot="1" x14ac:dyDescent="0.3">
      <c r="A1" s="1"/>
      <c r="B1" s="91" t="s">
        <v>0</v>
      </c>
      <c r="C1" s="92"/>
      <c r="D1" s="92"/>
      <c r="E1" s="92"/>
      <c r="F1" s="93"/>
      <c r="G1" s="2"/>
      <c r="H1" s="3" t="s">
        <v>1</v>
      </c>
      <c r="I1" s="4">
        <v>20.6</v>
      </c>
    </row>
    <row r="2" spans="1:9" ht="15.75" customHeight="1" x14ac:dyDescent="0.25">
      <c r="A2" s="37"/>
      <c r="B2" s="55" t="s">
        <v>45</v>
      </c>
      <c r="C2" s="56" t="s">
        <v>50</v>
      </c>
      <c r="D2" s="57" t="s">
        <v>46</v>
      </c>
      <c r="E2" s="58">
        <v>45559</v>
      </c>
      <c r="F2" s="59">
        <f>2237.4*$I$1-4118</f>
        <v>41972.44</v>
      </c>
      <c r="G2" s="9"/>
      <c r="H2" s="9"/>
      <c r="I2" s="9"/>
    </row>
    <row r="3" spans="1:9" ht="15.75" customHeight="1" x14ac:dyDescent="0.25">
      <c r="A3" s="37"/>
      <c r="B3" s="60" t="s">
        <v>47</v>
      </c>
      <c r="C3" s="52" t="s">
        <v>51</v>
      </c>
      <c r="D3" s="53" t="s">
        <v>46</v>
      </c>
      <c r="E3" s="54">
        <v>45563</v>
      </c>
      <c r="F3" s="61">
        <f>1212.3*$I$1-1989</f>
        <v>22984.38</v>
      </c>
      <c r="G3" s="9"/>
      <c r="H3" s="9"/>
      <c r="I3" s="9"/>
    </row>
    <row r="4" spans="1:9" ht="15.75" customHeight="1" thickBot="1" x14ac:dyDescent="0.3">
      <c r="A4" s="37"/>
      <c r="B4" s="62" t="s">
        <v>48</v>
      </c>
      <c r="C4" s="63" t="s">
        <v>52</v>
      </c>
      <c r="D4" s="64" t="s">
        <v>46</v>
      </c>
      <c r="E4" s="65">
        <v>45563</v>
      </c>
      <c r="F4" s="66">
        <f>808.38*$I$1-1484</f>
        <v>15168.628000000001</v>
      </c>
      <c r="G4" s="9"/>
      <c r="H4" s="9"/>
      <c r="I4" s="9"/>
    </row>
    <row r="5" spans="1:9" x14ac:dyDescent="0.25">
      <c r="A5" s="37"/>
      <c r="B5" s="55" t="s">
        <v>53</v>
      </c>
      <c r="C5" s="56" t="s">
        <v>50</v>
      </c>
      <c r="D5" s="57" t="s">
        <v>46</v>
      </c>
      <c r="E5" s="58">
        <v>45568</v>
      </c>
      <c r="F5" s="59">
        <f>1979.76*$I$1-4051</f>
        <v>36732.056000000004</v>
      </c>
      <c r="G5" s="9"/>
      <c r="H5" s="9"/>
      <c r="I5" s="9"/>
    </row>
    <row r="6" spans="1:9" x14ac:dyDescent="0.25">
      <c r="A6" s="37"/>
      <c r="B6" s="60" t="s">
        <v>54</v>
      </c>
      <c r="C6" s="52" t="s">
        <v>51</v>
      </c>
      <c r="D6" s="53" t="s">
        <v>46</v>
      </c>
      <c r="E6" s="54">
        <v>45574</v>
      </c>
      <c r="F6" s="61">
        <f>1698.3*$I$1-3141</f>
        <v>31843.980000000003</v>
      </c>
      <c r="G6" s="9"/>
      <c r="H6" s="9"/>
      <c r="I6" s="9"/>
    </row>
    <row r="7" spans="1:9" ht="16.5" thickBot="1" x14ac:dyDescent="0.3">
      <c r="A7" s="37"/>
      <c r="B7" s="62" t="s">
        <v>48</v>
      </c>
      <c r="C7" s="63" t="s">
        <v>52</v>
      </c>
      <c r="D7" s="64" t="s">
        <v>46</v>
      </c>
      <c r="E7" s="65">
        <v>45563</v>
      </c>
      <c r="F7" s="66">
        <f>808.38*$I$1-1484</f>
        <v>15168.628000000001</v>
      </c>
      <c r="G7" s="9"/>
      <c r="H7" s="9"/>
      <c r="I7" s="9"/>
    </row>
    <row r="8" spans="1:9" ht="12.75" x14ac:dyDescent="0.2">
      <c r="A8" s="2"/>
      <c r="B8" s="15"/>
      <c r="C8" s="15"/>
      <c r="D8" s="15"/>
      <c r="E8" s="2"/>
      <c r="F8" s="2"/>
      <c r="G8" s="2"/>
      <c r="H8" s="2"/>
      <c r="I8" s="2"/>
    </row>
    <row r="9" spans="1:9" ht="15.75" customHeight="1" x14ac:dyDescent="0.25">
      <c r="A9" s="1"/>
      <c r="B9" s="81" t="s">
        <v>9</v>
      </c>
      <c r="C9" s="82"/>
      <c r="D9" s="83"/>
      <c r="E9" s="2"/>
      <c r="F9" s="2"/>
      <c r="G9" s="2"/>
      <c r="H9" s="2"/>
      <c r="I9" s="2"/>
    </row>
    <row r="10" spans="1:9" ht="13.5" x14ac:dyDescent="0.25">
      <c r="A10" s="1"/>
      <c r="B10" s="26" t="s">
        <v>49</v>
      </c>
      <c r="C10" s="18">
        <v>45575</v>
      </c>
      <c r="D10" s="19">
        <f>103920+1559</f>
        <v>105479</v>
      </c>
      <c r="E10" s="2"/>
      <c r="F10" s="2"/>
      <c r="G10" s="2"/>
      <c r="H10" s="2"/>
      <c r="I10" s="2"/>
    </row>
    <row r="11" spans="1:9" ht="13.5" x14ac:dyDescent="0.25">
      <c r="A11" s="1"/>
      <c r="B11" s="26" t="s">
        <v>49</v>
      </c>
      <c r="C11" s="18">
        <v>45584</v>
      </c>
      <c r="D11" s="19"/>
      <c r="E11" s="2"/>
      <c r="F11" s="2"/>
      <c r="G11" s="2"/>
      <c r="H11" s="2"/>
      <c r="I11" s="2"/>
    </row>
    <row r="12" spans="1:9" ht="13.5" x14ac:dyDescent="0.25">
      <c r="A12" s="1"/>
      <c r="B12" s="48" t="s">
        <v>43</v>
      </c>
      <c r="C12" s="18"/>
      <c r="D12" s="19"/>
      <c r="E12" s="2"/>
      <c r="F12" s="2"/>
      <c r="G12" s="2"/>
      <c r="H12" s="2"/>
      <c r="I12" s="2"/>
    </row>
    <row r="13" spans="1:9" ht="13.5" x14ac:dyDescent="0.25">
      <c r="A13" s="1"/>
      <c r="B13" s="48" t="s">
        <v>44</v>
      </c>
      <c r="C13" s="18"/>
      <c r="D13" s="19">
        <f>-2598-103920*0.005</f>
        <v>-3117.6</v>
      </c>
      <c r="E13" s="2"/>
      <c r="F13" s="2"/>
      <c r="G13" s="2"/>
      <c r="H13" s="2"/>
      <c r="I13" s="2"/>
    </row>
    <row r="14" spans="1:9" ht="13.5" x14ac:dyDescent="0.25">
      <c r="A14" s="1"/>
      <c r="B14" s="48" t="s">
        <v>57</v>
      </c>
      <c r="C14" s="18" t="s">
        <v>56</v>
      </c>
      <c r="D14" s="19">
        <f>1285.82*$I$1</f>
        <v>26487.892</v>
      </c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4.25" x14ac:dyDescent="0.3">
      <c r="A16" s="2"/>
      <c r="B16" s="94" t="s">
        <v>40</v>
      </c>
      <c r="C16" s="95"/>
      <c r="D16" s="95"/>
      <c r="E16" s="2"/>
      <c r="F16" s="2"/>
      <c r="G16" s="2"/>
      <c r="H16" s="2"/>
      <c r="I16" s="2"/>
    </row>
    <row r="17" spans="1:9" ht="13.5" x14ac:dyDescent="0.25">
      <c r="A17" s="2"/>
      <c r="B17" s="67" t="s">
        <v>55</v>
      </c>
      <c r="C17" s="67"/>
      <c r="D17" s="68">
        <v>0</v>
      </c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9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8" x14ac:dyDescent="0.25">
      <c r="A32" s="37"/>
      <c r="B32" s="84" t="s">
        <v>12</v>
      </c>
      <c r="C32" s="85"/>
      <c r="D32" s="86"/>
      <c r="E32" s="41" t="s">
        <v>13</v>
      </c>
      <c r="F32" s="41" t="s">
        <v>14</v>
      </c>
      <c r="G32" s="41" t="s">
        <v>15</v>
      </c>
      <c r="H32" s="41" t="s">
        <v>16</v>
      </c>
      <c r="I32" s="42" t="s">
        <v>17</v>
      </c>
    </row>
    <row r="33" spans="1:9" ht="18" x14ac:dyDescent="0.25">
      <c r="A33" s="1"/>
      <c r="B33" s="20"/>
      <c r="C33" s="20"/>
      <c r="D33" s="21"/>
      <c r="E33" s="23"/>
      <c r="F33" s="23"/>
      <c r="G33" s="23"/>
      <c r="H33" s="23"/>
      <c r="I33" s="23"/>
    </row>
    <row r="34" spans="1:9" ht="18" x14ac:dyDescent="0.25">
      <c r="A34" s="1"/>
      <c r="B34" s="20"/>
      <c r="C34" s="20"/>
      <c r="D34" s="21"/>
      <c r="E34" s="23"/>
      <c r="F34" s="23"/>
      <c r="G34" s="23"/>
      <c r="H34" s="23"/>
      <c r="I34" s="23"/>
    </row>
    <row r="35" spans="1:9" ht="18" x14ac:dyDescent="0.25">
      <c r="A35" s="1"/>
      <c r="B35" s="20"/>
      <c r="C35" s="20"/>
      <c r="D35" s="21"/>
      <c r="E35" s="23"/>
      <c r="F35" s="23"/>
      <c r="G35" s="23"/>
      <c r="H35" s="23"/>
      <c r="I35" s="23"/>
    </row>
    <row r="36" spans="1:9" ht="18" x14ac:dyDescent="0.25">
      <c r="A36" s="1"/>
      <c r="B36" s="20"/>
      <c r="C36" s="20"/>
      <c r="D36" s="21"/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2.75" x14ac:dyDescent="0.2">
      <c r="A40" s="1"/>
      <c r="B40" s="24"/>
      <c r="C40" s="24"/>
      <c r="D40" s="25"/>
      <c r="E40" s="24"/>
      <c r="F40" s="24"/>
      <c r="G40" s="24"/>
      <c r="H40" s="24"/>
      <c r="I40" s="24"/>
    </row>
    <row r="41" spans="1:9" ht="12.75" x14ac:dyDescent="0.2">
      <c r="A41" s="1"/>
      <c r="B41" s="24"/>
      <c r="C41" s="24"/>
      <c r="D41" s="25"/>
      <c r="E41" s="24"/>
      <c r="F41" s="24"/>
      <c r="G41" s="24"/>
      <c r="H41" s="24"/>
      <c r="I41" s="24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15"/>
      <c r="C47" s="15"/>
      <c r="D47" s="15"/>
      <c r="E47" s="15"/>
      <c r="F47" s="15"/>
      <c r="G47" s="2"/>
      <c r="H47" s="2"/>
      <c r="I47" s="2"/>
    </row>
    <row r="48" spans="1:9" ht="15.75" customHeight="1" x14ac:dyDescent="0.25">
      <c r="A48" s="1"/>
      <c r="B48" s="87" t="s">
        <v>8</v>
      </c>
      <c r="C48" s="82"/>
      <c r="D48" s="82"/>
      <c r="E48" s="82"/>
      <c r="F48" s="83"/>
      <c r="G48" s="2"/>
      <c r="H48" s="2"/>
      <c r="I48" s="2"/>
    </row>
    <row r="49" spans="1:9" ht="15.75" customHeight="1" x14ac:dyDescent="0.25">
      <c r="A49" s="1"/>
      <c r="B49" s="16"/>
      <c r="C49" s="16"/>
      <c r="D49" s="10"/>
      <c r="E49" s="14"/>
      <c r="F49" s="8"/>
      <c r="G49" s="9"/>
      <c r="H49" s="9"/>
      <c r="I49" s="9"/>
    </row>
    <row r="50" spans="1:9" ht="15.75" customHeight="1" x14ac:dyDescent="0.25">
      <c r="A50" s="1"/>
      <c r="B50" s="16"/>
      <c r="C50" s="16"/>
      <c r="D50" s="10"/>
      <c r="E50" s="13"/>
      <c r="F50" s="8"/>
      <c r="G50" s="9"/>
      <c r="H50" s="9"/>
      <c r="I50" s="9"/>
    </row>
    <row r="51" spans="1:9" ht="15.75" customHeight="1" x14ac:dyDescent="0.25">
      <c r="A51" s="1"/>
      <c r="B51" s="17"/>
      <c r="C51" s="16"/>
      <c r="D51" s="10"/>
      <c r="E51" s="13"/>
      <c r="F51" s="8"/>
      <c r="G51" s="9"/>
      <c r="H51" s="9"/>
      <c r="I51" s="9"/>
    </row>
    <row r="52" spans="1:9" ht="15.75" customHeight="1" x14ac:dyDescent="0.25">
      <c r="A52" s="1"/>
      <c r="B52" s="17"/>
      <c r="C52" s="16"/>
      <c r="D52" s="10"/>
      <c r="E52" s="13"/>
      <c r="F52" s="8"/>
      <c r="G52" s="9"/>
      <c r="H52" s="9"/>
      <c r="I52" s="9"/>
    </row>
    <row r="53" spans="1:9" ht="15.75" customHeight="1" x14ac:dyDescent="0.25">
      <c r="A53" s="1"/>
      <c r="B53" s="16"/>
      <c r="C53" s="16"/>
      <c r="D53" s="10"/>
      <c r="E53" s="13"/>
      <c r="F53" s="8"/>
      <c r="G53" s="9"/>
      <c r="H53" s="9"/>
      <c r="I53" s="9"/>
    </row>
    <row r="54" spans="1:9" ht="15.75" customHeight="1" x14ac:dyDescent="0.25">
      <c r="A54" s="1"/>
      <c r="B54" s="16"/>
      <c r="C54" s="16"/>
      <c r="D54" s="10"/>
      <c r="E54" s="13"/>
      <c r="F54" s="8"/>
      <c r="G54" s="9"/>
      <c r="H54" s="9"/>
      <c r="I54" s="9"/>
    </row>
    <row r="55" spans="1:9" ht="15.75" customHeight="1" x14ac:dyDescent="0.25">
      <c r="A55" s="1"/>
      <c r="B55" s="16"/>
      <c r="C55" s="16"/>
      <c r="D55" s="10"/>
      <c r="E55" s="13"/>
      <c r="F55" s="8"/>
      <c r="G55" s="9"/>
      <c r="H55" s="9"/>
      <c r="I55" s="9"/>
    </row>
    <row r="56" spans="1:9" ht="12.75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2.75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</row>
    <row r="973" spans="1:9" ht="12.75" x14ac:dyDescent="0.2">
      <c r="A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</sheetData>
  <mergeCells count="5">
    <mergeCell ref="B1:F1"/>
    <mergeCell ref="B9:D9"/>
    <mergeCell ref="B32:D32"/>
    <mergeCell ref="B48:F48"/>
    <mergeCell ref="B16:D16"/>
  </mergeCells>
  <phoneticPr fontId="10" type="noConversion"/>
  <hyperlinks>
    <hyperlink ref="B12" r:id="rId1" display="濟州航空 7C2653"/>
    <hyperlink ref="B13" r:id="rId2" display="濟州航空 7C2653"/>
    <hyperlink ref="B14" r:id="rId3" display="濟州航空 7C2653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outlinePr summaryBelow="0" summaryRight="0"/>
  </sheetPr>
  <dimension ref="A1:I1013"/>
  <sheetViews>
    <sheetView workbookViewId="0">
      <selection activeCell="F3" sqref="F3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78" t="s">
        <v>0</v>
      </c>
      <c r="C1" s="79"/>
      <c r="D1" s="79"/>
      <c r="E1" s="79"/>
      <c r="F1" s="80"/>
      <c r="G1" s="2"/>
      <c r="H1" s="3" t="s">
        <v>1</v>
      </c>
      <c r="I1" s="4">
        <v>31.6</v>
      </c>
    </row>
    <row r="2" spans="1:9" ht="15.75" customHeight="1" x14ac:dyDescent="0.3">
      <c r="A2" s="1"/>
      <c r="B2" s="28"/>
      <c r="C2" s="28"/>
      <c r="D2" s="29"/>
      <c r="E2" s="34"/>
      <c r="F2" s="31">
        <v>30000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1" t="s">
        <v>9</v>
      </c>
      <c r="C8" s="82"/>
      <c r="D8" s="83"/>
      <c r="E8" s="2"/>
      <c r="F8" s="2"/>
      <c r="G8" s="2"/>
      <c r="H8" s="2"/>
      <c r="I8" s="2"/>
    </row>
    <row r="9" spans="1:9" ht="13.5" x14ac:dyDescent="0.25">
      <c r="A9" s="1"/>
      <c r="B9" s="26" t="s">
        <v>85</v>
      </c>
      <c r="C9" s="36" t="s">
        <v>86</v>
      </c>
      <c r="D9" s="27">
        <f>5055.328*2+10110.66</f>
        <v>20221.315999999999</v>
      </c>
      <c r="E9" s="2"/>
      <c r="F9" s="2"/>
      <c r="G9" s="2"/>
      <c r="H9" s="2"/>
      <c r="I9" s="2"/>
    </row>
    <row r="10" spans="1:9" ht="13.5" x14ac:dyDescent="0.25">
      <c r="A10" s="1"/>
      <c r="B10" s="26" t="s">
        <v>84</v>
      </c>
      <c r="C10" s="36" t="s">
        <v>19</v>
      </c>
      <c r="D10" s="27">
        <v>0</v>
      </c>
      <c r="E10" s="2"/>
      <c r="F10" s="2"/>
      <c r="G10" s="2"/>
      <c r="H10" s="2"/>
      <c r="I10" s="2"/>
    </row>
    <row r="11" spans="1:9" ht="13.5" x14ac:dyDescent="0.25">
      <c r="A11" s="2"/>
      <c r="B11" s="38" t="s">
        <v>87</v>
      </c>
      <c r="C11" s="36" t="s">
        <v>19</v>
      </c>
      <c r="D11" s="40">
        <f>5055.328*1</f>
        <v>5055.3280000000004</v>
      </c>
      <c r="E11" s="2"/>
      <c r="F11" s="2"/>
      <c r="G11" s="2"/>
      <c r="H11" s="2"/>
      <c r="I11" s="2"/>
    </row>
    <row r="12" spans="1:9" ht="13.5" x14ac:dyDescent="0.25">
      <c r="A12" s="2"/>
      <c r="B12" s="38"/>
      <c r="C12" s="36"/>
      <c r="D12" s="40"/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4" t="s">
        <v>12</v>
      </c>
      <c r="C52" s="85"/>
      <c r="D52" s="86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87" t="s">
        <v>8</v>
      </c>
      <c r="C68" s="82"/>
      <c r="D68" s="82"/>
      <c r="E68" s="82"/>
      <c r="F68" s="83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  <hyperlink ref="C11" r:id="rId2"/>
    <hyperlink ref="C10" r:id="rId3"/>
  </hyperlinks>
  <pageMargins left="0.7" right="0.7" top="0.75" bottom="0.75" header="0.3" footer="0.3"/>
  <pageSetup paperSize="9" orientation="portrait" horizontalDpi="0" verticalDpi="0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outlinePr summaryBelow="0" summaryRight="0"/>
  </sheetPr>
  <dimension ref="A1:I1013"/>
  <sheetViews>
    <sheetView workbookViewId="0">
      <selection activeCell="B12" sqref="B12:D1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78" t="s">
        <v>0</v>
      </c>
      <c r="C1" s="79"/>
      <c r="D1" s="79"/>
      <c r="E1" s="79"/>
      <c r="F1" s="80"/>
      <c r="G1" s="2"/>
      <c r="H1" s="3" t="s">
        <v>1</v>
      </c>
      <c r="I1" s="4">
        <v>31.6</v>
      </c>
    </row>
    <row r="2" spans="1:9" ht="15.75" customHeight="1" x14ac:dyDescent="0.3">
      <c r="A2" s="1"/>
      <c r="B2" s="28"/>
      <c r="C2" s="28"/>
      <c r="D2" s="29"/>
      <c r="E2" s="34"/>
      <c r="F2" s="31">
        <v>80000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1" t="s">
        <v>9</v>
      </c>
      <c r="C8" s="82"/>
      <c r="D8" s="83"/>
      <c r="E8" s="2"/>
      <c r="F8" s="2"/>
      <c r="G8" s="2"/>
      <c r="H8" s="2"/>
      <c r="I8" s="2"/>
    </row>
    <row r="9" spans="1:9" ht="13.5" x14ac:dyDescent="0.25">
      <c r="A9" s="1"/>
      <c r="B9" s="26" t="s">
        <v>20</v>
      </c>
      <c r="C9" s="36" t="s">
        <v>19</v>
      </c>
      <c r="D9" s="27">
        <v>120486</v>
      </c>
      <c r="E9" s="2"/>
      <c r="F9" s="2"/>
      <c r="G9" s="2"/>
      <c r="H9" s="2"/>
      <c r="I9" s="2"/>
    </row>
    <row r="10" spans="1:9" ht="13.5" x14ac:dyDescent="0.25">
      <c r="A10" s="1"/>
      <c r="B10" s="26" t="s">
        <v>21</v>
      </c>
      <c r="C10" s="26"/>
      <c r="D10" s="27"/>
      <c r="E10" s="2"/>
      <c r="F10" s="2"/>
      <c r="G10" s="2"/>
      <c r="H10" s="2"/>
      <c r="I10" s="2"/>
    </row>
    <row r="11" spans="1:9" ht="13.5" x14ac:dyDescent="0.25">
      <c r="A11" s="2"/>
      <c r="B11" s="38" t="s">
        <v>81</v>
      </c>
      <c r="C11" s="36" t="s">
        <v>19</v>
      </c>
      <c r="D11" s="40">
        <f>32650*1</f>
        <v>32650</v>
      </c>
      <c r="E11" s="2"/>
      <c r="F11" s="2"/>
      <c r="G11" s="2"/>
      <c r="H11" s="2"/>
      <c r="I11" s="2"/>
    </row>
    <row r="12" spans="1:9" ht="13.5" x14ac:dyDescent="0.25">
      <c r="A12" s="2"/>
      <c r="B12" s="38" t="s">
        <v>89</v>
      </c>
      <c r="C12" s="36"/>
      <c r="D12" s="40">
        <v>35000</v>
      </c>
      <c r="E12" s="2"/>
      <c r="F12" s="2"/>
      <c r="G12" s="2"/>
      <c r="H12" s="2"/>
      <c r="I12" s="2"/>
    </row>
    <row r="13" spans="1:9" ht="13.5" x14ac:dyDescent="0.25">
      <c r="A13" s="2"/>
      <c r="B13" s="38" t="s">
        <v>71</v>
      </c>
      <c r="C13" s="36" t="s">
        <v>19</v>
      </c>
      <c r="D13" s="40">
        <f>39684*1</f>
        <v>39684</v>
      </c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4" t="s">
        <v>12</v>
      </c>
      <c r="C52" s="85"/>
      <c r="D52" s="86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87" t="s">
        <v>8</v>
      </c>
      <c r="C68" s="82"/>
      <c r="D68" s="82"/>
      <c r="E68" s="82"/>
      <c r="F68" s="83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  <hyperlink ref="C11" r:id="rId2"/>
    <hyperlink ref="C13" r:id="rId3"/>
  </hyperlinks>
  <pageMargins left="0.7" right="0.7" top="0.75" bottom="0.75" header="0.3" footer="0.3"/>
  <pageSetup paperSize="9" orientation="portrait" horizontalDpi="0" verticalDpi="0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outlinePr summaryBelow="0" summaryRight="0"/>
  </sheetPr>
  <dimension ref="A1:J1013"/>
  <sheetViews>
    <sheetView workbookViewId="0">
      <selection activeCell="B11" sqref="B11:D11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78" t="s">
        <v>0</v>
      </c>
      <c r="C1" s="79"/>
      <c r="D1" s="79"/>
      <c r="E1" s="79"/>
      <c r="F1" s="80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50000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37"/>
      <c r="C7" s="37"/>
      <c r="D7" s="37"/>
      <c r="E7" s="2"/>
      <c r="F7" s="2"/>
      <c r="G7" s="2"/>
      <c r="H7" s="2"/>
      <c r="I7" s="2"/>
    </row>
    <row r="8" spans="1:10" ht="15.75" customHeight="1" x14ac:dyDescent="0.25">
      <c r="A8" s="37"/>
      <c r="B8" s="99" t="s">
        <v>9</v>
      </c>
      <c r="C8" s="100"/>
      <c r="D8" s="100"/>
      <c r="E8" s="2"/>
      <c r="F8" s="2"/>
      <c r="G8" s="2"/>
      <c r="H8" s="2"/>
      <c r="I8" s="2"/>
    </row>
    <row r="9" spans="1:10" ht="13.5" x14ac:dyDescent="0.25">
      <c r="A9" s="37"/>
      <c r="B9" s="38" t="s">
        <v>83</v>
      </c>
      <c r="C9" s="39" t="s">
        <v>82</v>
      </c>
      <c r="D9" s="40">
        <v>0</v>
      </c>
      <c r="E9" s="2"/>
      <c r="F9" s="2"/>
      <c r="G9" s="2"/>
      <c r="H9" s="2"/>
      <c r="I9" s="2"/>
    </row>
    <row r="10" spans="1:10" ht="13.5" x14ac:dyDescent="0.25">
      <c r="A10" s="37"/>
      <c r="B10" s="38" t="s">
        <v>91</v>
      </c>
      <c r="C10" s="36"/>
      <c r="D10" s="40">
        <v>12000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89</v>
      </c>
      <c r="C11" s="39"/>
      <c r="D11" s="40">
        <v>10000</v>
      </c>
      <c r="E11" s="2"/>
      <c r="F11" s="2"/>
      <c r="G11" s="2"/>
      <c r="H11" s="2"/>
      <c r="I11" s="2"/>
    </row>
    <row r="12" spans="1:10" ht="13.5" x14ac:dyDescent="0.25">
      <c r="A12" s="2"/>
      <c r="B12" s="38"/>
      <c r="C12" s="39"/>
      <c r="D12" s="40"/>
      <c r="E12" s="2"/>
      <c r="F12" s="2"/>
      <c r="G12" s="2"/>
      <c r="H12" s="2"/>
      <c r="I12" s="2"/>
    </row>
    <row r="13" spans="1:10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4" t="s">
        <v>12</v>
      </c>
      <c r="C52" s="85"/>
      <c r="D52" s="86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87" t="s">
        <v>8</v>
      </c>
      <c r="C68" s="82"/>
      <c r="D68" s="82"/>
      <c r="E68" s="82"/>
      <c r="F68" s="83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outlinePr summaryBelow="0" summaryRight="0"/>
  </sheetPr>
  <dimension ref="A1:J1014"/>
  <sheetViews>
    <sheetView workbookViewId="0">
      <selection activeCell="D14" sqref="D14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78" t="s">
        <v>0</v>
      </c>
      <c r="C1" s="79"/>
      <c r="D1" s="79"/>
      <c r="E1" s="79"/>
      <c r="F1" s="80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70000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0" ht="15.75" customHeight="1" x14ac:dyDescent="0.25">
      <c r="A8" s="1"/>
      <c r="B8" s="96" t="s">
        <v>9</v>
      </c>
      <c r="C8" s="97"/>
      <c r="D8" s="98"/>
      <c r="E8" s="2"/>
      <c r="F8" s="2"/>
      <c r="G8" s="2"/>
      <c r="H8" s="2"/>
      <c r="I8" s="2"/>
    </row>
    <row r="9" spans="1:10" ht="13.5" x14ac:dyDescent="0.25">
      <c r="A9" s="37"/>
      <c r="B9" s="38" t="s">
        <v>75</v>
      </c>
      <c r="C9" s="39" t="s">
        <v>74</v>
      </c>
      <c r="D9" s="40">
        <v>17512</v>
      </c>
      <c r="E9" s="2"/>
      <c r="F9" s="2"/>
      <c r="G9" s="2"/>
      <c r="H9" s="2"/>
      <c r="I9" s="2"/>
    </row>
    <row r="10" spans="1:10" ht="13.5" x14ac:dyDescent="0.25">
      <c r="A10" s="37"/>
      <c r="B10" s="38" t="s">
        <v>76</v>
      </c>
      <c r="C10" s="39" t="s">
        <v>73</v>
      </c>
      <c r="D10" s="40">
        <v>9210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77</v>
      </c>
      <c r="C11" s="36" t="s">
        <v>19</v>
      </c>
      <c r="D11" s="40">
        <f>36214*0.5</f>
        <v>18107</v>
      </c>
      <c r="E11" s="2"/>
      <c r="F11" s="2"/>
      <c r="G11" s="2"/>
      <c r="H11" s="2"/>
      <c r="I11" s="2"/>
    </row>
    <row r="12" spans="1:10" ht="13.5" x14ac:dyDescent="0.25">
      <c r="A12" s="2"/>
      <c r="B12" s="38" t="s">
        <v>71</v>
      </c>
      <c r="C12" s="39" t="s">
        <v>72</v>
      </c>
      <c r="D12" s="40">
        <f>15997*1</f>
        <v>15997</v>
      </c>
      <c r="E12" s="2"/>
      <c r="F12" s="2"/>
      <c r="G12" s="2"/>
      <c r="H12" s="2"/>
      <c r="I12" s="2"/>
    </row>
    <row r="13" spans="1:10" ht="13.5" x14ac:dyDescent="0.25">
      <c r="A13" s="2"/>
      <c r="B13" s="38" t="s">
        <v>89</v>
      </c>
      <c r="C13" s="39"/>
      <c r="D13" s="40">
        <v>20000</v>
      </c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8" x14ac:dyDescent="0.25">
      <c r="A53" s="1"/>
      <c r="B53" s="84" t="s">
        <v>12</v>
      </c>
      <c r="C53" s="85"/>
      <c r="D53" s="86"/>
      <c r="E53" s="41" t="s">
        <v>13</v>
      </c>
      <c r="F53" s="41" t="s">
        <v>14</v>
      </c>
      <c r="G53" s="41" t="s">
        <v>15</v>
      </c>
      <c r="H53" s="41" t="s">
        <v>16</v>
      </c>
      <c r="I53" s="42" t="s">
        <v>17</v>
      </c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8" x14ac:dyDescent="0.25">
      <c r="A60" s="1"/>
      <c r="B60" s="20"/>
      <c r="C60" s="20"/>
      <c r="D60" s="21"/>
      <c r="E60" s="23"/>
      <c r="F60" s="23"/>
      <c r="G60" s="23"/>
      <c r="H60" s="23"/>
      <c r="I60" s="23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1"/>
      <c r="B65" s="24"/>
      <c r="C65" s="24"/>
      <c r="D65" s="25"/>
      <c r="E65" s="24"/>
      <c r="F65" s="24"/>
      <c r="G65" s="24"/>
      <c r="H65" s="24"/>
      <c r="I65" s="24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15"/>
      <c r="C68" s="15"/>
      <c r="D68" s="15"/>
      <c r="E68" s="15"/>
      <c r="F68" s="15"/>
      <c r="G68" s="2"/>
      <c r="H68" s="2"/>
      <c r="I68" s="2"/>
    </row>
    <row r="69" spans="1:9" ht="15.75" customHeight="1" x14ac:dyDescent="0.25">
      <c r="A69" s="1"/>
      <c r="B69" s="87" t="s">
        <v>8</v>
      </c>
      <c r="C69" s="82"/>
      <c r="D69" s="82"/>
      <c r="E69" s="82"/>
      <c r="F69" s="83"/>
      <c r="G69" s="2"/>
      <c r="H69" s="2"/>
      <c r="I69" s="2"/>
    </row>
    <row r="70" spans="1:9" ht="15.75" customHeight="1" x14ac:dyDescent="0.3">
      <c r="A70" s="1"/>
      <c r="B70" s="28"/>
      <c r="C70" s="28"/>
      <c r="D70" s="29"/>
      <c r="E70" s="30"/>
      <c r="F70" s="31"/>
      <c r="G70" s="9"/>
      <c r="H70" s="9"/>
      <c r="I70" s="9"/>
    </row>
    <row r="71" spans="1:9" ht="15.75" customHeight="1" x14ac:dyDescent="0.3">
      <c r="A71" s="1"/>
      <c r="B71" s="28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33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5.75" customHeight="1" x14ac:dyDescent="0.3">
      <c r="A76" s="1"/>
      <c r="B76" s="28"/>
      <c r="C76" s="28"/>
      <c r="D76" s="29"/>
      <c r="E76" s="32"/>
      <c r="F76" s="31"/>
      <c r="G76" s="9"/>
      <c r="H76" s="9"/>
      <c r="I76" s="9"/>
    </row>
    <row r="77" spans="1:9" ht="12" customHeight="1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  <row r="1014" spans="1:1" ht="12.75" x14ac:dyDescent="0.2">
      <c r="A1014" s="2"/>
    </row>
  </sheetData>
  <mergeCells count="4">
    <mergeCell ref="B1:F1"/>
    <mergeCell ref="B8:D8"/>
    <mergeCell ref="B53:D53"/>
    <mergeCell ref="B69:F69"/>
  </mergeCells>
  <phoneticPr fontId="10" type="noConversion"/>
  <hyperlinks>
    <hyperlink ref="C12" r:id="rId1"/>
    <hyperlink ref="C10" r:id="rId2"/>
    <hyperlink ref="C9" r:id="rId3"/>
    <hyperlink ref="C11" r:id="rId4"/>
  </hyperlink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outlinePr summaryBelow="0" summaryRight="0"/>
  </sheetPr>
  <dimension ref="A1:J1013"/>
  <sheetViews>
    <sheetView workbookViewId="0">
      <selection activeCell="F3" sqref="F3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78" t="s">
        <v>0</v>
      </c>
      <c r="C1" s="79"/>
      <c r="D1" s="79"/>
      <c r="E1" s="79"/>
      <c r="F1" s="80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50000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37"/>
      <c r="C7" s="37"/>
      <c r="D7" s="37"/>
      <c r="E7" s="2"/>
      <c r="F7" s="2"/>
      <c r="G7" s="2"/>
      <c r="H7" s="2"/>
      <c r="I7" s="2"/>
    </row>
    <row r="8" spans="1:10" ht="15.75" customHeight="1" x14ac:dyDescent="0.25">
      <c r="A8" s="37"/>
      <c r="B8" s="99" t="s">
        <v>9</v>
      </c>
      <c r="C8" s="100"/>
      <c r="D8" s="100"/>
      <c r="E8" s="2"/>
      <c r="F8" s="2"/>
      <c r="G8" s="2"/>
      <c r="H8" s="2"/>
      <c r="I8" s="2"/>
    </row>
    <row r="9" spans="1:10" ht="13.5" x14ac:dyDescent="0.25">
      <c r="A9" s="37"/>
      <c r="B9" s="38" t="s">
        <v>79</v>
      </c>
      <c r="C9" s="39" t="s">
        <v>19</v>
      </c>
      <c r="D9" s="40">
        <f>36214*0.5</f>
        <v>18107</v>
      </c>
      <c r="E9" s="2"/>
      <c r="F9" s="2"/>
      <c r="G9" s="2"/>
      <c r="H9" s="2"/>
      <c r="I9" s="2"/>
    </row>
    <row r="10" spans="1:10" ht="13.5" x14ac:dyDescent="0.25">
      <c r="A10" s="37"/>
      <c r="B10" s="38" t="s">
        <v>90</v>
      </c>
      <c r="C10" s="39"/>
      <c r="D10" s="40">
        <v>12000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88</v>
      </c>
      <c r="C11" s="39"/>
      <c r="D11" s="40">
        <v>10000</v>
      </c>
      <c r="E11" s="2"/>
      <c r="F11" s="2"/>
      <c r="G11" s="2"/>
      <c r="H11" s="2"/>
      <c r="I11" s="2"/>
    </row>
    <row r="12" spans="1:10" ht="13.5" x14ac:dyDescent="0.25">
      <c r="A12" s="2"/>
      <c r="B12" s="38"/>
      <c r="C12" s="39"/>
      <c r="D12" s="40"/>
      <c r="E12" s="2"/>
      <c r="F12" s="2"/>
      <c r="G12" s="2"/>
      <c r="H12" s="2"/>
      <c r="I12" s="2"/>
    </row>
    <row r="13" spans="1:10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4" t="s">
        <v>12</v>
      </c>
      <c r="C52" s="85"/>
      <c r="D52" s="86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87" t="s">
        <v>8</v>
      </c>
      <c r="C68" s="82"/>
      <c r="D68" s="82"/>
      <c r="E68" s="82"/>
      <c r="F68" s="83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MAIN</vt:lpstr>
      <vt:lpstr>熊本_20240313_20240317</vt:lpstr>
      <vt:lpstr>釜山_20240627_20240630</vt:lpstr>
      <vt:lpstr>布里斯本_20241010_20241019</vt:lpstr>
      <vt:lpstr>東京_20240503_20240505</vt:lpstr>
      <vt:lpstr>美西_20250124_20250131_東京外站</vt:lpstr>
      <vt:lpstr>沖繩_20250312_20250316_東京外站</vt:lpstr>
      <vt:lpstr>新加坡峇里島_20250124_20250129</vt:lpstr>
      <vt:lpstr>沖繩_20250312_20250316</vt:lpstr>
      <vt:lpstr>沖繩_20241213_20241215</vt:lpstr>
      <vt:lpstr>美西_20250124_20250131</vt:lpstr>
      <vt:lpstr>福岡_20250312_20250316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2024-02-27T23:57:45Z</cp:lastPrinted>
  <dcterms:modified xsi:type="dcterms:W3CDTF">2024-02-28T00:00:41Z</dcterms:modified>
</cp:coreProperties>
</file>