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ubertDocuments\Excel\"/>
    </mc:Choice>
  </mc:AlternateContent>
  <bookViews>
    <workbookView xWindow="0" yWindow="0" windowWidth="28800" windowHeight="13590"/>
  </bookViews>
  <sheets>
    <sheet name="MAIN" sheetId="7" r:id="rId1"/>
    <sheet name="東京_20240524_20240527_東京外站" sheetId="12" r:id="rId2"/>
    <sheet name="釜山_20240627_20240630" sheetId="1" r:id="rId3"/>
    <sheet name="布里斯本_20241010_20241019" sheetId="6" r:id="rId4"/>
    <sheet name="美西_20250123_20250131_東京外站" sheetId="10" r:id="rId5"/>
    <sheet name="沖繩_20250314_20250318_東京外站" sheetId="11" r:id="rId6"/>
    <sheet name="熊本_20240313_20240317" sheetId="5" r:id="rId7"/>
    <sheet name="新加坡峇里島_20250124_20250129" sheetId="8" state="hidden" r:id="rId8"/>
    <sheet name="沖繩_20250312_20250316" sheetId="9" state="hidden" r:id="rId9"/>
  </sheets>
  <calcPr calcId="162913"/>
</workbook>
</file>

<file path=xl/calcChain.xml><?xml version="1.0" encoding="utf-8"?>
<calcChain xmlns="http://schemas.openxmlformats.org/spreadsheetml/2006/main">
  <c r="F14" i="7" l="1"/>
  <c r="E14" i="7"/>
  <c r="C14" i="7"/>
  <c r="F9" i="7"/>
  <c r="D9" i="7"/>
  <c r="C6" i="7" l="1"/>
  <c r="D6" i="7"/>
  <c r="D13" i="1"/>
  <c r="C5" i="7"/>
  <c r="D14" i="12"/>
  <c r="D53" i="12"/>
  <c r="F2" i="12"/>
  <c r="F3" i="12"/>
  <c r="F86" i="5"/>
  <c r="F89" i="5"/>
  <c r="F2" i="5"/>
  <c r="D12" i="5"/>
  <c r="D5" i="7"/>
  <c r="D9" i="12"/>
  <c r="C13" i="7" l="1"/>
  <c r="D35" i="5" l="1"/>
  <c r="D17" i="5"/>
  <c r="D18" i="5"/>
  <c r="D16" i="5"/>
  <c r="F54" i="1" l="1"/>
  <c r="F53" i="1"/>
  <c r="F52" i="1" l="1"/>
  <c r="D53" i="10" l="1"/>
  <c r="D54" i="10"/>
  <c r="F51" i="1" l="1"/>
  <c r="D11" i="12" l="1"/>
  <c r="F20" i="7"/>
  <c r="C18" i="7" l="1"/>
  <c r="E13" i="7"/>
  <c r="C8" i="7"/>
  <c r="C9" i="7" s="1"/>
  <c r="E5" i="7"/>
  <c r="E8" i="7" l="1"/>
  <c r="E9" i="7" s="1"/>
  <c r="D12" i="8"/>
  <c r="C19" i="7"/>
  <c r="E19" i="7" s="1"/>
  <c r="D9" i="9"/>
  <c r="E18" i="7"/>
  <c r="D20" i="7"/>
  <c r="D11" i="8"/>
  <c r="D7" i="7"/>
  <c r="C7" i="7"/>
  <c r="D14" i="6"/>
  <c r="F7" i="6"/>
  <c r="F6" i="6"/>
  <c r="F5" i="6"/>
  <c r="F4" i="6"/>
  <c r="F3" i="6"/>
  <c r="F2" i="6"/>
  <c r="D11" i="1"/>
  <c r="D9" i="1"/>
  <c r="D13" i="6"/>
  <c r="D10" i="6"/>
  <c r="D13" i="5"/>
  <c r="F57" i="5"/>
  <c r="F56" i="5"/>
  <c r="F55" i="5"/>
  <c r="F54" i="5"/>
  <c r="F53" i="5"/>
  <c r="F52" i="5"/>
  <c r="F51" i="5"/>
  <c r="F3" i="5"/>
  <c r="C4" i="7" l="1"/>
  <c r="D4" i="7" s="1"/>
  <c r="E20" i="7"/>
  <c r="C20" i="7"/>
  <c r="E7" i="7"/>
  <c r="E6" i="7"/>
  <c r="E4" i="7" l="1"/>
</calcChain>
</file>

<file path=xl/sharedStrings.xml><?xml version="1.0" encoding="utf-8"?>
<sst xmlns="http://schemas.openxmlformats.org/spreadsheetml/2006/main" count="352" uniqueCount="152">
  <si>
    <t>預計住宿</t>
  </si>
  <si>
    <t>匯率</t>
  </si>
  <si>
    <t>Mipo Oceanside Hotel</t>
  </si>
  <si>
    <t>2024/6/27~2024/6/30</t>
  </si>
  <si>
    <t>BookingTS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</si>
  <si>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</si>
  <si>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</si>
  <si>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</si>
  <si>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</si>
  <si>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</si>
  <si>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</si>
  <si>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</si>
  <si>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</si>
  <si>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</si>
  <si>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</si>
  <si>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</si>
  <si>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</si>
  <si>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</si>
  <si>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</si>
  <si>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</si>
  <si>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</si>
  <si>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</si>
  <si>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</si>
  <si>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</si>
  <si>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</si>
  <si>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</si>
  <si>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</si>
  <si>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</si>
  <si>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</si>
  <si>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</si>
  <si>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</si>
  <si>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</si>
  <si>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</si>
  <si>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</si>
  <si>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</si>
  <si>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</si>
  <si>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</si>
  <si>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</si>
  <si>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</si>
  <si>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</si>
  <si>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</si>
  <si>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</si>
  <si>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</si>
  <si>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</si>
  <si>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</si>
  <si>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</si>
  <si>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</si>
  <si>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</si>
  <si>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</si>
  <si>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</si>
  <si>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</si>
  <si>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</si>
  <si>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</si>
  <si>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</si>
  <si>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</si>
  <si>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</si>
  <si>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</si>
  <si>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</si>
  <si>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</si>
  <si>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</si>
  <si>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</si>
  <si>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</si>
  <si>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</si>
  <si>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</si>
  <si>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</si>
  <si>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</si>
  <si>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</si>
  <si>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</si>
  <si>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</si>
  <si>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</si>
  <si>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</si>
  <si>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ezTravel</t>
  </si>
  <si>
    <t>星宇航空(台北→沖繩 2月外站票)</t>
    <phoneticPr fontId="10" type="noConversion"/>
  </si>
  <si>
    <t>酷航(台北→東京)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</si>
  <si>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</si>
  <si>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</si>
  <si>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</si>
  <si>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</si>
  <si>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星宇航空(台北→洛杉磯 1/23外站票)</t>
    <phoneticPr fontId="10" type="noConversion"/>
  </si>
  <si>
    <t>請假天數</t>
  </si>
  <si>
    <t>請假天數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</si>
  <si>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東京迪士尼度假區門票</t>
    </r>
    <phoneticPr fontId="10" type="noConversion"/>
  </si>
  <si>
    <t>加州迪士尼</t>
    <phoneticPr fontId="10" type="noConversion"/>
  </si>
  <si>
    <t>加州環球影城</t>
    <phoneticPr fontId="10" type="noConversion"/>
  </si>
  <si>
    <t>2024/5/24~2024/5/26</t>
    <phoneticPr fontId="10" type="noConversion"/>
  </si>
  <si>
    <t>Agoda</t>
    <phoneticPr fontId="10" type="noConversion"/>
  </si>
  <si>
    <t>酷航選位</t>
    <phoneticPr fontId="10" type="noConversion"/>
  </si>
  <si>
    <t>AgodaCard</t>
    <phoneticPr fontId="10" type="noConversion"/>
  </si>
  <si>
    <r>
      <rPr>
        <sz val="10"/>
        <color theme="1"/>
        <rFont val="細明體"/>
        <family val="3"/>
        <charset val="136"/>
      </rPr>
      <t>獵犬簽名飯店</t>
    </r>
    <r>
      <rPr>
        <sz val="10"/>
        <color theme="1"/>
        <rFont val="Arial"/>
        <family val="2"/>
      </rPr>
      <t xml:space="preserve"> (HOUND HOTEL SIGNATURE)Spa</t>
    </r>
    <r>
      <rPr>
        <sz val="10"/>
        <color theme="1"/>
        <rFont val="細明體"/>
        <family val="3"/>
        <charset val="136"/>
      </rPr>
      <t>套房</t>
    </r>
    <phoneticPr fontId="10" type="noConversion"/>
  </si>
  <si>
    <r>
      <t>LCT</t>
    </r>
    <r>
      <rPr>
        <u/>
        <sz val="14"/>
        <color rgb="FF0000FF"/>
        <rFont val="細明體"/>
        <family val="3"/>
        <charset val="136"/>
      </rPr>
      <t>大公寓</t>
    </r>
    <r>
      <rPr>
        <u/>
        <sz val="14"/>
        <color rgb="FF0000FF"/>
        <rFont val="Arial"/>
        <family val="2"/>
      </rPr>
      <t xml:space="preserve"> (Grand LCT Residence)</t>
    </r>
    <phoneticPr fontId="10" type="noConversion"/>
  </si>
  <si>
    <r>
      <t>LCT Residence Y collection(</t>
    </r>
    <r>
      <rPr>
        <sz val="10"/>
        <color theme="1"/>
        <rFont val="細明體"/>
        <family val="3"/>
        <charset val="136"/>
      </rPr>
      <t>海景頂級套房</t>
    </r>
    <r>
      <rPr>
        <sz val="10"/>
        <color theme="1"/>
        <rFont val="Arial"/>
        <family val="2"/>
      </rPr>
      <t>)</t>
    </r>
    <phoneticPr fontId="10" type="noConversion"/>
  </si>
  <si>
    <t>媽媽</t>
    <phoneticPr fontId="10" type="noConversion"/>
  </si>
  <si>
    <t>媽媽(人民幣)</t>
    <phoneticPr fontId="10" type="noConversion"/>
  </si>
  <si>
    <t>FlyGo卡 胡修銘 (卡號末四碼:6609)</t>
  </si>
  <si>
    <t>SEVEN-ELEVEN</t>
  </si>
  <si>
    <t>JP</t>
  </si>
  <si>
    <t>成功</t>
  </si>
  <si>
    <t>SAKURAMACHITEN</t>
  </si>
  <si>
    <t>SAKURAMACHI KUMAMOTO</t>
  </si>
  <si>
    <t>KUMAMOTO CASTLE</t>
  </si>
  <si>
    <t>TURUYAHIYATUKATENN</t>
  </si>
  <si>
    <t>COSTCOWHOLESALEJAPAN</t>
  </si>
  <si>
    <t>HIGHWAY TOLL</t>
  </si>
  <si>
    <t>SQ*SUKUEA</t>
  </si>
  <si>
    <t>VERITRANS</t>
  </si>
  <si>
    <t>SUGIYOHOEN</t>
  </si>
  <si>
    <t>KYUSYU AFRICA LION SAF</t>
  </si>
  <si>
    <t>EBISUPANA</t>
  </si>
  <si>
    <t>MICHINOEKI ASO</t>
  </si>
  <si>
    <t>娛樂消費(現金)</t>
    <phoneticPr fontId="10" type="noConversion"/>
  </si>
  <si>
    <t>Montbell</t>
    <phoneticPr fontId="10" type="noConversion"/>
  </si>
  <si>
    <t>雨傘</t>
    <phoneticPr fontId="10" type="noConversion"/>
  </si>
  <si>
    <t>熊本城門票</t>
    <phoneticPr fontId="10" type="noConversion"/>
  </si>
  <si>
    <t>鶴屋百貨午餐</t>
    <phoneticPr fontId="10" type="noConversion"/>
  </si>
  <si>
    <t>福砂屋</t>
    <phoneticPr fontId="10" type="noConversion"/>
  </si>
  <si>
    <t>好市多</t>
    <phoneticPr fontId="10" type="noConversion"/>
  </si>
  <si>
    <t>櫻町超市晚餐</t>
    <phoneticPr fontId="10" type="noConversion"/>
  </si>
  <si>
    <t>櫻町超市</t>
    <phoneticPr fontId="10" type="noConversion"/>
  </si>
  <si>
    <t>櫻町晚餐</t>
    <phoneticPr fontId="10" type="noConversion"/>
  </si>
  <si>
    <t>高速公路過路費</t>
    <phoneticPr fontId="10" type="noConversion"/>
  </si>
  <si>
    <t>九州動物園</t>
    <phoneticPr fontId="10" type="noConversion"/>
  </si>
  <si>
    <t>九州動物園午餐</t>
    <phoneticPr fontId="10" type="noConversion"/>
  </si>
  <si>
    <t>阿蘇超市</t>
    <phoneticPr fontId="10" type="noConversion"/>
  </si>
  <si>
    <t>阿蘇休息站</t>
    <phoneticPr fontId="10" type="noConversion"/>
  </si>
  <si>
    <t>杉養蜂園</t>
    <phoneticPr fontId="10" type="noConversion"/>
  </si>
  <si>
    <t>HANAKOJIKIKUYA</t>
    <phoneticPr fontId="10" type="noConversion"/>
  </si>
  <si>
    <t>花麴菊家</t>
    <phoneticPr fontId="10" type="noConversion"/>
  </si>
  <si>
    <t>由布院超市</t>
    <phoneticPr fontId="10" type="noConversion"/>
  </si>
  <si>
    <t>娛樂消費(信用卡、支付)</t>
    <phoneticPr fontId="10" type="noConversion"/>
  </si>
  <si>
    <t>全支付國泰</t>
    <phoneticPr fontId="10" type="noConversion"/>
  </si>
  <si>
    <t>山田休息站</t>
    <phoneticPr fontId="10" type="noConversion"/>
  </si>
  <si>
    <t>由布院YURARI焦糖布丁</t>
    <phoneticPr fontId="10" type="noConversion"/>
  </si>
  <si>
    <t>由布院Milch半熟起司蛋糕</t>
    <phoneticPr fontId="10" type="noConversion"/>
  </si>
  <si>
    <t>由布院揚げ日和鶏の炭火焼きカレーパン</t>
    <phoneticPr fontId="10" type="noConversion"/>
  </si>
  <si>
    <t>鞠智薑汁汽水、雞塊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</si>
  <si>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利木津</t>
    </r>
    <phoneticPr fontId="10" type="noConversion"/>
  </si>
  <si>
    <t>https://popogo.pixnet.net/blog/post/50668400-2023-%E6%9D%B1%E4%BA%AC%E8%BF%AA%E5%A3%AB%E5%B0%BC%E6%A8%82%E5%9C%92%E7%9A%84%E4%BA%A4%E9%80%9A%EF%BC%8D%E5%BE%9E%E6%88%90%E7%94%B0%E6%A9%9F</t>
  </si>
  <si>
    <t>星宇航空(舊金山→台北 1/31外站票)</t>
    <phoneticPr fontId="10" type="noConversion"/>
  </si>
  <si>
    <t>沖繩_20250314_20250318_東京外站</t>
    <phoneticPr fontId="10" type="noConversion"/>
  </si>
  <si>
    <t>美西_20250123_20250131_東京外站</t>
    <phoneticPr fontId="10" type="noConversion"/>
  </si>
  <si>
    <t>東京_20240524_20240527_東京外站</t>
    <phoneticPr fontId="10" type="noConversion"/>
  </si>
  <si>
    <t>2024/5/26~2024/5/27</t>
    <phoneticPr fontId="10" type="noConversion"/>
  </si>
  <si>
    <t>東京灣舞濱酒店(Harmony Room with 3 Beds - Non-Smoking)</t>
    <phoneticPr fontId="10" type="noConversion"/>
  </si>
  <si>
    <t>幕張春天酒店(Hotel Springs Makuhari日式套房A)</t>
    <phoneticPr fontId="10" type="noConversion"/>
  </si>
  <si>
    <t>星宇航空(東京→台北5/27外站票)</t>
    <phoneticPr fontId="10" type="noConversion"/>
  </si>
  <si>
    <t>https://www.airport-bus-alliance.com/result-t.html?airport=%E6%88%90%E7%94%B0%E7%A9%BA%E6%B8%AF&amp;area=%E7%A8%B2%E6%AF%9B%E6%B5%B7%E5%B2%B8%E9%A7%85%E3%83%BB%E5%B9%95%E5%BC%B5%E6%96%B0%E9%83%BD%E5%BF%83&amp;frto=2&amp;lang=zh_tw</t>
  </si>
  <si>
    <t>2024/3/13~3/17</t>
    <phoneticPr fontId="10" type="noConversion"/>
  </si>
  <si>
    <t>桃園機場停車</t>
    <phoneticPr fontId="10" type="noConversion"/>
  </si>
  <si>
    <t>2024/5/24~5/27</t>
    <phoneticPr fontId="10" type="noConversion"/>
  </si>
  <si>
    <t>2024/6/27~6/30</t>
    <phoneticPr fontId="10" type="noConversion"/>
  </si>
  <si>
    <t>trip</t>
    <phoneticPr fontId="10" type="noConversion"/>
  </si>
  <si>
    <t>媽單人票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</si>
</sst>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  <font>
      <sz val="12"/>
      <color theme="1"/>
      <name val="Arial"/>
      <family val="2"/>
    </font>
    <font>
      <sz val="10"/>
      <color theme="1"/>
      <name val="細明體"/>
      <family val="3"/>
      <charset val="136"/>
    </font>
    <font>
      <u/>
      <sz val="14"/>
      <color rgb="FF0000FF"/>
      <name val="細明體"/>
      <family val="3"/>
      <charset val="136"/>
    </font>
    <font>
      <sz val="13"/>
      <color rgb="FF262D36"/>
      <name val="Helvetica"/>
      <family val="2"/>
    </font>
    <font>
      <sz val="13"/>
      <color rgb="FF262D36"/>
      <name val="細明體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CFE2F3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99999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0" fontId="9" fillId="4" borderId="5" xfId="1" applyFill="1" applyBorder="1" applyAlignment="1">
      <alignment wrapText="1"/>
    </xf>
    <xf numFmtId="176" fontId="18" fillId="2" borderId="5" xfId="0" applyNumberFormat="1" applyFont="1" applyFill="1" applyBorder="1" applyAlignment="1">
      <alignment horizontal="right"/>
    </xf>
    <xf numFmtId="176" fontId="18" fillId="2" borderId="5" xfId="0" applyNumberFormat="1" applyFont="1" applyFill="1" applyBorder="1" applyAlignment="1"/>
    <xf numFmtId="0" fontId="23" fillId="2" borderId="5" xfId="0" applyFont="1" applyFill="1" applyBorder="1" applyAlignment="1"/>
    <xf numFmtId="14" fontId="23" fillId="2" borderId="5" xfId="0" applyNumberFormat="1" applyFont="1" applyFill="1" applyBorder="1" applyAlignment="1">
      <alignment horizontal="right"/>
    </xf>
    <xf numFmtId="176" fontId="23" fillId="2" borderId="5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wrapText="1"/>
    </xf>
    <xf numFmtId="0" fontId="16" fillId="2" borderId="5" xfId="0" applyFont="1" applyFill="1" applyBorder="1" applyAlignment="1"/>
    <xf numFmtId="14" fontId="1" fillId="2" borderId="5" xfId="0" applyNumberFormat="1" applyFont="1" applyFill="1" applyBorder="1" applyAlignment="1">
      <alignment horizontal="right"/>
    </xf>
    <xf numFmtId="176" fontId="1" fillId="2" borderId="5" xfId="0" applyNumberFormat="1" applyFont="1" applyFill="1" applyBorder="1" applyAlignment="1">
      <alignment horizontal="right"/>
    </xf>
    <xf numFmtId="0" fontId="26" fillId="10" borderId="22" xfId="0" applyFont="1" applyFill="1" applyBorder="1" applyAlignment="1">
      <alignment vertical="center" wrapText="1"/>
    </xf>
    <xf numFmtId="14" fontId="26" fillId="10" borderId="22" xfId="0" applyNumberFormat="1" applyFont="1" applyFill="1" applyBorder="1" applyAlignment="1">
      <alignment vertical="center" wrapText="1"/>
    </xf>
    <xf numFmtId="21" fontId="26" fillId="10" borderId="22" xfId="0" applyNumberFormat="1" applyFont="1" applyFill="1" applyBorder="1" applyAlignment="1">
      <alignment vertical="center" wrapText="1"/>
    </xf>
    <xf numFmtId="3" fontId="26" fillId="10" borderId="22" xfId="0" applyNumberFormat="1" applyFont="1" applyFill="1" applyBorder="1" applyAlignment="1">
      <alignment vertical="center" wrapText="1"/>
    </xf>
    <xf numFmtId="0" fontId="17" fillId="4" borderId="5" xfId="0" applyFont="1" applyFill="1" applyBorder="1" applyAlignment="1">
      <alignment wrapText="1"/>
    </xf>
    <xf numFmtId="0" fontId="24" fillId="0" borderId="0" xfId="0" applyFont="1" applyAlignment="1"/>
    <xf numFmtId="0" fontId="27" fillId="10" borderId="22" xfId="0" applyFont="1" applyFill="1" applyBorder="1" applyAlignment="1">
      <alignment vertical="center" wrapText="1"/>
    </xf>
    <xf numFmtId="0" fontId="18" fillId="2" borderId="5" xfId="0" applyFont="1" applyFill="1" applyBorder="1" applyAlignment="1"/>
    <xf numFmtId="14" fontId="18" fillId="2" borderId="5" xfId="0" applyNumberFormat="1" applyFont="1" applyFill="1" applyBorder="1" applyAlignment="1">
      <alignment horizontal="right"/>
    </xf>
    <xf numFmtId="0" fontId="9" fillId="0" borderId="0" xfId="1" applyAlignment="1"/>
    <xf numFmtId="176" fontId="16" fillId="3" borderId="1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/>
    <xf numFmtId="0" fontId="16" fillId="0" borderId="1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14" fontId="15" fillId="3" borderId="5" xfId="1" applyNumberFormat="1" applyFont="1" applyFill="1" applyBorder="1" applyAlignment="1"/>
    <xf numFmtId="14" fontId="18" fillId="11" borderId="6" xfId="0" applyNumberFormat="1" applyFont="1" applyFill="1" applyBorder="1" applyAlignment="1"/>
    <xf numFmtId="177" fontId="18" fillId="11" borderId="6" xfId="0" applyNumberFormat="1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3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15</xdr:row>
      <xdr:rowOff>0</xdr:rowOff>
    </xdr:from>
    <xdr:to>
      <xdr:col>4</xdr:col>
      <xdr:colOff>656275</xdr:colOff>
      <xdr:row>43</xdr:row>
      <xdr:rowOff>47052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733675"/>
          <a:ext cx="7600000" cy="4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13</xdr:row>
      <xdr:rowOff>9525</xdr:rowOff>
    </xdr:from>
    <xdr:to>
      <xdr:col>13</xdr:col>
      <xdr:colOff>503870</xdr:colOff>
      <xdr:row>28</xdr:row>
      <xdr:rowOff>56839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2419350"/>
          <a:ext cx="7638095" cy="2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28</xdr:row>
      <xdr:rowOff>47625</xdr:rowOff>
    </xdr:from>
    <xdr:to>
      <xdr:col>16</xdr:col>
      <xdr:colOff>217842</xdr:colOff>
      <xdr:row>55</xdr:row>
      <xdr:rowOff>66093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6775" y="4886325"/>
          <a:ext cx="9866667" cy="465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2</xdr:row>
      <xdr:rowOff>95250</xdr:rowOff>
    </xdr:from>
    <xdr:to>
      <xdr:col>25</xdr:col>
      <xdr:colOff>237203</xdr:colOff>
      <xdr:row>27</xdr:row>
      <xdr:rowOff>151856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495300"/>
          <a:ext cx="7371428" cy="43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485775</xdr:colOff>
      <xdr:row>29</xdr:row>
      <xdr:rowOff>19050</xdr:rowOff>
    </xdr:from>
    <xdr:to>
      <xdr:col>25</xdr:col>
      <xdr:colOff>227689</xdr:colOff>
      <xdr:row>58</xdr:row>
      <xdr:rowOff>170786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54700" y="5019675"/>
          <a:ext cx="7285714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990600</xdr:colOff>
      <xdr:row>55</xdr:row>
      <xdr:rowOff>38100</xdr:rowOff>
    </xdr:from>
    <xdr:to>
      <xdr:col>15</xdr:col>
      <xdr:colOff>218109</xdr:colOff>
      <xdr:row>63</xdr:row>
      <xdr:rowOff>161714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5025" y="9515475"/>
          <a:ext cx="7723809" cy="1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64</xdr:row>
      <xdr:rowOff>0</xdr:rowOff>
    </xdr:from>
    <xdr:to>
      <xdr:col>12</xdr:col>
      <xdr:colOff>208918</xdr:colOff>
      <xdr:row>72</xdr:row>
      <xdr:rowOff>199814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67900" y="11201400"/>
          <a:ext cx="5057143" cy="16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190500</xdr:colOff>
      <xdr:row>4</xdr:row>
      <xdr:rowOff>171450</xdr:rowOff>
    </xdr:from>
    <xdr:to>
      <xdr:col>29</xdr:col>
      <xdr:colOff>409129</xdr:colOff>
      <xdr:row>53</xdr:row>
      <xdr:rowOff>65658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803225" y="971550"/>
          <a:ext cx="3571429" cy="81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58</xdr:row>
      <xdr:rowOff>219075</xdr:rowOff>
    </xdr:from>
    <xdr:to>
      <xdr:col>25</xdr:col>
      <xdr:colOff>218158</xdr:colOff>
      <xdr:row>97</xdr:row>
      <xdr:rowOff>123002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64225" y="10391775"/>
          <a:ext cx="7333333" cy="6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12</xdr:row>
      <xdr:rowOff>161925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24850" y="2333625"/>
          <a:ext cx="7000875" cy="31242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6</xdr:row>
      <xdr:rowOff>133350</xdr:rowOff>
    </xdr:from>
    <xdr:to>
      <xdr:col>13</xdr:col>
      <xdr:colOff>360932</xdr:colOff>
      <xdr:row>49</xdr:row>
      <xdr:rowOff>8659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1276350"/>
          <a:ext cx="8142857" cy="69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15</xdr:row>
      <xdr:rowOff>47625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53375" y="2905125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airport-bus-alliance.com/result-t.html?airport=%E6%88%90%E7%94%B0%E7%A9%BA%E6%B8%AF&amp;area=%E6%9D%B1%E4%BA%AC%E3%83%87%E3%82%A3%E3%82%BA%E3%83%8B%E3%83%BC%E3%83%AA%E3%82%BE%E3%83%BC%E3%83%88%E3%82%A8%E3%83%AA%E3%82%A2&amp;frto=1&amp;lang=zh_tw" TargetMode="External"/><Relationship Id="rId7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1" Type="http://schemas.openxmlformats.org/officeDocument/2006/relationships/hyperlink" Target="https://secure.booking.com/confirmation.zh-tw.html?sid=7c0d7857b72e2472b4301a47c5ae46b9&amp;aid=1346434&amp;auth_key=EQtvjQCx9JZmJ30H&amp;source=mytrips" TargetMode="External"/><Relationship Id="rId6" Type="http://schemas.openxmlformats.org/officeDocument/2006/relationships/hyperlink" Target="https://www.airport-bus-alliance.com/result-t.html?airport=%E6%88%90%E7%94%B0%E7%A9%BA%E6%B8%AF&amp;area=%E7%A8%B2%E6%AF%9B%E6%B5%B7%E5%B2%B8%E9%A7%85%E3%83%BB%E5%B9%95%E5%BC%B5%E6%96%B0%E9%83%BD%E5%BF%83&amp;frto=2&amp;lang=zh_tw" TargetMode="External"/><Relationship Id="rId5" Type="http://schemas.openxmlformats.org/officeDocument/2006/relationships/hyperlink" Target="https://www.kkday.com/zh-tw/product/19252" TargetMode="External"/><Relationship Id="rId4" Type="http://schemas.openxmlformats.org/officeDocument/2006/relationships/hyperlink" Target="https://popogo.pixnet.net/blog/post/50668400-2023-%E6%9D%B1%E4%BA%AC%E8%BF%AA%E5%A3%AB%E5%B0%BC%E6%A8%82%E5%9C%92%E7%9A%84%E4%BA%A4%E9%80%9A%EF%BC%8D%E5%BE%9E%E6%88%90%E7%94%B0%E6%A9%9F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kday.com/zh-tw/product/19252" TargetMode="External"/><Relationship Id="rId2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1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kkday.com/zh-tw/product/1925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8" tint="-0.249977111117893"/>
  </sheetPr>
  <dimension ref="B3:G20"/>
  <sheetViews>
    <sheetView tabSelected="1" workbookViewId="0">
      <selection activeCell="D39" sqref="D39"/>
    </sheetView>
  </sheetViews>
  <sheetFormatPr defaultRowHeight="12.75" x14ac:dyDescent="0.2"/>
  <cols>
    <col min="2" max="2" width="41.7109375" bestFit="1" customWidth="1"/>
    <col min="3" max="5" width="15.28515625" bestFit="1" customWidth="1"/>
    <col min="6" max="6" width="15.28515625" customWidth="1"/>
  </cols>
  <sheetData>
    <row r="3" spans="2:7" ht="15" x14ac:dyDescent="0.2">
      <c r="B3" s="67" t="s">
        <v>58</v>
      </c>
      <c r="C3" s="67" t="s">
        <v>51</v>
      </c>
      <c r="D3" s="67" t="s">
        <v>55</v>
      </c>
      <c r="E3" s="67" t="s">
        <v>56</v>
      </c>
      <c r="F3" s="67" t="s">
        <v>80</v>
      </c>
    </row>
    <row r="4" spans="2:7" ht="15.75" x14ac:dyDescent="0.25">
      <c r="B4" s="121" t="s">
        <v>52</v>
      </c>
      <c r="C4" s="122">
        <f>SUM(熊本_20240313_20240317!F2:F6)+SUM(熊本_20240313_20240317!D9:D13)+SUM(熊本_20240313_20240317!D16:D18)+SUM(熊本_20240313_20240317!D35:D46)</f>
        <v>128101.03</v>
      </c>
      <c r="D4" s="122">
        <f>C4</f>
        <v>128101.03</v>
      </c>
      <c r="E4" s="122">
        <f>C4-D4</f>
        <v>0</v>
      </c>
      <c r="F4" s="122">
        <v>3</v>
      </c>
    </row>
    <row r="5" spans="2:7" ht="15.75" x14ac:dyDescent="0.25">
      <c r="B5" s="69" t="s">
        <v>140</v>
      </c>
      <c r="C5" s="71">
        <f>SUM(東京_20240524_20240527_東京外站!$F$2:$F$6)+SUM(東京_20240524_20240527_東京外站!D9:D14)+SUM(東京_20240524_20240527_東京外站!$D$53:$D$64)</f>
        <v>54645.94</v>
      </c>
      <c r="D5" s="71">
        <f>東京_20240524_20240527_東京外站!D9+東京_20240524_20240527_東京外站!D12+東京_20240524_20240527_東京外站!D13</f>
        <v>20620</v>
      </c>
      <c r="E5" s="71">
        <f>C5-D5</f>
        <v>34025.94</v>
      </c>
      <c r="F5" s="71">
        <v>2</v>
      </c>
    </row>
    <row r="6" spans="2:7" ht="15.75" x14ac:dyDescent="0.25">
      <c r="B6" s="69" t="s">
        <v>53</v>
      </c>
      <c r="C6" s="71">
        <f>SUM(釜山_20240627_20240630!F2:F6)+SUM(釜山_20240627_20240630!D9:D15)+SUM(釜山_20240627_20240630!D35:D46)</f>
        <v>56100.86</v>
      </c>
      <c r="D6" s="71">
        <f>釜山_20240627_20240630!F2+釜山_20240627_20240630!D9+釜山_20240627_20240630!D11+釜山_20240627_20240630!D13</f>
        <v>54900.86</v>
      </c>
      <c r="E6" s="71">
        <f t="shared" ref="E6:E7" si="0">C6-D6</f>
        <v>1200</v>
      </c>
      <c r="F6" s="71">
        <v>2</v>
      </c>
    </row>
    <row r="7" spans="2:7" ht="15.75" x14ac:dyDescent="0.25">
      <c r="B7" s="69" t="s">
        <v>54</v>
      </c>
      <c r="C7" s="71">
        <f>SUM(布里斯本_20241010_20241019!F5:F7)+SUM(布里斯本_20241010_20241019!D10:D14)+布里斯本_20241010_20241019!D17+SUM(布里斯本_20241010_20241019!D33:D44)</f>
        <v>212593.95600000001</v>
      </c>
      <c r="D7" s="71">
        <f>布里斯本_20241010_20241019!D10+布里斯本_20241010_20241019!D13</f>
        <v>102361.4</v>
      </c>
      <c r="E7" s="71">
        <f t="shared" si="0"/>
        <v>110232.55600000001</v>
      </c>
      <c r="F7" s="71">
        <v>6</v>
      </c>
    </row>
    <row r="8" spans="2:7" ht="15.75" x14ac:dyDescent="0.25">
      <c r="B8" s="69" t="s">
        <v>139</v>
      </c>
      <c r="C8" s="71">
        <f>SUM(美西_20250123_20250131_東京外站!$F$2:$F$6)+SUM(美西_20250123_20250131_東京外站!$D$9:$D$12)+SUM(美西_20250123_20250131_東京外站!$D$53:$D$64)</f>
        <v>273580</v>
      </c>
      <c r="D8" s="71"/>
      <c r="E8" s="71">
        <f>C8-D8</f>
        <v>273580</v>
      </c>
      <c r="F8" s="71">
        <v>1</v>
      </c>
    </row>
    <row r="9" spans="2:7" ht="15.75" x14ac:dyDescent="0.25">
      <c r="B9" s="70" t="s">
        <v>57</v>
      </c>
      <c r="C9" s="72">
        <f>SUM(C4:C8)</f>
        <v>725021.78600000008</v>
      </c>
      <c r="D9" s="72">
        <f t="shared" ref="D9:F9" si="1">SUM(D4:D8)</f>
        <v>305983.29000000004</v>
      </c>
      <c r="E9" s="72">
        <f t="shared" si="1"/>
        <v>419038.49600000004</v>
      </c>
      <c r="F9" s="72">
        <f t="shared" si="1"/>
        <v>14</v>
      </c>
    </row>
    <row r="12" spans="2:7" ht="15" x14ac:dyDescent="0.2">
      <c r="B12" s="67" t="s">
        <v>59</v>
      </c>
      <c r="C12" s="67" t="s">
        <v>51</v>
      </c>
      <c r="D12" s="67" t="s">
        <v>55</v>
      </c>
      <c r="E12" s="67" t="s">
        <v>56</v>
      </c>
      <c r="F12" s="67" t="s">
        <v>79</v>
      </c>
      <c r="G12" s="67" t="s">
        <v>60</v>
      </c>
    </row>
    <row r="13" spans="2:7" ht="15.75" x14ac:dyDescent="0.25">
      <c r="B13" s="74" t="s">
        <v>138</v>
      </c>
      <c r="C13" s="75">
        <f>SUM(沖繩_20250314_20250318_東京外站!$F$2:$F$6)+SUM(沖繩_20250314_20250318_東京外站!D9:D12)+SUM(沖繩_20250314_20250318_東京外站!$D$53:$D$64)</f>
        <v>70000</v>
      </c>
      <c r="D13" s="75"/>
      <c r="E13" s="75">
        <f>C13-D13</f>
        <v>70000</v>
      </c>
      <c r="F13" s="75">
        <v>3</v>
      </c>
      <c r="G13" s="75">
        <v>1</v>
      </c>
    </row>
    <row r="14" spans="2:7" ht="15.75" x14ac:dyDescent="0.25">
      <c r="B14" s="70" t="s">
        <v>57</v>
      </c>
      <c r="C14" s="72">
        <f>SUMPRODUCT(C13,$G13)</f>
        <v>70000</v>
      </c>
      <c r="D14" s="72"/>
      <c r="E14" s="72">
        <f t="shared" ref="D14:F14" si="2">SUMPRODUCT(E13,$G13)</f>
        <v>70000</v>
      </c>
      <c r="F14" s="72">
        <f t="shared" si="2"/>
        <v>3</v>
      </c>
      <c r="G14" s="72"/>
    </row>
    <row r="17" spans="2:7" ht="15" hidden="1" x14ac:dyDescent="0.2">
      <c r="B17" s="67" t="s">
        <v>59</v>
      </c>
      <c r="C17" s="67" t="s">
        <v>51</v>
      </c>
      <c r="D17" s="67" t="s">
        <v>55</v>
      </c>
      <c r="E17" s="67" t="s">
        <v>56</v>
      </c>
      <c r="F17" s="67" t="s">
        <v>79</v>
      </c>
      <c r="G17" s="67" t="s">
        <v>60</v>
      </c>
    </row>
    <row r="18" spans="2:7" ht="15.75" hidden="1" x14ac:dyDescent="0.25">
      <c r="B18" s="68" t="s">
        <v>68</v>
      </c>
      <c r="C18" s="73">
        <f>SUM(新加坡峇里島_20250124_20250129!$F$2:$F$6)+SUM(新加坡峇里島_20250124_20250129!$D$9:$D$13)+SUM(新加坡峇里島_20250124_20250129!$D$54:$D$65)</f>
        <v>150826</v>
      </c>
      <c r="D18" s="73"/>
      <c r="E18" s="73">
        <f>C18-D18</f>
        <v>150826</v>
      </c>
      <c r="F18" s="73">
        <v>1</v>
      </c>
      <c r="G18" s="73">
        <v>1</v>
      </c>
    </row>
    <row r="19" spans="2:7" ht="15.75" hidden="1" x14ac:dyDescent="0.25">
      <c r="B19" s="68" t="s">
        <v>70</v>
      </c>
      <c r="C19" s="73">
        <f>SUM(沖繩_20250312_20250316!$F$2:$F$6)+SUM(沖繩_20250312_20250316!$D$9:$D$10)+SUM(沖繩_20250312_20250316!$D$54:$D$65)</f>
        <v>80107</v>
      </c>
      <c r="D19" s="73"/>
      <c r="E19" s="73">
        <f>C19-D19</f>
        <v>80107</v>
      </c>
      <c r="F19" s="73">
        <v>3</v>
      </c>
      <c r="G19" s="73">
        <v>1</v>
      </c>
    </row>
    <row r="20" spans="2:7" ht="15.75" hidden="1" x14ac:dyDescent="0.25">
      <c r="B20" s="70" t="s">
        <v>57</v>
      </c>
      <c r="C20" s="72">
        <f>SUMPRODUCT(C18:C19,$G18:$G19)</f>
        <v>230933</v>
      </c>
      <c r="D20" s="72">
        <f>SUMPRODUCT(D18:D19,$G18:$G19)</f>
        <v>0</v>
      </c>
      <c r="E20" s="72">
        <f>SUMPRODUCT(E18:E19,$G18:$G19)</f>
        <v>230933</v>
      </c>
      <c r="F20" s="72">
        <f>SUM(F18:F19)</f>
        <v>4</v>
      </c>
      <c r="G20" s="72"/>
    </row>
  </sheetData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8" tint="0.79998168889431442"/>
    <outlinePr summaryBelow="0" summaryRight="0"/>
  </sheetPr>
  <dimension ref="A1:I1013"/>
  <sheetViews>
    <sheetView workbookViewId="0">
      <selection activeCell="F9" sqref="F9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97" t="s">
        <v>0</v>
      </c>
      <c r="C1" s="98"/>
      <c r="D1" s="98"/>
      <c r="E1" s="98"/>
      <c r="F1" s="99"/>
      <c r="G1" s="2"/>
      <c r="H1" s="3" t="s">
        <v>1</v>
      </c>
      <c r="I1" s="4">
        <v>0.21</v>
      </c>
    </row>
    <row r="2" spans="1:9" ht="15.75" customHeight="1" x14ac:dyDescent="0.25">
      <c r="A2" s="1"/>
      <c r="B2" s="50" t="s">
        <v>142</v>
      </c>
      <c r="C2" s="50" t="s">
        <v>84</v>
      </c>
      <c r="D2" s="93" t="s">
        <v>4</v>
      </c>
      <c r="E2" s="94">
        <v>45433</v>
      </c>
      <c r="F2" s="77">
        <f>(89044)*I1</f>
        <v>18699.239999999998</v>
      </c>
      <c r="G2" s="9"/>
      <c r="H2" s="9"/>
      <c r="I2" s="9"/>
    </row>
    <row r="3" spans="1:9" ht="15.75" customHeight="1" x14ac:dyDescent="0.25">
      <c r="A3" s="1"/>
      <c r="B3" s="50" t="s">
        <v>143</v>
      </c>
      <c r="C3" s="50" t="s">
        <v>141</v>
      </c>
      <c r="D3" s="93" t="s">
        <v>23</v>
      </c>
      <c r="E3" s="94">
        <v>45437</v>
      </c>
      <c r="F3" s="77">
        <f>37170*$I$1</f>
        <v>7805.7</v>
      </c>
      <c r="G3" s="9"/>
      <c r="H3" s="9"/>
      <c r="I3" s="9"/>
    </row>
    <row r="4" spans="1:9" ht="15.75" customHeight="1" x14ac:dyDescent="0.25">
      <c r="A4" s="1"/>
      <c r="B4" s="50"/>
      <c r="C4" s="50"/>
      <c r="D4" s="50"/>
      <c r="E4" s="50"/>
      <c r="F4" s="77"/>
      <c r="G4" s="9"/>
      <c r="H4" s="9"/>
      <c r="I4" s="9"/>
    </row>
    <row r="5" spans="1:9" x14ac:dyDescent="0.25">
      <c r="A5" s="1"/>
      <c r="B5" s="50"/>
      <c r="C5" s="50"/>
      <c r="D5" s="50"/>
      <c r="E5" s="50"/>
      <c r="F5" s="78"/>
      <c r="G5" s="9"/>
      <c r="H5" s="9"/>
      <c r="I5" s="9"/>
    </row>
    <row r="6" spans="1:9" x14ac:dyDescent="0.25">
      <c r="A6" s="1"/>
      <c r="B6" s="50"/>
      <c r="C6" s="50"/>
      <c r="D6" s="50"/>
      <c r="E6" s="50"/>
      <c r="F6" s="78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0" t="s">
        <v>8</v>
      </c>
      <c r="C8" s="101"/>
      <c r="D8" s="102"/>
      <c r="E8" s="2"/>
      <c r="F8" s="2"/>
      <c r="G8" s="2"/>
      <c r="H8" s="2"/>
      <c r="I8" s="2"/>
    </row>
    <row r="9" spans="1:9" ht="13.5" x14ac:dyDescent="0.25">
      <c r="A9" s="1"/>
      <c r="B9" s="26" t="s">
        <v>73</v>
      </c>
      <c r="C9" s="36" t="s">
        <v>85</v>
      </c>
      <c r="D9" s="27">
        <f>16713+251</f>
        <v>16964</v>
      </c>
      <c r="E9" s="2"/>
      <c r="F9" s="2"/>
      <c r="G9" s="2"/>
      <c r="H9" s="2"/>
      <c r="I9" s="2"/>
    </row>
    <row r="10" spans="1:9" ht="13.5" x14ac:dyDescent="0.25">
      <c r="A10" s="1"/>
      <c r="B10" s="26" t="s">
        <v>144</v>
      </c>
      <c r="C10" s="36"/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9" t="s">
        <v>135</v>
      </c>
      <c r="C11" s="36" t="s">
        <v>136</v>
      </c>
      <c r="D11" s="40">
        <f>(2300*2+1150*2)*2*$I$1</f>
        <v>2898</v>
      </c>
      <c r="E11" s="95" t="s">
        <v>145</v>
      </c>
      <c r="F11" s="2"/>
      <c r="G11" s="2"/>
      <c r="H11" s="2"/>
      <c r="I11" s="2"/>
    </row>
    <row r="12" spans="1:9" ht="13.5" x14ac:dyDescent="0.25">
      <c r="A12" s="2"/>
      <c r="B12" s="38" t="s">
        <v>86</v>
      </c>
      <c r="C12" s="36"/>
      <c r="D12" s="40">
        <v>2456</v>
      </c>
      <c r="E12" s="2"/>
      <c r="F12" s="2"/>
      <c r="G12" s="2"/>
      <c r="H12" s="2"/>
      <c r="I12" s="2"/>
    </row>
    <row r="13" spans="1:9" ht="13.5" x14ac:dyDescent="0.25">
      <c r="A13" s="2"/>
      <c r="B13" s="38" t="s">
        <v>147</v>
      </c>
      <c r="C13" s="26" t="s">
        <v>148</v>
      </c>
      <c r="D13" s="27">
        <v>1200</v>
      </c>
      <c r="E13" s="2"/>
      <c r="F13" s="2"/>
      <c r="G13" s="2"/>
      <c r="H13" s="2"/>
      <c r="I13" s="2"/>
    </row>
    <row r="14" spans="1:9" ht="13.5" x14ac:dyDescent="0.25">
      <c r="A14" s="2"/>
      <c r="B14" s="48" t="s">
        <v>37</v>
      </c>
      <c r="C14" s="36"/>
      <c r="D14" s="40">
        <f>-ROUNDDOWN(16713*0.03,0)</f>
        <v>-501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3" t="s">
        <v>11</v>
      </c>
      <c r="C52" s="104"/>
      <c r="D52" s="105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76" t="s">
        <v>81</v>
      </c>
      <c r="C53" s="20"/>
      <c r="D53" s="21">
        <f>(9400*2+5600*1)*$I$1</f>
        <v>5124</v>
      </c>
      <c r="E53" s="23"/>
      <c r="F53" s="23"/>
      <c r="G53" s="23"/>
      <c r="H53" s="23"/>
      <c r="I53" s="23"/>
    </row>
    <row r="54" spans="1:9" ht="18" x14ac:dyDescent="0.25">
      <c r="A54" s="1"/>
      <c r="B54" s="76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6" t="s">
        <v>7</v>
      </c>
      <c r="C68" s="101"/>
      <c r="D68" s="101"/>
      <c r="E68" s="101"/>
      <c r="F68" s="102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2" r:id="rId1" display="https://secure.booking.com/confirmation.zh-tw.html?sid=7c0d7857b72e2472b4301a47c5ae46b9&amp;aid=1346434&amp;auth_key=EQtvjQCx9JZmJ30H&amp;source=mytrips"/>
    <hyperlink ref="C9" r:id="rId2" display="ezTravel"/>
    <hyperlink ref="B11" r:id="rId3"/>
    <hyperlink ref="C11" r:id="rId4"/>
    <hyperlink ref="B53" r:id="rId5"/>
    <hyperlink ref="E11" r:id="rId6"/>
    <hyperlink ref="B14" r:id="rId7" display="濟州航空 7C2653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8" tint="0.79998168889431442"/>
    <outlinePr summaryBelow="0" summaryRight="0"/>
  </sheetPr>
  <dimension ref="A1:I988"/>
  <sheetViews>
    <sheetView workbookViewId="0">
      <selection activeCell="C24" sqref="C24"/>
    </sheetView>
  </sheetViews>
  <sheetFormatPr defaultColWidth="12.5703125" defaultRowHeight="15.75" customHeight="1" x14ac:dyDescent="0.2"/>
  <cols>
    <col min="2" max="2" width="57.285156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97" t="s">
        <v>0</v>
      </c>
      <c r="C1" s="98"/>
      <c r="D1" s="98"/>
      <c r="E1" s="98"/>
      <c r="F1" s="99"/>
      <c r="G1" s="2"/>
      <c r="H1" s="3" t="s">
        <v>1</v>
      </c>
      <c r="I1" s="4">
        <v>2.4E-2</v>
      </c>
    </row>
    <row r="2" spans="1:9" ht="15.75" customHeight="1" x14ac:dyDescent="0.25">
      <c r="A2" s="1"/>
      <c r="B2" s="82" t="s">
        <v>90</v>
      </c>
      <c r="C2" s="83" t="s">
        <v>3</v>
      </c>
      <c r="D2" s="12" t="s">
        <v>87</v>
      </c>
      <c r="E2" s="84"/>
      <c r="F2" s="85">
        <v>29450</v>
      </c>
      <c r="G2" s="9"/>
      <c r="H2" s="9"/>
      <c r="I2" s="9"/>
    </row>
    <row r="3" spans="1:9" ht="15.75" customHeight="1" x14ac:dyDescent="0.3">
      <c r="A3" s="1"/>
      <c r="B3" s="5"/>
      <c r="C3" s="49"/>
      <c r="D3" s="10"/>
      <c r="E3" s="7"/>
      <c r="F3" s="8"/>
      <c r="G3" s="9"/>
      <c r="H3" s="9"/>
      <c r="I3" s="9"/>
    </row>
    <row r="4" spans="1:9" ht="15.75" customHeight="1" x14ac:dyDescent="0.3">
      <c r="A4" s="1"/>
      <c r="B4" s="11"/>
      <c r="C4" s="49"/>
      <c r="D4" s="10"/>
      <c r="E4" s="7"/>
      <c r="F4" s="8"/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0" t="s">
        <v>8</v>
      </c>
      <c r="C8" s="101"/>
      <c r="D8" s="102"/>
      <c r="E8" s="2"/>
      <c r="F8" s="2"/>
      <c r="G8" s="2"/>
      <c r="H8" s="2"/>
      <c r="I8" s="2"/>
    </row>
    <row r="9" spans="1:9" ht="13.5" x14ac:dyDescent="0.25">
      <c r="A9" s="1"/>
      <c r="B9" s="46" t="s">
        <v>9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6" t="s">
        <v>10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96" t="s">
        <v>36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37"/>
      <c r="B12" s="38" t="s">
        <v>147</v>
      </c>
      <c r="C12" s="26" t="s">
        <v>149</v>
      </c>
      <c r="D12" s="27">
        <v>1200</v>
      </c>
      <c r="E12" s="2"/>
      <c r="F12" s="2"/>
      <c r="G12" s="2"/>
      <c r="H12" s="2"/>
      <c r="I12" s="2"/>
    </row>
    <row r="13" spans="1:9" ht="13.5" x14ac:dyDescent="0.25">
      <c r="A13" s="2"/>
      <c r="B13" s="48" t="s">
        <v>37</v>
      </c>
      <c r="C13" s="18"/>
      <c r="D13" s="19">
        <f>-1*(24986+852)*0.03</f>
        <v>-775.14</v>
      </c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103" t="s">
        <v>11</v>
      </c>
      <c r="C34" s="104"/>
      <c r="D34" s="105"/>
      <c r="E34" s="41" t="s">
        <v>12</v>
      </c>
      <c r="F34" s="41" t="s">
        <v>13</v>
      </c>
      <c r="G34" s="41" t="s">
        <v>14</v>
      </c>
      <c r="H34" s="41" t="s">
        <v>15</v>
      </c>
      <c r="I34" s="42" t="s">
        <v>16</v>
      </c>
    </row>
    <row r="35" spans="1:9" ht="18" x14ac:dyDescent="0.25">
      <c r="A35" s="1"/>
      <c r="B35" s="20"/>
      <c r="C35" s="20"/>
      <c r="D35" s="21"/>
      <c r="E35" s="22"/>
      <c r="F35" s="22"/>
      <c r="G35" s="22"/>
      <c r="H35" s="22"/>
      <c r="I35" s="22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2"/>
      <c r="F40" s="22"/>
      <c r="G40" s="22"/>
      <c r="H40" s="22"/>
      <c r="I40" s="22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106" t="s">
        <v>7</v>
      </c>
      <c r="C50" s="101"/>
      <c r="D50" s="101"/>
      <c r="E50" s="101"/>
      <c r="F50" s="102"/>
      <c r="G50" s="2"/>
      <c r="H50" s="2"/>
      <c r="I50" s="2"/>
    </row>
    <row r="51" spans="1:9" ht="15.75" customHeight="1" x14ac:dyDescent="0.25">
      <c r="A51" s="1"/>
      <c r="B51" s="79" t="s">
        <v>6</v>
      </c>
      <c r="C51" s="50" t="s">
        <v>3</v>
      </c>
      <c r="D51" s="79" t="s">
        <v>5</v>
      </c>
      <c r="E51" s="80"/>
      <c r="F51" s="81">
        <f>1266746*$I$1</f>
        <v>30401.904000000002</v>
      </c>
      <c r="G51" s="9"/>
      <c r="H51" s="9"/>
      <c r="I51" s="9"/>
    </row>
    <row r="52" spans="1:9" ht="15.75" customHeight="1" x14ac:dyDescent="0.25">
      <c r="A52" s="1"/>
      <c r="B52" s="79" t="s">
        <v>2</v>
      </c>
      <c r="C52" s="50" t="s">
        <v>3</v>
      </c>
      <c r="D52" s="79" t="s">
        <v>4</v>
      </c>
      <c r="E52" s="80"/>
      <c r="F52" s="81">
        <f>821771*$I$1-1959</f>
        <v>17763.504000000001</v>
      </c>
      <c r="G52" s="9"/>
      <c r="H52" s="9"/>
      <c r="I52" s="9"/>
    </row>
    <row r="53" spans="1:9" ht="15.75" customHeight="1" x14ac:dyDescent="0.3">
      <c r="A53" s="1"/>
      <c r="B53" s="79" t="s">
        <v>89</v>
      </c>
      <c r="C53" s="50" t="s">
        <v>3</v>
      </c>
      <c r="D53" s="79" t="s">
        <v>87</v>
      </c>
      <c r="E53" s="80"/>
      <c r="F53" s="81">
        <f>(1331998-19504)*$I$1</f>
        <v>31499.856</v>
      </c>
      <c r="G53" s="9"/>
      <c r="H53" s="9"/>
      <c r="I53" s="9"/>
    </row>
    <row r="54" spans="1:9" ht="15.75" customHeight="1" x14ac:dyDescent="0.25">
      <c r="A54" s="1"/>
      <c r="B54" s="79" t="s">
        <v>88</v>
      </c>
      <c r="C54" s="50" t="s">
        <v>3</v>
      </c>
      <c r="D54" s="79" t="s">
        <v>87</v>
      </c>
      <c r="E54" s="80"/>
      <c r="F54" s="81">
        <f>985652*$I$1</f>
        <v>23655.648000000001</v>
      </c>
      <c r="G54" s="9"/>
      <c r="H54" s="9"/>
      <c r="I54" s="9"/>
    </row>
    <row r="55" spans="1:9" ht="15.75" customHeight="1" x14ac:dyDescent="0.25">
      <c r="A55" s="1"/>
      <c r="B55" s="16"/>
      <c r="C55" s="16"/>
      <c r="D55" s="6"/>
      <c r="E55" s="13"/>
      <c r="F55" s="8"/>
      <c r="G55" s="9"/>
      <c r="H55" s="9"/>
      <c r="I55" s="9"/>
    </row>
    <row r="56" spans="1:9" ht="15.75" customHeight="1" x14ac:dyDescent="0.25">
      <c r="A56" s="1"/>
      <c r="B56" s="16"/>
      <c r="C56" s="16"/>
      <c r="D56" s="6"/>
      <c r="E56" s="13"/>
      <c r="F56" s="8"/>
      <c r="G56" s="9"/>
      <c r="H56" s="9"/>
      <c r="I56" s="9"/>
    </row>
    <row r="57" spans="1:9" ht="15.75" customHeight="1" x14ac:dyDescent="0.25">
      <c r="A57" s="1"/>
      <c r="B57" s="16"/>
      <c r="C57" s="16"/>
      <c r="D57" s="6"/>
      <c r="E57" s="13"/>
      <c r="F57" s="8"/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4">
    <mergeCell ref="B1:F1"/>
    <mergeCell ref="B50:F50"/>
    <mergeCell ref="B8:D8"/>
    <mergeCell ref="B34:D34"/>
  </mergeCells>
  <phoneticPr fontId="10" type="noConversion"/>
  <hyperlinks>
    <hyperlink ref="B9" r:id="rId1"/>
    <hyperlink ref="B10" r:id="rId2"/>
    <hyperlink ref="B11" r:id="rId3" display="濟州航空 7C2653"/>
    <hyperlink ref="B13" r:id="rId4" display="濟州航空 7C2653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8" tint="0.79998168889431442"/>
    <outlinePr summaryBelow="0" summaryRight="0"/>
  </sheetPr>
  <dimension ref="A1:I986"/>
  <sheetViews>
    <sheetView workbookViewId="0">
      <selection activeCell="I10" sqref="I10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110" t="s">
        <v>0</v>
      </c>
      <c r="C1" s="111"/>
      <c r="D1" s="111"/>
      <c r="E1" s="111"/>
      <c r="F1" s="112"/>
      <c r="G1" s="2"/>
      <c r="H1" s="3" t="s">
        <v>1</v>
      </c>
      <c r="I1" s="4">
        <v>20.6</v>
      </c>
    </row>
    <row r="2" spans="1:9" ht="15.75" customHeight="1" x14ac:dyDescent="0.25">
      <c r="A2" s="37"/>
      <c r="B2" s="53" t="s">
        <v>38</v>
      </c>
      <c r="C2" s="54" t="s">
        <v>43</v>
      </c>
      <c r="D2" s="55" t="s">
        <v>39</v>
      </c>
      <c r="E2" s="56">
        <v>45559</v>
      </c>
      <c r="F2" s="57">
        <f>2237.4*$I$1-4118</f>
        <v>41972.44</v>
      </c>
      <c r="G2" s="9"/>
      <c r="H2" s="9"/>
      <c r="I2" s="9"/>
    </row>
    <row r="3" spans="1:9" ht="15.75" customHeight="1" x14ac:dyDescent="0.25">
      <c r="A3" s="37"/>
      <c r="B3" s="58" t="s">
        <v>40</v>
      </c>
      <c r="C3" s="50" t="s">
        <v>44</v>
      </c>
      <c r="D3" s="51" t="s">
        <v>39</v>
      </c>
      <c r="E3" s="52">
        <v>45563</v>
      </c>
      <c r="F3" s="59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0" t="s">
        <v>41</v>
      </c>
      <c r="C4" s="61" t="s">
        <v>45</v>
      </c>
      <c r="D4" s="62" t="s">
        <v>39</v>
      </c>
      <c r="E4" s="63">
        <v>45563</v>
      </c>
      <c r="F4" s="64">
        <f>808.38*$I$1-1484</f>
        <v>15168.628000000001</v>
      </c>
      <c r="G4" s="9"/>
      <c r="H4" s="9"/>
      <c r="I4" s="9"/>
    </row>
    <row r="5" spans="1:9" x14ac:dyDescent="0.25">
      <c r="A5" s="37"/>
      <c r="B5" s="53" t="s">
        <v>46</v>
      </c>
      <c r="C5" s="54" t="s">
        <v>43</v>
      </c>
      <c r="D5" s="55" t="s">
        <v>39</v>
      </c>
      <c r="E5" s="56">
        <v>45568</v>
      </c>
      <c r="F5" s="57">
        <f>1979.76*$I$1-4051</f>
        <v>36732.056000000004</v>
      </c>
      <c r="G5" s="9"/>
      <c r="H5" s="9"/>
      <c r="I5" s="9"/>
    </row>
    <row r="6" spans="1:9" x14ac:dyDescent="0.25">
      <c r="A6" s="37"/>
      <c r="B6" s="58" t="s">
        <v>47</v>
      </c>
      <c r="C6" s="50" t="s">
        <v>44</v>
      </c>
      <c r="D6" s="51" t="s">
        <v>39</v>
      </c>
      <c r="E6" s="52">
        <v>45574</v>
      </c>
      <c r="F6" s="59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0" t="s">
        <v>41</v>
      </c>
      <c r="C7" s="61" t="s">
        <v>45</v>
      </c>
      <c r="D7" s="62" t="s">
        <v>39</v>
      </c>
      <c r="E7" s="63">
        <v>45563</v>
      </c>
      <c r="F7" s="64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100" t="s">
        <v>8</v>
      </c>
      <c r="C9" s="101"/>
      <c r="D9" s="102"/>
      <c r="E9" s="2"/>
      <c r="F9" s="2"/>
      <c r="G9" s="2"/>
      <c r="H9" s="2"/>
      <c r="I9" s="2"/>
    </row>
    <row r="10" spans="1:9" ht="13.5" x14ac:dyDescent="0.25">
      <c r="A10" s="1"/>
      <c r="B10" s="26" t="s">
        <v>42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42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6" t="s">
        <v>36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6" t="s">
        <v>37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6" t="s">
        <v>50</v>
      </c>
      <c r="C14" s="18" t="s">
        <v>49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113" t="s">
        <v>33</v>
      </c>
      <c r="C16" s="114"/>
      <c r="D16" s="114"/>
      <c r="E16" s="2"/>
      <c r="F16" s="2"/>
      <c r="G16" s="2"/>
      <c r="H16" s="2"/>
      <c r="I16" s="2"/>
    </row>
    <row r="17" spans="1:9" ht="13.5" x14ac:dyDescent="0.25">
      <c r="A17" s="2"/>
      <c r="B17" s="65" t="s">
        <v>48</v>
      </c>
      <c r="C17" s="65"/>
      <c r="D17" s="66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103" t="s">
        <v>11</v>
      </c>
      <c r="C32" s="104"/>
      <c r="D32" s="105"/>
      <c r="E32" s="41" t="s">
        <v>12</v>
      </c>
      <c r="F32" s="41" t="s">
        <v>13</v>
      </c>
      <c r="G32" s="41" t="s">
        <v>14</v>
      </c>
      <c r="H32" s="41" t="s">
        <v>15</v>
      </c>
      <c r="I32" s="42" t="s">
        <v>16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106" t="s">
        <v>7</v>
      </c>
      <c r="C48" s="101"/>
      <c r="D48" s="101"/>
      <c r="E48" s="101"/>
      <c r="F48" s="102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8" tint="0.79998168889431442"/>
    <outlinePr summaryBelow="0" summaryRight="0"/>
  </sheetPr>
  <dimension ref="A1:I1013"/>
  <sheetViews>
    <sheetView workbookViewId="0">
      <selection activeCell="F3" sqref="F3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97" t="s">
        <v>0</v>
      </c>
      <c r="C1" s="98"/>
      <c r="D1" s="98"/>
      <c r="E1" s="98"/>
      <c r="F1" s="99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90000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100" t="s">
        <v>8</v>
      </c>
      <c r="C8" s="101"/>
      <c r="D8" s="102"/>
      <c r="E8" s="2"/>
      <c r="F8" s="2"/>
      <c r="G8" s="2"/>
      <c r="H8" s="2"/>
      <c r="I8" s="2"/>
    </row>
    <row r="9" spans="1:9" ht="13.5" x14ac:dyDescent="0.25">
      <c r="A9" s="1"/>
      <c r="B9" s="26" t="s">
        <v>78</v>
      </c>
      <c r="C9" s="120" t="s">
        <v>150</v>
      </c>
      <c r="D9" s="27">
        <v>115684</v>
      </c>
      <c r="E9" s="2"/>
      <c r="F9" s="2"/>
      <c r="G9" s="2"/>
      <c r="H9" s="2"/>
      <c r="I9" s="2"/>
    </row>
    <row r="10" spans="1:9" ht="13.5" x14ac:dyDescent="0.25">
      <c r="A10" s="1"/>
      <c r="B10" s="26" t="s">
        <v>137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151</v>
      </c>
      <c r="C11" s="36" t="s">
        <v>18</v>
      </c>
      <c r="D11" s="40">
        <v>32896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75</v>
      </c>
      <c r="C12" s="36"/>
      <c r="D12" s="40">
        <v>35000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3" t="s">
        <v>11</v>
      </c>
      <c r="C52" s="104"/>
      <c r="D52" s="105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76" t="s">
        <v>82</v>
      </c>
      <c r="C53" s="20"/>
      <c r="D53" s="21">
        <f>(150*5+80*2)*$I$1*0</f>
        <v>0</v>
      </c>
      <c r="E53" s="23"/>
      <c r="F53" s="23"/>
      <c r="G53" s="23"/>
      <c r="H53" s="23"/>
      <c r="I53" s="23"/>
    </row>
    <row r="54" spans="1:9" ht="18" x14ac:dyDescent="0.25">
      <c r="A54" s="1"/>
      <c r="B54" s="76" t="s">
        <v>83</v>
      </c>
      <c r="C54" s="20"/>
      <c r="D54" s="21">
        <f>(150*5+100*2)*$I$1*0</f>
        <v>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6" t="s">
        <v>7</v>
      </c>
      <c r="C68" s="101"/>
      <c r="D68" s="101"/>
      <c r="E68" s="101"/>
      <c r="F68" s="102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 display="ezTravel"/>
    <hyperlink ref="C11" r:id="rId2"/>
    <hyperlink ref="B54" r:id="rId3" display="東京迪士尼度假區門票"/>
    <hyperlink ref="B53" r:id="rId4" display="東京迪士尼度假區門票"/>
  </hyperlinks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5" tint="0.79998168889431442"/>
    <outlinePr summaryBelow="0" summaryRight="0"/>
  </sheetPr>
  <dimension ref="A1:J1013"/>
  <sheetViews>
    <sheetView workbookViewId="0">
      <selection activeCell="D39" sqref="D39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97" t="s">
        <v>0</v>
      </c>
      <c r="C1" s="98"/>
      <c r="D1" s="98"/>
      <c r="E1" s="98"/>
      <c r="F1" s="99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15" t="s">
        <v>8</v>
      </c>
      <c r="C8" s="116"/>
      <c r="D8" s="116"/>
      <c r="E8" s="2"/>
      <c r="F8" s="2"/>
      <c r="G8" s="2"/>
      <c r="H8" s="2"/>
      <c r="I8" s="2"/>
    </row>
    <row r="9" spans="1:10" ht="13.5" x14ac:dyDescent="0.25">
      <c r="A9" s="37"/>
      <c r="B9" s="38" t="s">
        <v>72</v>
      </c>
      <c r="C9" s="39" t="s">
        <v>71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77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75</v>
      </c>
      <c r="C11" s="39"/>
      <c r="D11" s="40">
        <v>8000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3" t="s">
        <v>11</v>
      </c>
      <c r="C52" s="104"/>
      <c r="D52" s="105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6" t="s">
        <v>7</v>
      </c>
      <c r="C68" s="101"/>
      <c r="D68" s="101"/>
      <c r="E68" s="101"/>
      <c r="F68" s="102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4" tint="0.79998168889431442"/>
    <outlinePr summaryBelow="0" summaryRight="0"/>
  </sheetPr>
  <dimension ref="A1:N988"/>
  <sheetViews>
    <sheetView workbookViewId="0">
      <selection activeCell="B10" sqref="B10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4" ht="15.75" customHeight="1" x14ac:dyDescent="0.25">
      <c r="A1" s="1"/>
      <c r="B1" s="97" t="s">
        <v>0</v>
      </c>
      <c r="C1" s="98"/>
      <c r="D1" s="98"/>
      <c r="E1" s="98"/>
      <c r="F1" s="99"/>
      <c r="G1" s="2"/>
      <c r="H1" s="9"/>
      <c r="I1" s="9"/>
      <c r="L1" s="3" t="s">
        <v>1</v>
      </c>
      <c r="M1" s="4">
        <v>0.215</v>
      </c>
      <c r="N1">
        <v>4.38</v>
      </c>
    </row>
    <row r="2" spans="1:14" ht="15.75" customHeight="1" x14ac:dyDescent="0.3">
      <c r="A2" s="1"/>
      <c r="B2" s="45" t="s">
        <v>19</v>
      </c>
      <c r="C2" s="28" t="s">
        <v>20</v>
      </c>
      <c r="D2" s="29" t="s">
        <v>4</v>
      </c>
      <c r="E2" s="34">
        <v>45359</v>
      </c>
      <c r="F2" s="31">
        <f>21737+326</f>
        <v>22063</v>
      </c>
      <c r="G2" s="9"/>
      <c r="H2" s="9"/>
      <c r="I2" s="9"/>
    </row>
    <row r="3" spans="1:14" ht="15.75" customHeight="1" x14ac:dyDescent="0.3">
      <c r="A3" s="1"/>
      <c r="B3" s="45" t="s">
        <v>21</v>
      </c>
      <c r="C3" s="28" t="s">
        <v>22</v>
      </c>
      <c r="D3" s="29" t="s">
        <v>23</v>
      </c>
      <c r="E3" s="34">
        <v>45364</v>
      </c>
      <c r="F3" s="31">
        <f>(74522+56320)*$M$1</f>
        <v>28131.03</v>
      </c>
      <c r="G3" s="9"/>
      <c r="H3" s="9"/>
      <c r="I3" s="9"/>
    </row>
    <row r="4" spans="1:14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4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4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4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4" ht="15.75" customHeight="1" x14ac:dyDescent="0.25">
      <c r="A8" s="1"/>
      <c r="B8" s="100" t="s">
        <v>8</v>
      </c>
      <c r="C8" s="101"/>
      <c r="D8" s="102"/>
      <c r="E8" s="2"/>
      <c r="F8" s="2"/>
      <c r="G8" s="2"/>
      <c r="H8" s="2"/>
      <c r="I8" s="2"/>
    </row>
    <row r="9" spans="1:14" ht="13.5" x14ac:dyDescent="0.25">
      <c r="A9" s="1"/>
      <c r="B9" s="26" t="s">
        <v>17</v>
      </c>
      <c r="C9" s="26" t="s">
        <v>146</v>
      </c>
      <c r="D9" s="19">
        <v>72274</v>
      </c>
      <c r="E9" s="2"/>
      <c r="F9" s="2"/>
      <c r="G9" s="2"/>
      <c r="H9" s="2"/>
      <c r="I9" s="2"/>
    </row>
    <row r="10" spans="1:14" ht="13.5" x14ac:dyDescent="0.25">
      <c r="A10" s="1"/>
      <c r="B10" s="26" t="s">
        <v>147</v>
      </c>
      <c r="C10" s="26" t="s">
        <v>146</v>
      </c>
      <c r="D10" s="27">
        <v>1500</v>
      </c>
      <c r="E10" s="2"/>
      <c r="F10" s="2"/>
      <c r="G10" s="2"/>
      <c r="H10" s="2"/>
      <c r="I10" s="2"/>
    </row>
    <row r="11" spans="1:14" ht="13.5" x14ac:dyDescent="0.25">
      <c r="A11" s="1"/>
      <c r="B11" s="26" t="s">
        <v>35</v>
      </c>
      <c r="C11" s="26"/>
      <c r="D11" s="19">
        <v>2584</v>
      </c>
      <c r="E11" s="2"/>
      <c r="F11" s="2"/>
      <c r="G11" s="2"/>
      <c r="H11" s="2"/>
      <c r="I11" s="2"/>
    </row>
    <row r="12" spans="1:14" ht="13.5" x14ac:dyDescent="0.25">
      <c r="A12" s="1"/>
      <c r="B12" s="47" t="s">
        <v>32</v>
      </c>
      <c r="C12" s="26" t="s">
        <v>31</v>
      </c>
      <c r="D12" s="27">
        <f>15798+237</f>
        <v>16035</v>
      </c>
      <c r="E12" s="2"/>
      <c r="F12" s="2"/>
      <c r="G12" s="2"/>
      <c r="H12" s="2"/>
      <c r="I12" s="2"/>
    </row>
    <row r="13" spans="1:14" ht="13.5" x14ac:dyDescent="0.25">
      <c r="A13" s="37"/>
      <c r="B13" s="48" t="s">
        <v>37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4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4" ht="15.75" customHeight="1" x14ac:dyDescent="0.3">
      <c r="A15" s="1"/>
      <c r="B15" s="107" t="s">
        <v>33</v>
      </c>
      <c r="C15" s="108"/>
      <c r="D15" s="109"/>
      <c r="E15" s="2"/>
      <c r="F15" s="2"/>
      <c r="G15" s="2"/>
      <c r="H15" s="2"/>
      <c r="I15" s="2"/>
    </row>
    <row r="16" spans="1:14" ht="13.5" x14ac:dyDescent="0.25">
      <c r="A16" s="37"/>
      <c r="B16" s="65" t="s">
        <v>91</v>
      </c>
      <c r="C16" s="65"/>
      <c r="D16" s="66">
        <f>-12000</f>
        <v>-12000</v>
      </c>
      <c r="E16" s="2"/>
      <c r="F16" s="2"/>
      <c r="G16" s="2"/>
      <c r="H16" s="2"/>
      <c r="I16" s="2"/>
    </row>
    <row r="17" spans="1:9" ht="13.5" x14ac:dyDescent="0.25">
      <c r="A17" s="2"/>
      <c r="B17" s="65" t="s">
        <v>92</v>
      </c>
      <c r="C17" s="65"/>
      <c r="D17" s="66">
        <f>-2600*$N$1</f>
        <v>-11388</v>
      </c>
      <c r="E17" s="2"/>
      <c r="F17" s="2"/>
      <c r="G17" s="2"/>
      <c r="H17" s="2"/>
      <c r="I17" s="2"/>
    </row>
    <row r="18" spans="1:9" ht="13.5" x14ac:dyDescent="0.25">
      <c r="A18" s="2"/>
      <c r="B18" s="65" t="s">
        <v>34</v>
      </c>
      <c r="C18" s="65"/>
      <c r="D18" s="66">
        <f>-25000-8000</f>
        <v>-33000</v>
      </c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103" t="s">
        <v>11</v>
      </c>
      <c r="C34" s="104"/>
      <c r="D34" s="105"/>
      <c r="E34" s="41" t="s">
        <v>12</v>
      </c>
      <c r="F34" s="41" t="s">
        <v>13</v>
      </c>
      <c r="G34" s="41" t="s">
        <v>14</v>
      </c>
      <c r="H34" s="41" t="s">
        <v>15</v>
      </c>
      <c r="I34" s="42" t="s">
        <v>16</v>
      </c>
    </row>
    <row r="35" spans="1:9" ht="18.75" x14ac:dyDescent="0.3">
      <c r="A35" s="1"/>
      <c r="B35" s="90" t="s">
        <v>128</v>
      </c>
      <c r="C35" s="20"/>
      <c r="D35" s="21">
        <f>SUM(F70:F294)</f>
        <v>33671</v>
      </c>
      <c r="E35" s="23"/>
      <c r="F35" s="23"/>
      <c r="G35" s="23"/>
      <c r="H35" s="23"/>
      <c r="I35" s="23"/>
    </row>
    <row r="36" spans="1:9" ht="18.75" x14ac:dyDescent="0.3">
      <c r="A36" s="1"/>
      <c r="B36" s="90" t="s">
        <v>109</v>
      </c>
      <c r="C36" s="20"/>
      <c r="D36" s="21">
        <v>10105</v>
      </c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106" t="s">
        <v>7</v>
      </c>
      <c r="C50" s="101"/>
      <c r="D50" s="101"/>
      <c r="E50" s="101"/>
      <c r="F50" s="102"/>
      <c r="G50" s="2"/>
      <c r="H50" s="2"/>
      <c r="I50" s="2"/>
    </row>
    <row r="51" spans="1:9" ht="15.75" customHeight="1" x14ac:dyDescent="0.25">
      <c r="A51" s="1"/>
      <c r="B51" s="43" t="s">
        <v>24</v>
      </c>
      <c r="C51" s="5" t="s">
        <v>20</v>
      </c>
      <c r="D51" s="10" t="s">
        <v>25</v>
      </c>
      <c r="E51" s="8"/>
      <c r="F51" s="8">
        <f>59621*$M$1</f>
        <v>12818.514999999999</v>
      </c>
      <c r="G51" s="9"/>
      <c r="H51" s="9"/>
      <c r="I51" s="9"/>
    </row>
    <row r="52" spans="1:9" ht="15.75" customHeight="1" x14ac:dyDescent="0.25">
      <c r="A52" s="1"/>
      <c r="B52" s="43" t="s">
        <v>26</v>
      </c>
      <c r="C52" s="5" t="s">
        <v>20</v>
      </c>
      <c r="D52" s="10" t="s">
        <v>4</v>
      </c>
      <c r="E52" s="7"/>
      <c r="F52" s="8">
        <f>69835*$M$1-1218</f>
        <v>13796.525</v>
      </c>
      <c r="G52" s="9"/>
      <c r="H52" s="9"/>
      <c r="I52" s="9"/>
    </row>
    <row r="53" spans="1:9" ht="15.75" customHeight="1" x14ac:dyDescent="0.25">
      <c r="A53" s="1"/>
      <c r="B53" s="44" t="s">
        <v>27</v>
      </c>
      <c r="C53" s="5" t="s">
        <v>20</v>
      </c>
      <c r="D53" s="10" t="s">
        <v>25</v>
      </c>
      <c r="E53" s="7"/>
      <c r="F53" s="8">
        <f>167400*$M$1</f>
        <v>35991</v>
      </c>
      <c r="G53" s="9"/>
      <c r="H53" s="9"/>
      <c r="I53" s="9"/>
    </row>
    <row r="54" spans="1:9" ht="15.75" customHeight="1" x14ac:dyDescent="0.25">
      <c r="A54" s="1"/>
      <c r="B54" s="44" t="s">
        <v>28</v>
      </c>
      <c r="C54" s="5" t="s">
        <v>22</v>
      </c>
      <c r="D54" s="10" t="s">
        <v>25</v>
      </c>
      <c r="E54" s="7"/>
      <c r="F54" s="8">
        <f>125100*$M$1</f>
        <v>26896.5</v>
      </c>
      <c r="G54" s="9"/>
      <c r="H54" s="9"/>
      <c r="I54" s="9"/>
    </row>
    <row r="55" spans="1:9" ht="15.75" customHeight="1" x14ac:dyDescent="0.25">
      <c r="A55" s="1"/>
      <c r="B55" s="43" t="s">
        <v>29</v>
      </c>
      <c r="C55" s="5" t="s">
        <v>20</v>
      </c>
      <c r="D55" s="10" t="s">
        <v>4</v>
      </c>
      <c r="E55" s="7"/>
      <c r="F55" s="8">
        <f>102600*$M$1-1972</f>
        <v>20087</v>
      </c>
      <c r="G55" s="9"/>
      <c r="H55" s="9"/>
      <c r="I55" s="9"/>
    </row>
    <row r="56" spans="1:9" ht="15.75" customHeight="1" x14ac:dyDescent="0.25">
      <c r="A56" s="1"/>
      <c r="B56" s="43" t="s">
        <v>19</v>
      </c>
      <c r="C56" s="5" t="s">
        <v>20</v>
      </c>
      <c r="D56" s="10" t="s">
        <v>4</v>
      </c>
      <c r="E56" s="7"/>
      <c r="F56" s="8">
        <f>120000*$M$1-2040</f>
        <v>23760</v>
      </c>
      <c r="G56" s="9"/>
      <c r="H56" s="9"/>
      <c r="I56" s="9"/>
    </row>
    <row r="57" spans="1:9" ht="15.75" customHeight="1" x14ac:dyDescent="0.25">
      <c r="A57" s="1"/>
      <c r="B57" s="43" t="s">
        <v>30</v>
      </c>
      <c r="C57" s="5" t="s">
        <v>22</v>
      </c>
      <c r="D57" s="10" t="s">
        <v>4</v>
      </c>
      <c r="E57" s="7"/>
      <c r="F57" s="8">
        <f>95247*$M$1-1632</f>
        <v>18846.105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33.75" thickBot="1" x14ac:dyDescent="0.3">
      <c r="A70" s="2"/>
      <c r="B70" s="86" t="s">
        <v>93</v>
      </c>
      <c r="C70" s="87">
        <v>45368</v>
      </c>
      <c r="D70" s="88">
        <v>0.24651620370370372</v>
      </c>
      <c r="E70" s="86" t="s">
        <v>94</v>
      </c>
      <c r="F70" s="86">
        <v>801</v>
      </c>
      <c r="G70" s="86" t="s">
        <v>95</v>
      </c>
      <c r="H70" s="86" t="s">
        <v>96</v>
      </c>
      <c r="I70" s="91" t="s">
        <v>111</v>
      </c>
    </row>
    <row r="71" spans="1:9" ht="33.75" thickBot="1" x14ac:dyDescent="0.3">
      <c r="A71" s="2"/>
      <c r="B71" s="86" t="s">
        <v>93</v>
      </c>
      <c r="C71" s="87">
        <v>45367</v>
      </c>
      <c r="D71" s="88">
        <v>0.724675925925926</v>
      </c>
      <c r="E71" s="86" t="s">
        <v>97</v>
      </c>
      <c r="F71" s="89">
        <v>1037</v>
      </c>
      <c r="G71" s="86" t="s">
        <v>95</v>
      </c>
      <c r="H71" s="86" t="s">
        <v>96</v>
      </c>
      <c r="I71" s="91" t="s">
        <v>116</v>
      </c>
    </row>
    <row r="72" spans="1:9" ht="50.25" thickBot="1" x14ac:dyDescent="0.25">
      <c r="A72" s="2"/>
      <c r="B72" s="86" t="s">
        <v>93</v>
      </c>
      <c r="C72" s="87">
        <v>45367</v>
      </c>
      <c r="D72" s="88">
        <v>0.71144675925925915</v>
      </c>
      <c r="E72" s="86" t="s">
        <v>98</v>
      </c>
      <c r="F72" s="89">
        <v>3347</v>
      </c>
      <c r="G72" s="86" t="s">
        <v>95</v>
      </c>
      <c r="H72" s="86" t="s">
        <v>96</v>
      </c>
      <c r="I72" s="2" t="s">
        <v>110</v>
      </c>
    </row>
    <row r="73" spans="1:9" ht="33.75" thickBot="1" x14ac:dyDescent="0.3">
      <c r="A73" s="2"/>
      <c r="B73" s="86" t="s">
        <v>93</v>
      </c>
      <c r="C73" s="87">
        <v>45367</v>
      </c>
      <c r="D73" s="88">
        <v>0.62497685185185181</v>
      </c>
      <c r="E73" s="86" t="s">
        <v>99</v>
      </c>
      <c r="F73" s="86">
        <v>750</v>
      </c>
      <c r="G73" s="86" t="s">
        <v>95</v>
      </c>
      <c r="H73" s="86" t="s">
        <v>96</v>
      </c>
      <c r="I73" s="91" t="s">
        <v>112</v>
      </c>
    </row>
    <row r="74" spans="1:9" ht="33.75" thickBot="1" x14ac:dyDescent="0.3">
      <c r="A74" s="2"/>
      <c r="B74" s="86" t="s">
        <v>93</v>
      </c>
      <c r="C74" s="87">
        <v>45367</v>
      </c>
      <c r="D74" s="88">
        <v>0.59219907407407402</v>
      </c>
      <c r="E74" s="86" t="s">
        <v>100</v>
      </c>
      <c r="F74" s="89">
        <v>1146</v>
      </c>
      <c r="G74" s="86" t="s">
        <v>95</v>
      </c>
      <c r="H74" s="86" t="s">
        <v>96</v>
      </c>
      <c r="I74" s="91" t="s">
        <v>114</v>
      </c>
    </row>
    <row r="75" spans="1:9" ht="33.75" thickBot="1" x14ac:dyDescent="0.3">
      <c r="A75" s="2"/>
      <c r="B75" s="86" t="s">
        <v>93</v>
      </c>
      <c r="C75" s="87">
        <v>45367</v>
      </c>
      <c r="D75" s="88">
        <v>0.57217592592592592</v>
      </c>
      <c r="E75" s="86" t="s">
        <v>100</v>
      </c>
      <c r="F75" s="89">
        <v>1279</v>
      </c>
      <c r="G75" s="86" t="s">
        <v>95</v>
      </c>
      <c r="H75" s="86" t="s">
        <v>96</v>
      </c>
      <c r="I75" s="91" t="s">
        <v>113</v>
      </c>
    </row>
    <row r="76" spans="1:9" ht="50.25" thickBot="1" x14ac:dyDescent="0.3">
      <c r="A76" s="2"/>
      <c r="B76" s="86" t="s">
        <v>93</v>
      </c>
      <c r="C76" s="87">
        <v>45367</v>
      </c>
      <c r="D76" s="88">
        <v>0.42020833333333335</v>
      </c>
      <c r="E76" s="86" t="s">
        <v>101</v>
      </c>
      <c r="F76" s="89">
        <v>9491</v>
      </c>
      <c r="G76" s="86" t="s">
        <v>95</v>
      </c>
      <c r="H76" s="86" t="s">
        <v>96</v>
      </c>
      <c r="I76" s="91" t="s">
        <v>115</v>
      </c>
    </row>
    <row r="77" spans="1:9" ht="33.75" thickBot="1" x14ac:dyDescent="0.3">
      <c r="A77" s="2"/>
      <c r="B77" s="86" t="s">
        <v>93</v>
      </c>
      <c r="C77" s="87">
        <v>45366</v>
      </c>
      <c r="D77" s="88">
        <v>0.75775462962962958</v>
      </c>
      <c r="E77" s="86" t="s">
        <v>97</v>
      </c>
      <c r="F77" s="86">
        <v>485</v>
      </c>
      <c r="G77" s="86" t="s">
        <v>95</v>
      </c>
      <c r="H77" s="86" t="s">
        <v>96</v>
      </c>
      <c r="I77" s="91" t="s">
        <v>117</v>
      </c>
    </row>
    <row r="78" spans="1:9" ht="50.25" thickBot="1" x14ac:dyDescent="0.3">
      <c r="A78" s="2"/>
      <c r="B78" s="86" t="s">
        <v>93</v>
      </c>
      <c r="C78" s="87">
        <v>45366</v>
      </c>
      <c r="D78" s="88">
        <v>0.75187500000000007</v>
      </c>
      <c r="E78" s="86" t="s">
        <v>98</v>
      </c>
      <c r="F78" s="86">
        <v>354</v>
      </c>
      <c r="G78" s="86" t="s">
        <v>95</v>
      </c>
      <c r="H78" s="86" t="s">
        <v>96</v>
      </c>
      <c r="I78" s="91" t="s">
        <v>118</v>
      </c>
    </row>
    <row r="79" spans="1:9" ht="50.25" thickBot="1" x14ac:dyDescent="0.3">
      <c r="A79" s="2"/>
      <c r="B79" s="86" t="s">
        <v>93</v>
      </c>
      <c r="C79" s="87">
        <v>45366</v>
      </c>
      <c r="D79" s="88">
        <v>0.74395833333333339</v>
      </c>
      <c r="E79" s="86" t="s">
        <v>98</v>
      </c>
      <c r="F79" s="86">
        <v>322</v>
      </c>
      <c r="G79" s="86" t="s">
        <v>95</v>
      </c>
      <c r="H79" s="86" t="s">
        <v>96</v>
      </c>
      <c r="I79" s="91" t="s">
        <v>118</v>
      </c>
    </row>
    <row r="80" spans="1:9" ht="50.25" thickBot="1" x14ac:dyDescent="0.3">
      <c r="A80" s="2"/>
      <c r="B80" s="86" t="s">
        <v>93</v>
      </c>
      <c r="C80" s="87">
        <v>45366</v>
      </c>
      <c r="D80" s="88">
        <v>0.74151620370370364</v>
      </c>
      <c r="E80" s="86" t="s">
        <v>98</v>
      </c>
      <c r="F80" s="86">
        <v>444</v>
      </c>
      <c r="G80" s="86" t="s">
        <v>95</v>
      </c>
      <c r="H80" s="86" t="s">
        <v>96</v>
      </c>
      <c r="I80" s="91" t="s">
        <v>118</v>
      </c>
    </row>
    <row r="81" spans="1:9" ht="33.75" thickBot="1" x14ac:dyDescent="0.3">
      <c r="A81" s="2"/>
      <c r="B81" s="86" t="s">
        <v>93</v>
      </c>
      <c r="C81" s="87">
        <v>45366</v>
      </c>
      <c r="D81" s="88">
        <v>0.65317129629629633</v>
      </c>
      <c r="E81" s="86" t="s">
        <v>102</v>
      </c>
      <c r="F81" s="86">
        <v>300</v>
      </c>
      <c r="G81" s="86" t="s">
        <v>95</v>
      </c>
      <c r="H81" s="86" t="s">
        <v>96</v>
      </c>
      <c r="I81" s="91" t="s">
        <v>119</v>
      </c>
    </row>
    <row r="82" spans="1:9" ht="17.25" thickBot="1" x14ac:dyDescent="0.25">
      <c r="A82" s="2"/>
      <c r="B82" s="86" t="s">
        <v>93</v>
      </c>
      <c r="C82" s="87">
        <v>45366</v>
      </c>
      <c r="D82" s="88">
        <v>0.46333333333333332</v>
      </c>
      <c r="E82" s="86" t="s">
        <v>103</v>
      </c>
      <c r="F82" s="89">
        <v>1738</v>
      </c>
      <c r="G82" s="86" t="s">
        <v>95</v>
      </c>
      <c r="H82" s="86" t="s">
        <v>96</v>
      </c>
      <c r="I82" s="2"/>
    </row>
    <row r="83" spans="1:9" ht="33.75" thickBot="1" x14ac:dyDescent="0.3">
      <c r="A83" s="2"/>
      <c r="B83" s="86" t="s">
        <v>93</v>
      </c>
      <c r="C83" s="87">
        <v>45366</v>
      </c>
      <c r="D83" s="88">
        <v>0.43843750000000004</v>
      </c>
      <c r="E83" s="86" t="s">
        <v>102</v>
      </c>
      <c r="F83" s="86">
        <v>693</v>
      </c>
      <c r="G83" s="86" t="s">
        <v>95</v>
      </c>
      <c r="H83" s="86" t="s">
        <v>96</v>
      </c>
      <c r="I83" s="91" t="s">
        <v>119</v>
      </c>
    </row>
    <row r="84" spans="1:9" ht="17.25" thickBot="1" x14ac:dyDescent="0.3">
      <c r="A84" s="2"/>
      <c r="B84" s="86" t="s">
        <v>93</v>
      </c>
      <c r="C84" s="87">
        <v>45365</v>
      </c>
      <c r="D84" s="88">
        <v>0.71675925925925921</v>
      </c>
      <c r="E84" s="86" t="s">
        <v>104</v>
      </c>
      <c r="F84" s="89">
        <v>1153</v>
      </c>
      <c r="G84" s="86" t="s">
        <v>95</v>
      </c>
      <c r="H84" s="86" t="s">
        <v>96</v>
      </c>
      <c r="I84" s="91" t="s">
        <v>127</v>
      </c>
    </row>
    <row r="85" spans="1:9" ht="33.75" thickBot="1" x14ac:dyDescent="0.3">
      <c r="A85" s="2"/>
      <c r="B85" s="86" t="s">
        <v>93</v>
      </c>
      <c r="C85" s="87">
        <v>45365</v>
      </c>
      <c r="D85" s="88">
        <v>0.66545138888888888</v>
      </c>
      <c r="E85" s="86" t="s">
        <v>105</v>
      </c>
      <c r="F85" s="89">
        <v>1114</v>
      </c>
      <c r="G85" s="86" t="s">
        <v>95</v>
      </c>
      <c r="H85" s="86" t="s">
        <v>96</v>
      </c>
      <c r="I85" s="91" t="s">
        <v>124</v>
      </c>
    </row>
    <row r="86" spans="1:9" ht="33.75" thickBot="1" x14ac:dyDescent="0.3">
      <c r="A86" s="2"/>
      <c r="B86" s="86" t="s">
        <v>93</v>
      </c>
      <c r="C86" s="87">
        <v>45365</v>
      </c>
      <c r="D86" s="88">
        <v>0.65616898148148151</v>
      </c>
      <c r="E86" s="86" t="s">
        <v>125</v>
      </c>
      <c r="F86" s="86">
        <f>386+6</f>
        <v>392</v>
      </c>
      <c r="G86" s="86" t="s">
        <v>95</v>
      </c>
      <c r="H86" s="86" t="s">
        <v>96</v>
      </c>
      <c r="I86" s="91" t="s">
        <v>126</v>
      </c>
    </row>
    <row r="87" spans="1:9" ht="50.25" thickBot="1" x14ac:dyDescent="0.3">
      <c r="A87" s="2"/>
      <c r="B87" s="86" t="s">
        <v>93</v>
      </c>
      <c r="C87" s="87">
        <v>45365</v>
      </c>
      <c r="D87" s="88">
        <v>0.50452546296296297</v>
      </c>
      <c r="E87" s="86" t="s">
        <v>106</v>
      </c>
      <c r="F87" s="86">
        <v>977</v>
      </c>
      <c r="G87" s="86" t="s">
        <v>95</v>
      </c>
      <c r="H87" s="86" t="s">
        <v>96</v>
      </c>
      <c r="I87" s="91" t="s">
        <v>121</v>
      </c>
    </row>
    <row r="88" spans="1:9" ht="50.25" thickBot="1" x14ac:dyDescent="0.3">
      <c r="A88" s="2"/>
      <c r="B88" s="86" t="s">
        <v>93</v>
      </c>
      <c r="C88" s="87">
        <v>45365</v>
      </c>
      <c r="D88" s="88">
        <v>0.34436342592592589</v>
      </c>
      <c r="E88" s="86" t="s">
        <v>106</v>
      </c>
      <c r="F88" s="89">
        <v>3899</v>
      </c>
      <c r="G88" s="86" t="s">
        <v>95</v>
      </c>
      <c r="H88" s="86" t="s">
        <v>96</v>
      </c>
      <c r="I88" s="91" t="s">
        <v>120</v>
      </c>
    </row>
    <row r="89" spans="1:9" ht="17.25" thickBot="1" x14ac:dyDescent="0.3">
      <c r="A89" s="2"/>
      <c r="B89" s="86" t="s">
        <v>93</v>
      </c>
      <c r="C89" s="87">
        <v>45364</v>
      </c>
      <c r="D89" s="88">
        <v>0.56773148148148145</v>
      </c>
      <c r="E89" s="86" t="s">
        <v>107</v>
      </c>
      <c r="F89" s="89">
        <f>1037+15</f>
        <v>1052</v>
      </c>
      <c r="G89" s="86" t="s">
        <v>95</v>
      </c>
      <c r="H89" s="86" t="s">
        <v>96</v>
      </c>
      <c r="I89" s="91" t="s">
        <v>122</v>
      </c>
    </row>
    <row r="90" spans="1:9" ht="33.75" thickBot="1" x14ac:dyDescent="0.3">
      <c r="A90" s="2"/>
      <c r="B90" s="86" t="s">
        <v>93</v>
      </c>
      <c r="C90" s="87">
        <v>45364</v>
      </c>
      <c r="D90" s="88">
        <v>0.51672453703703702</v>
      </c>
      <c r="E90" s="86" t="s">
        <v>108</v>
      </c>
      <c r="F90" s="86">
        <v>776</v>
      </c>
      <c r="G90" s="86" t="s">
        <v>95</v>
      </c>
      <c r="H90" s="86" t="s">
        <v>96</v>
      </c>
      <c r="I90" s="91" t="s">
        <v>123</v>
      </c>
    </row>
    <row r="91" spans="1:9" ht="18" thickBot="1" x14ac:dyDescent="0.3">
      <c r="A91" s="2"/>
      <c r="B91" s="86" t="s">
        <v>129</v>
      </c>
      <c r="C91" s="87">
        <v>45366</v>
      </c>
      <c r="D91" s="88">
        <v>0.40208333333333335</v>
      </c>
      <c r="E91" s="92" t="s">
        <v>130</v>
      </c>
      <c r="F91" s="86">
        <v>428</v>
      </c>
      <c r="G91" s="86"/>
      <c r="H91" s="86"/>
      <c r="I91" s="91"/>
    </row>
    <row r="92" spans="1:9" ht="35.25" thickBot="1" x14ac:dyDescent="0.3">
      <c r="A92" s="2"/>
      <c r="B92" s="86" t="s">
        <v>129</v>
      </c>
      <c r="C92" s="87">
        <v>45365</v>
      </c>
      <c r="D92" s="88">
        <v>0.64444444444444449</v>
      </c>
      <c r="E92" s="92" t="s">
        <v>134</v>
      </c>
      <c r="F92" s="86">
        <v>199</v>
      </c>
      <c r="G92" s="86"/>
      <c r="H92" s="86"/>
      <c r="I92" s="91"/>
    </row>
    <row r="93" spans="1:9" ht="52.5" thickBot="1" x14ac:dyDescent="0.3">
      <c r="A93" s="2"/>
      <c r="B93" s="86" t="s">
        <v>129</v>
      </c>
      <c r="C93" s="87">
        <v>45365</v>
      </c>
      <c r="D93" s="88">
        <v>0.64027777777777783</v>
      </c>
      <c r="E93" s="92" t="s">
        <v>132</v>
      </c>
      <c r="F93" s="86">
        <v>873</v>
      </c>
      <c r="G93" s="86"/>
      <c r="H93" s="86"/>
      <c r="I93" s="91"/>
    </row>
    <row r="94" spans="1:9" ht="69.75" thickBot="1" x14ac:dyDescent="0.3">
      <c r="A94" s="2"/>
      <c r="B94" s="86" t="s">
        <v>129</v>
      </c>
      <c r="C94" s="87">
        <v>45365</v>
      </c>
      <c r="D94" s="88">
        <v>0.63541666666666663</v>
      </c>
      <c r="E94" s="92" t="s">
        <v>133</v>
      </c>
      <c r="F94" s="86">
        <v>194</v>
      </c>
      <c r="G94" s="86"/>
      <c r="H94" s="86"/>
      <c r="I94" s="91"/>
    </row>
    <row r="95" spans="1:9" ht="52.5" thickBot="1" x14ac:dyDescent="0.3">
      <c r="A95" s="2"/>
      <c r="B95" s="86" t="s">
        <v>129</v>
      </c>
      <c r="C95" s="87">
        <v>45365</v>
      </c>
      <c r="D95" s="88">
        <v>0.63055555555555554</v>
      </c>
      <c r="E95" s="92" t="s">
        <v>131</v>
      </c>
      <c r="F95" s="86">
        <v>427</v>
      </c>
      <c r="G95" s="86"/>
      <c r="H95" s="86"/>
      <c r="I95" s="91"/>
    </row>
    <row r="96" spans="1:9" ht="17.25" thickBot="1" x14ac:dyDescent="0.3">
      <c r="A96" s="2"/>
      <c r="B96" s="86"/>
      <c r="C96" s="87"/>
      <c r="D96" s="88"/>
      <c r="E96" s="86"/>
      <c r="F96" s="86"/>
      <c r="G96" s="86"/>
      <c r="H96" s="86"/>
      <c r="I96" s="91"/>
    </row>
    <row r="97" spans="1:9" ht="17.25" thickBot="1" x14ac:dyDescent="0.3">
      <c r="A97" s="2"/>
      <c r="B97" s="86"/>
      <c r="C97" s="87"/>
      <c r="D97" s="88"/>
      <c r="E97" s="86"/>
      <c r="F97" s="86"/>
      <c r="G97" s="86"/>
      <c r="H97" s="86"/>
      <c r="I97" s="91"/>
    </row>
    <row r="98" spans="1:9" ht="17.25" thickBot="1" x14ac:dyDescent="0.3">
      <c r="A98" s="2"/>
      <c r="B98" s="86"/>
      <c r="C98" s="87"/>
      <c r="D98" s="88"/>
      <c r="E98" s="86"/>
      <c r="F98" s="86"/>
      <c r="G98" s="86"/>
      <c r="H98" s="86"/>
      <c r="I98" s="91"/>
    </row>
    <row r="99" spans="1:9" ht="17.25" thickBot="1" x14ac:dyDescent="0.3">
      <c r="A99" s="2"/>
      <c r="B99" s="86"/>
      <c r="C99" s="87"/>
      <c r="D99" s="88"/>
      <c r="E99" s="86"/>
      <c r="F99" s="86"/>
      <c r="G99" s="86"/>
      <c r="H99" s="86"/>
      <c r="I99" s="91"/>
    </row>
    <row r="100" spans="1:9" ht="17.25" thickBot="1" x14ac:dyDescent="0.3">
      <c r="A100" s="2"/>
      <c r="B100" s="86"/>
      <c r="C100" s="87"/>
      <c r="D100" s="88"/>
      <c r="E100" s="86"/>
      <c r="F100" s="86"/>
      <c r="G100" s="86"/>
      <c r="H100" s="86"/>
      <c r="I100" s="91"/>
    </row>
    <row r="101" spans="1:9" ht="17.25" thickBot="1" x14ac:dyDescent="0.3">
      <c r="A101" s="2"/>
      <c r="B101" s="86"/>
      <c r="C101" s="87"/>
      <c r="D101" s="88"/>
      <c r="E101" s="86"/>
      <c r="F101" s="86"/>
      <c r="G101" s="86"/>
      <c r="H101" s="86"/>
      <c r="I101" s="91"/>
    </row>
    <row r="102" spans="1:9" ht="17.25" thickBot="1" x14ac:dyDescent="0.3">
      <c r="A102" s="2"/>
      <c r="B102" s="86"/>
      <c r="C102" s="87"/>
      <c r="D102" s="88"/>
      <c r="E102" s="86"/>
      <c r="F102" s="86"/>
      <c r="G102" s="86"/>
      <c r="H102" s="86"/>
      <c r="I102" s="91"/>
    </row>
    <row r="103" spans="1:9" ht="17.25" thickBot="1" x14ac:dyDescent="0.3">
      <c r="A103" s="2"/>
      <c r="B103" s="86"/>
      <c r="C103" s="87"/>
      <c r="D103" s="88"/>
      <c r="E103" s="86"/>
      <c r="F103" s="86"/>
      <c r="G103" s="86"/>
      <c r="H103" s="86"/>
      <c r="I103" s="91"/>
    </row>
    <row r="104" spans="1:9" ht="17.25" thickBot="1" x14ac:dyDescent="0.3">
      <c r="A104" s="2"/>
      <c r="B104" s="86"/>
      <c r="C104" s="87"/>
      <c r="D104" s="88"/>
      <c r="E104" s="86"/>
      <c r="F104" s="86"/>
      <c r="G104" s="86"/>
      <c r="H104" s="86"/>
      <c r="I104" s="91"/>
    </row>
    <row r="105" spans="1:9" ht="17.25" thickBot="1" x14ac:dyDescent="0.3">
      <c r="A105" s="2"/>
      <c r="B105" s="86"/>
      <c r="C105" s="87"/>
      <c r="D105" s="88"/>
      <c r="E105" s="86"/>
      <c r="F105" s="86"/>
      <c r="G105" s="86"/>
      <c r="H105" s="86"/>
      <c r="I105" s="91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tabColor theme="7" tint="0.79998168889431442"/>
    <outlinePr summaryBelow="0" summaryRight="0"/>
  </sheetPr>
  <dimension ref="A1:J1014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97" t="s">
        <v>0</v>
      </c>
      <c r="C1" s="98"/>
      <c r="D1" s="98"/>
      <c r="E1" s="98"/>
      <c r="F1" s="99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117" t="s">
        <v>8</v>
      </c>
      <c r="C8" s="118"/>
      <c r="D8" s="119"/>
      <c r="E8" s="2"/>
      <c r="F8" s="2"/>
      <c r="G8" s="2"/>
      <c r="H8" s="2"/>
      <c r="I8" s="2"/>
    </row>
    <row r="9" spans="1:10" ht="13.5" x14ac:dyDescent="0.25">
      <c r="A9" s="37"/>
      <c r="B9" s="38" t="s">
        <v>65</v>
      </c>
      <c r="C9" s="39" t="s">
        <v>64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66</v>
      </c>
      <c r="C10" s="39" t="s">
        <v>63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67</v>
      </c>
      <c r="C11" s="36" t="s">
        <v>18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61</v>
      </c>
      <c r="C12" s="39" t="s">
        <v>62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75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103" t="s">
        <v>11</v>
      </c>
      <c r="C53" s="104"/>
      <c r="D53" s="105"/>
      <c r="E53" s="41" t="s">
        <v>12</v>
      </c>
      <c r="F53" s="41" t="s">
        <v>13</v>
      </c>
      <c r="G53" s="41" t="s">
        <v>14</v>
      </c>
      <c r="H53" s="41" t="s">
        <v>15</v>
      </c>
      <c r="I53" s="42" t="s">
        <v>16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106" t="s">
        <v>7</v>
      </c>
      <c r="C69" s="101"/>
      <c r="D69" s="101"/>
      <c r="E69" s="101"/>
      <c r="F69" s="102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7" tint="0.79998168889431442"/>
    <outlinePr summaryBelow="0" summaryRight="0"/>
  </sheetPr>
  <dimension ref="A1:J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97" t="s">
        <v>0</v>
      </c>
      <c r="C1" s="98"/>
      <c r="D1" s="98"/>
      <c r="E1" s="98"/>
      <c r="F1" s="99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15" t="s">
        <v>8</v>
      </c>
      <c r="C8" s="116"/>
      <c r="D8" s="116"/>
      <c r="E8" s="2"/>
      <c r="F8" s="2"/>
      <c r="G8" s="2"/>
      <c r="H8" s="2"/>
      <c r="I8" s="2"/>
    </row>
    <row r="9" spans="1:10" ht="13.5" x14ac:dyDescent="0.25">
      <c r="A9" s="37"/>
      <c r="B9" s="38" t="s">
        <v>69</v>
      </c>
      <c r="C9" s="39" t="s">
        <v>18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76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74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103" t="s">
        <v>11</v>
      </c>
      <c r="C52" s="104"/>
      <c r="D52" s="105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6" t="s">
        <v>7</v>
      </c>
      <c r="C68" s="101"/>
      <c r="D68" s="101"/>
      <c r="E68" s="101"/>
      <c r="F68" s="102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東京_20240524_20240527_東京外站</vt:lpstr>
      <vt:lpstr>釜山_20240627_20240630</vt:lpstr>
      <vt:lpstr>布里斯本_20241010_20241019</vt:lpstr>
      <vt:lpstr>美西_20250123_20250131_東京外站</vt:lpstr>
      <vt:lpstr>沖繩_20250314_20250318_東京外站</vt:lpstr>
      <vt:lpstr>熊本_20240313_20240317</vt:lpstr>
      <vt:lpstr>新加坡峇里島_20250124_20250129</vt:lpstr>
      <vt:lpstr>沖繩_20250312_20250316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胡修銘</cp:lastModifiedBy>
  <cp:lastPrinted>2024-02-27T23:57:45Z</cp:lastPrinted>
  <dcterms:modified xsi:type="dcterms:W3CDTF">2024-03-20T06:47:51Z</dcterms:modified>
</cp:coreProperties>
</file>