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SPECIALIZZAZIONE\Sonnolenza Residua\"/>
    </mc:Choice>
  </mc:AlternateContent>
  <xr:revisionPtr revIDLastSave="0" documentId="13_ncr:1_{C24C56FB-FBCB-44A9-95FF-2BD178C802CF}" xr6:coauthVersionLast="36" xr6:coauthVersionMax="47" xr10:uidLastSave="{00000000-0000-0000-0000-000000000000}"/>
  <bookViews>
    <workbookView xWindow="-105" yWindow="-105" windowWidth="23250" windowHeight="12450" activeTab="2" xr2:uid="{A165AA02-138D-4C93-B3CE-BFC2275008C4}"/>
  </bookViews>
  <sheets>
    <sheet name="PRIMA VISITA" sheetId="1" r:id="rId1"/>
    <sheet name="Foglio1" sheetId="3" r:id="rId2"/>
    <sheet name="SECONDA VISITA"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2" i="3"/>
  <c r="BN127" i="2"/>
  <c r="BO127" i="2"/>
  <c r="BP127" i="2"/>
  <c r="BQ127" i="2"/>
  <c r="BR127" i="2"/>
  <c r="BS127" i="2"/>
  <c r="BT127" i="2"/>
  <c r="BU127" i="2"/>
  <c r="BV127" i="2"/>
  <c r="BW127" i="2"/>
  <c r="BX127" i="2"/>
  <c r="BY127" i="2"/>
  <c r="BZ127" i="2"/>
  <c r="CA127" i="2"/>
  <c r="CB127" i="2"/>
  <c r="CC127" i="2"/>
  <c r="CD127" i="2"/>
  <c r="CE127" i="2"/>
  <c r="CF127" i="2"/>
  <c r="BM127" i="2"/>
  <c r="BJ128" i="2"/>
  <c r="BJ127" i="2"/>
  <c r="CS128" i="2"/>
  <c r="CS127" i="2"/>
  <c r="CN127" i="2"/>
  <c r="CO127" i="2"/>
  <c r="CP127" i="2"/>
  <c r="CM127" i="2"/>
  <c r="CX127" i="2"/>
  <c r="BI127" i="2"/>
  <c r="BG127" i="2"/>
  <c r="BE127" i="2"/>
  <c r="BC127" i="2"/>
  <c r="BA127" i="2"/>
  <c r="AY127" i="2"/>
  <c r="AN127" i="2"/>
  <c r="P127" i="2"/>
  <c r="O127" i="2"/>
  <c r="CP327" i="1"/>
  <c r="CN327" i="1"/>
  <c r="CL327" i="1"/>
  <c r="CJ327" i="1"/>
  <c r="CH327" i="1"/>
  <c r="CF327" i="1"/>
  <c r="CD327" i="1"/>
  <c r="CB327" i="1"/>
  <c r="BZ327" i="1"/>
  <c r="BV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W327" i="1"/>
  <c r="BL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A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AG327" i="1"/>
  <c r="AH327" i="1"/>
  <c r="AI327" i="1"/>
  <c r="AJ327" i="1"/>
  <c r="AD8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X325" i="1"/>
  <c r="L13" i="1"/>
  <c r="L27" i="1"/>
  <c r="L54" i="1"/>
  <c r="L66" i="1"/>
  <c r="L154"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2" i="1"/>
  <c r="L2" i="1"/>
  <c r="L3" i="1"/>
  <c r="L4" i="1"/>
  <c r="L5" i="1"/>
  <c r="L6" i="1"/>
  <c r="L7" i="1"/>
  <c r="L8" i="1"/>
  <c r="L9" i="1"/>
  <c r="L10" i="1"/>
  <c r="L11" i="1"/>
  <c r="L12" i="1"/>
  <c r="L14" i="1"/>
  <c r="L15" i="1"/>
  <c r="L16" i="1"/>
  <c r="L17" i="1"/>
  <c r="L18" i="1"/>
  <c r="L19" i="1"/>
  <c r="L20" i="1"/>
  <c r="L21" i="1"/>
  <c r="L22" i="1"/>
  <c r="L23" i="1"/>
  <c r="L24" i="1"/>
  <c r="L25" i="1"/>
  <c r="L26" i="1"/>
  <c r="L29" i="1"/>
  <c r="L30" i="1"/>
  <c r="L31" i="1"/>
  <c r="L32" i="1"/>
  <c r="L33" i="1"/>
  <c r="L34" i="1"/>
  <c r="L35" i="1"/>
  <c r="L36" i="1"/>
  <c r="L37" i="1"/>
  <c r="L38" i="1"/>
  <c r="L39" i="1"/>
  <c r="L40" i="1"/>
  <c r="L41" i="1"/>
  <c r="L42" i="1"/>
  <c r="L43" i="1"/>
  <c r="L44" i="1"/>
  <c r="L45" i="1"/>
  <c r="L46" i="1"/>
  <c r="L47" i="1"/>
  <c r="L48" i="1"/>
  <c r="L49" i="1"/>
  <c r="L50" i="1"/>
  <c r="L51" i="1"/>
  <c r="L52" i="1"/>
  <c r="L53" i="1"/>
  <c r="L55" i="1"/>
  <c r="L56" i="1"/>
  <c r="L57" i="1"/>
  <c r="L58" i="1"/>
  <c r="L59" i="1"/>
  <c r="L60" i="1"/>
  <c r="L61" i="1"/>
  <c r="L62" i="1"/>
  <c r="L63" i="1"/>
  <c r="L64" i="1"/>
  <c r="L65" i="1"/>
  <c r="L67" i="1"/>
  <c r="L68" i="1"/>
  <c r="L69" i="1"/>
  <c r="L70" i="1"/>
  <c r="L71" i="1"/>
  <c r="L72" i="1"/>
  <c r="L73" i="1"/>
  <c r="L74" i="1"/>
  <c r="L75" i="1"/>
  <c r="L76" i="1"/>
  <c r="L77" i="1"/>
  <c r="L78" i="1"/>
  <c r="L80" i="1"/>
  <c r="L81" i="1"/>
  <c r="L82" i="1"/>
  <c r="L83" i="1"/>
  <c r="L84" i="1"/>
  <c r="L85" i="1"/>
  <c r="L86" i="1"/>
  <c r="L87" i="1"/>
  <c r="L88" i="1"/>
  <c r="L89" i="1"/>
  <c r="L90" i="1"/>
  <c r="L91" i="1"/>
  <c r="L92" i="1"/>
  <c r="L93" i="1"/>
  <c r="L94" i="1"/>
  <c r="L95" i="1"/>
  <c r="L97" i="1"/>
  <c r="L98" i="1"/>
  <c r="L99" i="1"/>
  <c r="L100" i="1"/>
  <c r="L101" i="1"/>
  <c r="L102" i="1"/>
  <c r="L103" i="1"/>
  <c r="L104" i="1"/>
  <c r="L105" i="1"/>
  <c r="L106" i="1"/>
  <c r="L107" i="1"/>
  <c r="L108" i="1"/>
  <c r="L109" i="1"/>
  <c r="L110" i="1"/>
  <c r="L111" i="1"/>
  <c r="L112" i="1"/>
  <c r="L114" i="1"/>
  <c r="L115" i="1"/>
  <c r="L116" i="1"/>
  <c r="L117" i="1"/>
  <c r="L118" i="1"/>
  <c r="L119" i="1"/>
  <c r="L120" i="1"/>
  <c r="L121" i="1"/>
  <c r="L123" i="1"/>
  <c r="L124" i="1"/>
  <c r="L125" i="1"/>
  <c r="L126" i="1"/>
  <c r="L127" i="1"/>
  <c r="L128" i="1"/>
  <c r="L129" i="1"/>
  <c r="L130" i="1"/>
  <c r="L131" i="1"/>
  <c r="L132" i="1"/>
  <c r="L133" i="1"/>
  <c r="L134" i="1"/>
  <c r="L135" i="1"/>
  <c r="L136" i="1"/>
  <c r="L137" i="1"/>
  <c r="L138" i="1"/>
  <c r="L139" i="1"/>
  <c r="L140" i="1"/>
  <c r="L141" i="1"/>
  <c r="L142" i="1"/>
  <c r="L143" i="1"/>
  <c r="L144" i="1"/>
  <c r="L145" i="1"/>
  <c r="L146" i="1"/>
  <c r="L148" i="1"/>
  <c r="L149" i="1"/>
  <c r="L150" i="1"/>
  <c r="L151" i="1"/>
  <c r="L152" i="1"/>
  <c r="L153"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AW2" i="2"/>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Q2" i="2"/>
  <c r="AQ3" i="2"/>
  <c r="AQ4" i="2"/>
  <c r="AQ5" i="2"/>
  <c r="AQ6" i="2"/>
  <c r="AQ7" i="2"/>
  <c r="AQ8" i="2"/>
  <c r="AQ9" i="2"/>
  <c r="AQ10" i="2"/>
  <c r="AQ11" i="2"/>
  <c r="AQ12"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7" i="2"/>
  <c r="AQ98" i="2"/>
  <c r="AQ99" i="2"/>
  <c r="AQ100" i="2"/>
  <c r="AQ101" i="2"/>
  <c r="AQ102" i="2"/>
  <c r="AQ103" i="2"/>
  <c r="AQ104" i="2"/>
  <c r="AQ105" i="2"/>
  <c r="AQ106" i="2"/>
  <c r="AQ107" i="2"/>
  <c r="AQ108" i="2"/>
  <c r="AQ109" i="2"/>
  <c r="AQ110" i="2"/>
  <c r="AQ112" i="2"/>
  <c r="AQ113" i="2"/>
  <c r="AQ114" i="2"/>
  <c r="AQ115" i="2"/>
  <c r="AQ116" i="2"/>
  <c r="AQ117" i="2"/>
  <c r="AQ118" i="2"/>
  <c r="AQ119" i="2"/>
  <c r="AQ120" i="2"/>
  <c r="AQ121" i="2"/>
  <c r="AQ122" i="2"/>
  <c r="AQ123" i="2"/>
  <c r="AQ124" i="2"/>
  <c r="AQ125"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2"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K2" i="2"/>
  <c r="AK3" i="2"/>
  <c r="AK7" i="2"/>
  <c r="AK8" i="2"/>
  <c r="AK9" i="2"/>
  <c r="AK10" i="2"/>
  <c r="AK11" i="2"/>
  <c r="AK12" i="2"/>
  <c r="AK14" i="2"/>
  <c r="AK15" i="2"/>
  <c r="AK16" i="2"/>
  <c r="AK17" i="2"/>
  <c r="AK18" i="2"/>
  <c r="AK19" i="2"/>
  <c r="AK21" i="2"/>
  <c r="AK22" i="2"/>
  <c r="AK23" i="2"/>
  <c r="AK24" i="2"/>
  <c r="AK25" i="2"/>
  <c r="AK27" i="2"/>
  <c r="AK28" i="2"/>
  <c r="AK29" i="2"/>
  <c r="AK31" i="2"/>
  <c r="AK32" i="2"/>
  <c r="AK33" i="2"/>
  <c r="AK34" i="2"/>
  <c r="AK37" i="2"/>
  <c r="AK38" i="2"/>
  <c r="AK40" i="2"/>
  <c r="AK41" i="2"/>
  <c r="AK42" i="2"/>
  <c r="AK44" i="2"/>
  <c r="AK45" i="2"/>
  <c r="AK46" i="2"/>
  <c r="AK47" i="2"/>
  <c r="AK49" i="2"/>
  <c r="AK50" i="2"/>
  <c r="AK51" i="2"/>
  <c r="AK53" i="2"/>
  <c r="AK54" i="2"/>
  <c r="AK55" i="2"/>
  <c r="AK56" i="2"/>
  <c r="AK57" i="2"/>
  <c r="AK59" i="2"/>
  <c r="AK60" i="2"/>
  <c r="AK61" i="2"/>
  <c r="AK62" i="2"/>
  <c r="AK63" i="2"/>
  <c r="AK64" i="2"/>
  <c r="AK65" i="2"/>
  <c r="AK67" i="2"/>
  <c r="AK68" i="2"/>
  <c r="AK71" i="2"/>
  <c r="AK72" i="2"/>
  <c r="AK73" i="2"/>
  <c r="AK74" i="2"/>
  <c r="AK75" i="2"/>
  <c r="AK76" i="2"/>
  <c r="AK77" i="2"/>
  <c r="AK78" i="2"/>
  <c r="AK79" i="2"/>
  <c r="AK80" i="2"/>
  <c r="AK83" i="2"/>
  <c r="AK84" i="2"/>
  <c r="AK85" i="2"/>
  <c r="AK87" i="2"/>
  <c r="AK88" i="2"/>
  <c r="AK89" i="2"/>
  <c r="AK90" i="2"/>
  <c r="AK95" i="2"/>
  <c r="AK96" i="2"/>
  <c r="AK97" i="2"/>
  <c r="AK99" i="2"/>
  <c r="AK100" i="2"/>
  <c r="AK101" i="2"/>
  <c r="AK107" i="2"/>
  <c r="AK108" i="2"/>
  <c r="AK109" i="2"/>
  <c r="AK111" i="2"/>
  <c r="AK112" i="2"/>
  <c r="AK113" i="2"/>
  <c r="AK115" i="2"/>
  <c r="AK116" i="2"/>
  <c r="AK117" i="2"/>
  <c r="AK120" i="2"/>
  <c r="AK121" i="2"/>
  <c r="AK122" i="2"/>
  <c r="AK123" i="2"/>
  <c r="AK124" i="2"/>
  <c r="AK125"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H2" i="2"/>
  <c r="AH3" i="2"/>
  <c r="AH5" i="2"/>
  <c r="AH7" i="2"/>
  <c r="AH8" i="2"/>
  <c r="AH10" i="2"/>
  <c r="AH11" i="2"/>
  <c r="AH12" i="2"/>
  <c r="AH13" i="2"/>
  <c r="AH14" i="2"/>
  <c r="AH18" i="2"/>
  <c r="AH19" i="2"/>
  <c r="AH22" i="2"/>
  <c r="AH23" i="2"/>
  <c r="AH24" i="2"/>
  <c r="AH25" i="2"/>
  <c r="AH28" i="2"/>
  <c r="AH31" i="2"/>
  <c r="AH32" i="2"/>
  <c r="AH36" i="2"/>
  <c r="AH37" i="2"/>
  <c r="AH39" i="2"/>
  <c r="AH40" i="2"/>
  <c r="AH41" i="2"/>
  <c r="AH42" i="2"/>
  <c r="AH43" i="2"/>
  <c r="AH44" i="2"/>
  <c r="AH45" i="2"/>
  <c r="AH47" i="2"/>
  <c r="AH53" i="2"/>
  <c r="AH54" i="2"/>
  <c r="AH55" i="2"/>
  <c r="AH57" i="2"/>
  <c r="AH60" i="2"/>
  <c r="AH61" i="2"/>
  <c r="AH63" i="2"/>
  <c r="AH71" i="2"/>
  <c r="AH72" i="2"/>
  <c r="AH73" i="2"/>
  <c r="AH74" i="2"/>
  <c r="AH77" i="2"/>
  <c r="AH79" i="2"/>
  <c r="AH80" i="2"/>
  <c r="AH81" i="2"/>
  <c r="AH84" i="2"/>
  <c r="AH85" i="2"/>
  <c r="AH88" i="2"/>
  <c r="AH95" i="2"/>
  <c r="AH97" i="2"/>
  <c r="AH101" i="2"/>
  <c r="AH103" i="2"/>
  <c r="AH108" i="2"/>
  <c r="AH109" i="2"/>
  <c r="AH113" i="2"/>
  <c r="AH114" i="2"/>
  <c r="AH115" i="2"/>
  <c r="AH116" i="2"/>
  <c r="AH117" i="2"/>
  <c r="AH119" i="2"/>
  <c r="AH120" i="2"/>
  <c r="AH121" i="2"/>
  <c r="AH122" i="2"/>
  <c r="AH124" i="2"/>
  <c r="AH125" i="2"/>
  <c r="AF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2"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X2"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BR2"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R303" i="1"/>
  <c r="BR304" i="1"/>
  <c r="BR305" i="1"/>
  <c r="BR306" i="1"/>
  <c r="BR307" i="1"/>
  <c r="BR308" i="1"/>
  <c r="BR309" i="1"/>
  <c r="BR310" i="1"/>
  <c r="BR311" i="1"/>
  <c r="BR312" i="1"/>
  <c r="BR313" i="1"/>
  <c r="BR314" i="1"/>
  <c r="BR315" i="1"/>
  <c r="BR316" i="1"/>
  <c r="BR317" i="1"/>
  <c r="BR318" i="1"/>
  <c r="BR319" i="1"/>
  <c r="BR320" i="1"/>
  <c r="BR321" i="1"/>
  <c r="BR322" i="1"/>
  <c r="BR323" i="1"/>
  <c r="BR324" i="1"/>
  <c r="BR325" i="1"/>
  <c r="BQ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Q303" i="1"/>
  <c r="BQ304" i="1"/>
  <c r="BQ305" i="1"/>
  <c r="BQ306" i="1"/>
  <c r="BQ307" i="1"/>
  <c r="BQ308" i="1"/>
  <c r="BQ309" i="1"/>
  <c r="BQ310" i="1"/>
  <c r="BQ311" i="1"/>
  <c r="BQ312" i="1"/>
  <c r="BQ313" i="1"/>
  <c r="BQ314" i="1"/>
  <c r="BQ315" i="1"/>
  <c r="BQ316" i="1"/>
  <c r="BQ317" i="1"/>
  <c r="BQ318" i="1"/>
  <c r="BQ319" i="1"/>
  <c r="BQ320" i="1"/>
  <c r="BQ321" i="1"/>
  <c r="BQ322" i="1"/>
  <c r="BQ323" i="1"/>
  <c r="BQ324" i="1"/>
  <c r="BQ325" i="1"/>
  <c r="BP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N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M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F2"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E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E303" i="1"/>
  <c r="BE304" i="1"/>
  <c r="BE305" i="1"/>
  <c r="BE306" i="1"/>
  <c r="BE307" i="1"/>
  <c r="BE308" i="1"/>
  <c r="BE309" i="1"/>
  <c r="BE310" i="1"/>
  <c r="BE311" i="1"/>
  <c r="BE312" i="1"/>
  <c r="BE313" i="1"/>
  <c r="BE314" i="1"/>
  <c r="BE315" i="1"/>
  <c r="BE316" i="1"/>
  <c r="BE317" i="1"/>
  <c r="BE318" i="1"/>
  <c r="BE319" i="1"/>
  <c r="BE320" i="1"/>
  <c r="BE321" i="1"/>
  <c r="BE322" i="1"/>
  <c r="BE323" i="1"/>
  <c r="BE324" i="1"/>
  <c r="BE325" i="1"/>
  <c r="BD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C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B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X28" i="1"/>
  <c r="AX2" i="1"/>
  <c r="AX3" i="1"/>
  <c r="AX4" i="1"/>
  <c r="AX5" i="1"/>
  <c r="AX6" i="1"/>
  <c r="AX7" i="1"/>
  <c r="AX8" i="1"/>
  <c r="AX9" i="1"/>
  <c r="AX10" i="1"/>
  <c r="AX11" i="1"/>
  <c r="AX12" i="1"/>
  <c r="AX13" i="1"/>
  <c r="AX14" i="1"/>
  <c r="AX15" i="1"/>
  <c r="AX16" i="1"/>
  <c r="AX17" i="1"/>
  <c r="AX18" i="1"/>
  <c r="AX19" i="1"/>
  <c r="AX20" i="1"/>
  <c r="AX21" i="1"/>
  <c r="AX22" i="1"/>
  <c r="AX23" i="1"/>
  <c r="AX24" i="1"/>
  <c r="AX25" i="1"/>
  <c r="AX26" i="1"/>
  <c r="AX27"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BH2" i="1"/>
  <c r="BH3" i="1"/>
  <c r="BH4" i="1"/>
  <c r="BH5" i="1"/>
  <c r="BH6" i="1"/>
  <c r="BH7" i="1"/>
  <c r="BH8" i="1"/>
  <c r="BH9" i="1"/>
  <c r="BH10" i="1"/>
  <c r="BH11" i="1"/>
  <c r="BH13" i="1"/>
  <c r="BH14" i="1"/>
  <c r="BH15" i="1"/>
  <c r="BH16" i="1"/>
  <c r="BH17" i="1"/>
  <c r="BH18" i="1"/>
  <c r="BH19" i="1"/>
  <c r="BH20" i="1"/>
  <c r="BH21" i="1"/>
  <c r="BH22" i="1"/>
  <c r="BH23" i="1"/>
  <c r="BH24" i="1"/>
  <c r="BH25" i="1"/>
  <c r="BH26" i="1"/>
  <c r="BH27" i="1"/>
  <c r="BH28" i="1"/>
  <c r="BH29" i="1"/>
  <c r="BH31" i="1"/>
  <c r="BH32" i="1"/>
  <c r="BH33" i="1"/>
  <c r="BH34" i="1"/>
  <c r="BH35" i="1"/>
  <c r="BH36" i="1"/>
  <c r="BH37" i="1"/>
  <c r="BH38" i="1"/>
  <c r="BH39" i="1"/>
  <c r="BH40" i="1"/>
  <c r="BH41" i="1"/>
  <c r="BH42" i="1"/>
  <c r="BH43" i="1"/>
  <c r="BH44" i="1"/>
  <c r="BH45" i="1"/>
  <c r="BH46" i="1"/>
  <c r="BH47" i="1"/>
  <c r="BH48" i="1"/>
  <c r="BH49"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7" i="1"/>
  <c r="BH88" i="1"/>
  <c r="BH89" i="1"/>
  <c r="BH90" i="1"/>
  <c r="BH91" i="1"/>
  <c r="BH92" i="1"/>
  <c r="BH93"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AV127" i="2" l="1"/>
  <c r="AW127" i="2"/>
  <c r="AQ127" i="2"/>
  <c r="AS127" i="2"/>
  <c r="AR127" i="2"/>
  <c r="AT127" i="2"/>
  <c r="AP127" i="2"/>
  <c r="AJ127" i="2"/>
  <c r="AL127" i="2"/>
  <c r="AK127" i="2"/>
  <c r="AB127" i="2"/>
  <c r="Z127" i="2"/>
  <c r="X127" i="2"/>
  <c r="Y127" i="2"/>
  <c r="AA127" i="2"/>
  <c r="W127" i="2"/>
  <c r="AE127" i="2"/>
  <c r="AH127" i="2"/>
  <c r="AG127" i="2"/>
  <c r="V127" i="2"/>
  <c r="AF127" i="2"/>
  <c r="AD127" i="2"/>
  <c r="U127" i="2"/>
  <c r="E127" i="2"/>
  <c r="E128" i="2"/>
  <c r="BV327" i="1"/>
  <c r="BO327" i="1"/>
  <c r="BQ327" i="1"/>
  <c r="BP327" i="1"/>
  <c r="BR327" i="1"/>
  <c r="BN327" i="1"/>
  <c r="BM327" i="1"/>
  <c r="BL327" i="1"/>
  <c r="BJ327" i="1"/>
  <c r="BC327" i="1"/>
  <c r="BE327" i="1"/>
  <c r="BB327" i="1"/>
  <c r="BD327" i="1"/>
  <c r="BF327" i="1"/>
  <c r="BA327" i="1"/>
  <c r="BH327" i="1"/>
  <c r="AU327" i="1"/>
  <c r="AS327" i="1"/>
  <c r="AV327" i="1"/>
  <c r="AY327" i="1"/>
  <c r="AX327" i="1"/>
  <c r="AN327" i="1"/>
  <c r="AQ327" i="1"/>
  <c r="AP327" i="1"/>
  <c r="AL32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B327" i="1"/>
  <c r="AD327" i="1"/>
  <c r="AA327" i="1"/>
  <c r="P327" i="1"/>
  <c r="W327" i="1"/>
  <c r="AC327" i="1"/>
  <c r="L327" i="1"/>
  <c r="Z327" i="1"/>
  <c r="O327" i="1"/>
  <c r="N327" i="1"/>
  <c r="T327" i="1"/>
  <c r="X327" i="1"/>
  <c r="V327" i="1"/>
  <c r="V328" i="1"/>
  <c r="S327" i="1"/>
  <c r="M327" i="1"/>
  <c r="Q327" i="1"/>
  <c r="R327" i="1"/>
  <c r="F327" i="1"/>
  <c r="F328" i="1"/>
  <c r="AF327" i="1"/>
</calcChain>
</file>

<file path=xl/sharedStrings.xml><?xml version="1.0" encoding="utf-8"?>
<sst xmlns="http://schemas.openxmlformats.org/spreadsheetml/2006/main" count="21461" uniqueCount="7678">
  <si>
    <t>Gronchi Herrera Giovanni</t>
  </si>
  <si>
    <t>GRNGNN85B12Z601F</t>
  </si>
  <si>
    <t>3481369970</t>
  </si>
  <si>
    <t>Sindrome delle apnee del sonno di grado molto grave associata a insufficienza respiratoria notturna. MCR basale eseguito presso altro centro: AHI 60,9, ODI 61, T90 53,7.</t>
  </si>
  <si>
    <t>Pneumologa (Felletti)</t>
  </si>
  <si>
    <t>operaio</t>
  </si>
  <si>
    <t>ex fumatore, 5 pack/years</t>
  </si>
  <si>
    <t>sì</t>
  </si>
  <si>
    <t>no</t>
  </si>
  <si>
    <t>CardioASA, Bromazepan, Brintellix, Gaviscon, Foster.</t>
  </si>
  <si>
    <t>Visita ORL negativa. Pregresse TVP.</t>
  </si>
  <si>
    <t>pregresse bronchiti</t>
  </si>
  <si>
    <t>due volte</t>
  </si>
  <si>
    <t>17</t>
  </si>
  <si>
    <t>36</t>
  </si>
  <si>
    <t>92</t>
  </si>
  <si>
    <t>83</t>
  </si>
  <si>
    <t>EOP: MV normotrasmesso su tutto l'ambito, FVT normotrasmesso su tutto l'ambito, SCP su tutto l'ambito. Non si riscontrano grossolani rumori respiratori. EOC: toni validi, ritmici, pause apparentemente libere.</t>
  </si>
  <si>
    <t>Si consiglia adattamento a CPAP notturna programmata per il 09/03/2021 ore 12._x000D_
Eseguire spirometria semplice (sospendere terapia inalatoria 3 giorni prima).</t>
  </si>
  <si>
    <t>Borruto Monica</t>
  </si>
  <si>
    <t>BRRMNC66E59D969K</t>
  </si>
  <si>
    <t>3465267193</t>
  </si>
  <si>
    <t>Riferito russamento importante e sonnolenza diurna</t>
  </si>
  <si>
    <t>Curante (Fighetti)</t>
  </si>
  <si>
    <t>collaboratrice scolastica</t>
  </si>
  <si>
    <t>nega</t>
  </si>
  <si>
    <t>saltuariamente</t>
  </si>
  <si>
    <t>Fudarantin</t>
  </si>
  <si>
    <t>si</t>
  </si>
  <si>
    <t>Steno-insufficienza valvolare aortica in valvola bicuspide (gradiente 45 mmHg), stenosi valvola polmonare (già in FU cardiologico)</t>
  </si>
  <si>
    <t>Blopress; Congescor; Neuraben; Nicetile; Lasix; Fluoxetina; Pantoprazolo; Felxiban</t>
  </si>
  <si>
    <t>per sforzi moderati</t>
  </si>
  <si>
    <t>saltuari</t>
  </si>
  <si>
    <t>2-3 volte</t>
  </si>
  <si>
    <t>lievi</t>
  </si>
  <si>
    <t>20</t>
  </si>
  <si>
    <t>37</t>
  </si>
  <si>
    <t>96</t>
  </si>
  <si>
    <t>64</t>
  </si>
  <si>
    <t>eupnoica a riposo e all'eloquio. MV presente su tuttom l'ambito, non si apprezzano grossolani rumori aggiunti. FVT normotrasmesso, SCP. ACV toni cardiaci ritmici, validi, soffio sistolico udibile su tutti i focolai.</t>
  </si>
  <si>
    <t>Eseguire MCR notturno basale</t>
  </si>
  <si>
    <t>Da Rin Della Mora Roberta</t>
  </si>
  <si>
    <t>DRNRRT70C48D969C</t>
  </si>
  <si>
    <t>3492875335</t>
  </si>
  <si>
    <t>Sospetto OSAS</t>
  </si>
  <si>
    <t>Curante (Nicolini)</t>
  </si>
  <si>
    <t>Infermiera</t>
  </si>
  <si>
    <t>lieve</t>
  </si>
  <si>
    <t>sovrappeso_x000D_
76 Kg ( incremento 15 kg negli ultimi 2 anni</t>
  </si>
  <si>
    <t>non disponibile</t>
  </si>
  <si>
    <t>Coverlam 10/10</t>
  </si>
  <si>
    <t>sì per sforzi moderati</t>
  </si>
  <si>
    <t>2 volte</t>
  </si>
  <si>
    <t>riferisce comparsa di lievi disturbi della memoria a breve termine da circa due anni</t>
  </si>
  <si>
    <t>12</t>
  </si>
  <si>
    <t>30</t>
  </si>
  <si>
    <t>74</t>
  </si>
  <si>
    <t>Nella norma</t>
  </si>
  <si>
    <t>Si programam monitoraggio cardiorespiratorio notturno per il giorno 12/03/2021 ore 12.</t>
  </si>
  <si>
    <t>Repetto Giovanni</t>
  </si>
  <si>
    <t>RPTGNN42R10D969S</t>
  </si>
  <si>
    <t>3294944459</t>
  </si>
  <si>
    <t>Neurologa (Tognetti)</t>
  </si>
  <si>
    <t>Ex fumatore (10 sigarette/die per circa dieci anni)</t>
  </si>
  <si>
    <t>2 bicchieri a pasto</t>
  </si>
  <si>
    <t>Visita neurologica 11/02/2021: Paziente estraneo e apatico, aggressivo.</t>
  </si>
  <si>
    <t>Nebivololo,Avodart, Bivis, Tamsulosina,Allopurinolo, Paroxetina.</t>
  </si>
  <si>
    <t>4 volte</t>
  </si>
  <si>
    <t>lievi della memoria a breve e a lungo termine</t>
  </si>
  <si>
    <t>13</t>
  </si>
  <si>
    <t>27</t>
  </si>
  <si>
    <t>97</t>
  </si>
  <si>
    <t>72</t>
  </si>
  <si>
    <t>Paziente vigile e orientato, eupnoico all'eloquio. EOP: MV normotrasmesso, FVT normotrasmesso, SCP su tutto l'ambito. EOC: toni validi, ritmici, lieve soffio diastolico.</t>
  </si>
  <si>
    <t>Effettuare monitoraggio cardiorespiratorio notturno programmato per il 26/04/2021 ore 11:00.</t>
  </si>
  <si>
    <t>Mangano Crocifissa</t>
  </si>
  <si>
    <t>MNGCCF57E52C983F</t>
  </si>
  <si>
    <t>3772082642 - 0103030233</t>
  </si>
  <si>
    <t>Curante (Lombardi)</t>
  </si>
  <si>
    <t>Casalinga</t>
  </si>
  <si>
    <t>1 bicchiere di vino a pasto</t>
  </si>
  <si>
    <t>Tenormin, Sereupin.</t>
  </si>
  <si>
    <t>3 volte</t>
  </si>
  <si>
    <t>lievi della memoria a breve termine</t>
  </si>
  <si>
    <t>sì da circa un mese</t>
  </si>
  <si>
    <t>14</t>
  </si>
  <si>
    <t>96%</t>
  </si>
  <si>
    <t>54</t>
  </si>
  <si>
    <t>Paziente vigile e collaborante, eupnoica a all'eloquio, EOP: MV normotrasmesso, SCP su tutto l'ambito, FVT diffusamente ridotto. EOC: toni validi, ritmici, pause apparentemente libere.</t>
  </si>
  <si>
    <t>Effettuare monitoraggio cardiorespiratorio notturno programmato per il giorno 28/04/2021 ore 11.</t>
  </si>
  <si>
    <t>Trapani Enrico</t>
  </si>
  <si>
    <t>TRPNRC87P15D969V</t>
  </si>
  <si>
    <t>3458039038</t>
  </si>
  <si>
    <t>Curante  (Savoldi)</t>
  </si>
  <si>
    <t>disoccupato</t>
  </si>
  <si>
    <t>Stop da circa una settimana (20 P/Y)</t>
  </si>
  <si>
    <t>sospetta allergia all'acaro della polvere e betulla</t>
  </si>
  <si>
    <t>grave (portatore di palloncino gastrico dal 2016 fino al 2017.</t>
  </si>
  <si>
    <t>in terapia</t>
  </si>
  <si>
    <t>Verbale accesso PS 16/02/2021: scompenso glicometabolico in sindrome metabolica grave, piccole onde Q in sede infero-laterale.</t>
  </si>
  <si>
    <t>Lansoprazolo, Xultophy, Perindopril/amlodipina.</t>
  </si>
  <si>
    <t>sì per sforzi lievi</t>
  </si>
  <si>
    <t>6 volte</t>
  </si>
  <si>
    <t>18</t>
  </si>
  <si>
    <t>53</t>
  </si>
  <si>
    <t>95</t>
  </si>
  <si>
    <t>103</t>
  </si>
  <si>
    <t>Paziente eupnoico a riposo e all'eloquio. EOP: MV ipotrasmesso su tutto l'ambito, FVT ipotrasmesso, normofonesi plessica. EOC: toni parafonici, pause mal valutabili.</t>
  </si>
  <si>
    <t>Effettuare monitoraggio cardiorespiratorio notturno basale. Effetture EGA in AA. Effettuare visita cardiologica di controllo.</t>
  </si>
  <si>
    <t>Incorvaia Giuseppe</t>
  </si>
  <si>
    <t>NCRGPP36S12E573M</t>
  </si>
  <si>
    <t>3478761702</t>
  </si>
  <si>
    <t>Sospette apnee del sonno, riferita desaturazione a domicilio</t>
  </si>
  <si>
    <t>Curante (Gargano)</t>
  </si>
  <si>
    <t>ex portuale</t>
  </si>
  <si>
    <t>ex forte fumatore (circa 50 pack/years), stop 1989</t>
  </si>
  <si>
    <t>sì in ernia iatale nota</t>
  </si>
  <si>
    <t>TD: coaprovel; quetiapina; venlafaxina; depakin; pantoprazolo; congescor</t>
  </si>
  <si>
    <t>si produttiva cin espettorato marroncino</t>
  </si>
  <si>
    <t>sì per sforzi minimi</t>
  </si>
  <si>
    <t>42</t>
  </si>
  <si>
    <t>85</t>
  </si>
  <si>
    <t>70</t>
  </si>
  <si>
    <t>Barra Eloisa</t>
  </si>
  <si>
    <t>BRRLSE68S62D969T</t>
  </si>
  <si>
    <t>3278225038</t>
  </si>
  <si>
    <t>Sospette apnee notturne</t>
  </si>
  <si>
    <t>Assistente domiciliare di paziente affetta da SLA.</t>
  </si>
  <si>
    <t>Ex lieve fumatrice (2 pacchetti al giorno per circa due anni)</t>
  </si>
  <si>
    <t>Paziente affetta da favismo. Intolleranza al glutine e a latte e derivati.</t>
  </si>
  <si>
    <t>paziente sottoposta a intervento di by-pass intestinale bilio-pancreatico(1996).</t>
  </si>
  <si>
    <t>Ultimo EE: 15/01/2021: WBC 9000, N 66, Hb 10,6, Ht 34, MCV 80, PLT 243, CR 0,78, Ferritina 6, Glu 113,  Fe 33, Vit D 22 (anemia ferrocarenziale da difetto di assorbimento)</t>
  </si>
  <si>
    <t>nessuna</t>
  </si>
  <si>
    <t>riferisce occasionali episodi di dispnea a riposo.</t>
  </si>
  <si>
    <t>1 volta</t>
  </si>
  <si>
    <t>25</t>
  </si>
  <si>
    <t>52</t>
  </si>
  <si>
    <t>paziente eupnoica a riposo e all'eloquio. EOP: MV normotrasmesso, FVT normotrasmesso, normofonesi plessica, assenza di grossolani rumori patologici. EOC: toni validi, ritmici, pause apparentemente libere.</t>
  </si>
  <si>
    <t>Si programma polisonnografia basale notturna per il 23/04/2021 ore 12. Effettuare spirometria semplice.</t>
  </si>
  <si>
    <t>Costanzo Grazia</t>
  </si>
  <si>
    <t>CSTGRZ46M66A944I</t>
  </si>
  <si>
    <t>3395090556</t>
  </si>
  <si>
    <t>disturbi nell'addormentamento e insonnia, astenia. Sospetta OSAS</t>
  </si>
  <si>
    <t>Curante (Amato)</t>
  </si>
  <si>
    <t>Ex dipendente INPS</t>
  </si>
  <si>
    <t>pollini non meglio specificati, ciliegia, mela, acciughe.</t>
  </si>
  <si>
    <t>sì in terapia</t>
  </si>
  <si>
    <t>non in visione</t>
  </si>
  <si>
    <t>Efexor. Foster 2 inalazioni al mattino e 2 la sera. Pantoprazolo, Bifrizide.</t>
  </si>
  <si>
    <t>sì per sforzi moderati (salire le scale, camminata in salita) da diversi anni.</t>
  </si>
  <si>
    <t>lievi in terapia</t>
  </si>
  <si>
    <t>moderata</t>
  </si>
  <si>
    <t>24</t>
  </si>
  <si>
    <t>97%</t>
  </si>
  <si>
    <t>68</t>
  </si>
  <si>
    <t>paziente eupnoica a riposo e all'eloquio. EOP: MV normotrasmesso su tutto l'ambito, FVT normotrasmesso,  normofonesi plessica, in assenza di grossolani rumori patologici aggiunti. EOC: toni validi, ritmici, pause apparentemente libere da soffi.</t>
  </si>
  <si>
    <t>Si programma monitoraggio cardiorespiratorio notturno per il giorno 28/06/2021 ore 10:30. Esecuzione di spirometria semplice di controllo.</t>
  </si>
  <si>
    <t>Stefanelli Patrizia</t>
  </si>
  <si>
    <t>STFPRZ53P54D969U</t>
  </si>
  <si>
    <t>3496662792</t>
  </si>
  <si>
    <t>Sospetta OSAS (già in programma polisonnogramma notturno per il giorno 27/07/2021) e dispnea da sforzo.</t>
  </si>
  <si>
    <t>Curante (dr. Salomone Enrico)</t>
  </si>
  <si>
    <t>ex impiegata/lavoratrice in impresa di pulizie</t>
  </si>
  <si>
    <t>Depradil</t>
  </si>
  <si>
    <t>sì per sforzi moderati (salire le scale, camminata in salita) da circa un anno. mMRC 1.</t>
  </si>
  <si>
    <t>1-2 volte</t>
  </si>
  <si>
    <t>lievi da circa un anno</t>
  </si>
  <si>
    <t>sì in riferita artrosi cervicale</t>
  </si>
  <si>
    <t>28</t>
  </si>
  <si>
    <t>80</t>
  </si>
  <si>
    <t>paziente eupnoica a riposo e all'eloquio, EOP: MV normotrasmesso, normofonesi plessica, in assenza di grossolani rumori aptologici aggiunti. EOC: toni validi ritmici, presenza di lieve soffio sistolico su focolaio aortico.</t>
  </si>
  <si>
    <t>Esecuzione di polisonnogramma notturno giòà in programma.</t>
  </si>
  <si>
    <t>Mangini Matteo</t>
  </si>
  <si>
    <t>MNGMTT68P30D969Q</t>
  </si>
  <si>
    <t>3492843821</t>
  </si>
  <si>
    <t>probabile sindrome Osas in paziente post covid Ottobre 2020</t>
  </si>
  <si>
    <t>MMG ( Dott. Meardi )</t>
  </si>
  <si>
    <t>impiegato posta privata</t>
  </si>
  <si>
    <t>ex fumatore da 6 anni ( 1 pacchetto al giorno per 20 anni circa )</t>
  </si>
  <si>
    <t>steatosi epatica</t>
  </si>
  <si>
    <t>cimbalta</t>
  </si>
  <si>
    <t>sindrome ansioso - deèpressiva sotto controllo farmacologico</t>
  </si>
  <si>
    <t>lieve per sforzi minimi, accebtuata dopo l'infgezione da covid</t>
  </si>
  <si>
    <t>31</t>
  </si>
  <si>
    <t>90</t>
  </si>
  <si>
    <t>eupnoico. Mv presente con crepitazioni lievi diffuse. Acv toni validi. Succulenza arti inferiori all'eloquio</t>
  </si>
  <si>
    <t>si consiglia esame polisonnografia notturna</t>
  </si>
  <si>
    <t>Crivello Giovanni</t>
  </si>
  <si>
    <t>CRVGNN50C06D969Z</t>
  </si>
  <si>
    <t>3281429264 NUORA</t>
  </si>
  <si>
    <t>Prima visita per sospetta OSAS</t>
  </si>
  <si>
    <t>Medico geriatra Dott. Brasesco</t>
  </si>
  <si>
    <t>pensionato, fumettista, ex</t>
  </si>
  <si>
    <t>fumatore di pipa</t>
  </si>
  <si>
    <t>Si</t>
  </si>
  <si>
    <t>No</t>
  </si>
  <si>
    <t>no, ernia iatale</t>
  </si>
  <si>
    <t>paziente è stato ricoverato presso nel reparto di Medicina d'urgenza nel dicembre 2019. per sepsi urinaria. .</t>
  </si>
  <si>
    <t>ramipril 5mg, amlodipina, lasix, atorvastatina, pantoprazolo, omnic, lorazepam, binocrit, insulina lispro, cardioaspirina</t>
  </si>
  <si>
    <t>no (paziente portatore di pannolone )</t>
  </si>
  <si>
    <t>lievemente</t>
  </si>
  <si>
    <t>no , a volkte nelle ore serali</t>
  </si>
  <si>
    <t>15</t>
  </si>
  <si>
    <t>38</t>
  </si>
  <si>
    <t>77</t>
  </si>
  <si>
    <t>mv ridotto, Acv toni parafonici ritmici. Ulcere arti inferiori.</t>
  </si>
  <si>
    <t>si consiglia monitoraggio cardiorespiratorio notturno con CPAP</t>
  </si>
  <si>
    <t>DI NUNNO GIUSEPPINA</t>
  </si>
  <si>
    <t>DNNGPP59M57D969V</t>
  </si>
  <si>
    <t>3285490040</t>
  </si>
  <si>
    <t>Sospetta OSAS</t>
  </si>
  <si>
    <t>Medico Curante</t>
  </si>
  <si>
    <t>Fumatrice attiva di iqos, in precedenza 5 sigarette/die per 40 anni circa</t>
  </si>
  <si>
    <t>eseguita nel 2018 poligrafia, con riscontro di AHI 14</t>
  </si>
  <si>
    <t>Esomeprazolo; vitoryn; ozempic, metforal; venlafaxina 75 mg</t>
  </si>
  <si>
    <t>Si; mMRC 4</t>
  </si>
  <si>
    <t>Si, una volta a notte</t>
  </si>
  <si>
    <t>Si, retronucale</t>
  </si>
  <si>
    <t>31,6</t>
  </si>
  <si>
    <t>98</t>
  </si>
  <si>
    <t>Eupnoica in aria ambiente; al torace MV presente su tutto l'ambito, non franchi rumori patologici aggiunti. ACV ritmica, toni parafonici. Non edemi declivi</t>
  </si>
  <si>
    <t>Sospetta sindrome delle apnee notturne</t>
  </si>
  <si>
    <t>Durante Tommaso</t>
  </si>
  <si>
    <t>DRNTMS87M29D969J</t>
  </si>
  <si>
    <t>3407651441</t>
  </si>
  <si>
    <t>sospetta sindrome delle apnee notturne</t>
  </si>
  <si>
    <t>MMG( Dott. Sago Leo )</t>
  </si>
  <si>
    <t>artigiano</t>
  </si>
  <si>
    <t>ex fumatore 1 pacchetto al giorno per 10 anni</t>
  </si>
  <si>
    <t>cane , gatto , acari della polvere, Riferisce asma in età infantile ed adolescenziale</t>
  </si>
  <si>
    <t>tachicardia</t>
  </si>
  <si>
    <t>nobistar, serestil</t>
  </si>
  <si>
    <t>riferiti attacchi di panico.</t>
  </si>
  <si>
    <t>29.01</t>
  </si>
  <si>
    <t>66</t>
  </si>
  <si>
    <t>eupnoico all'eloquio e a riposo, Mv presente assenza di rumori patologici. ACV toni validi. Asenza di edemi declivi</t>
  </si>
  <si>
    <t>si consiglia polisonogramma basale 06.07.2021</t>
  </si>
  <si>
    <t>Krad Najat</t>
  </si>
  <si>
    <t>KRDNJT66S48Z330P</t>
  </si>
  <si>
    <t>3296638003</t>
  </si>
  <si>
    <t>Dott.essa Serrà Maria</t>
  </si>
  <si>
    <t>casalinga</t>
  </si>
  <si>
    <t>penicillina</t>
  </si>
  <si>
    <t>ipotensione</t>
  </si>
  <si>
    <t>riferisce fibrillazioni</t>
  </si>
  <si>
    <t>priva di documentazione clinica</t>
  </si>
  <si>
    <t>metformina , non ricorda altra terapia</t>
  </si>
  <si>
    <t>29,36</t>
  </si>
  <si>
    <t>65</t>
  </si>
  <si>
    <t>eupnoica all'eloquio e a riposo.MV ridotto assenza di rumori patologici aggiunti . Acxv toni validi ritmici  pause libere. Assenza di edemi declivi</t>
  </si>
  <si>
    <t>si consiglia esame polisonnogramma notturno per il giorno</t>
  </si>
  <si>
    <t>Felleti Francesco</t>
  </si>
  <si>
    <t>FLLFNC61R15D969O</t>
  </si>
  <si>
    <t>3484150620</t>
  </si>
  <si>
    <t>Riferisce sonnolenza diurna e risvegli notturni improvvisi._x000D_
Riferito inoltre importante russamento.</t>
  </si>
  <si>
    <t>MMG (Dott. Bruni)</t>
  </si>
  <si>
    <t>Impresa edile</t>
  </si>
  <si>
    <t>Fumatore attivo (10 sigarette/die da circa 30 anni)</t>
  </si>
  <si>
    <t>Rampiril, Cardura, Cardioaspirina,Totalip, Tamsulosina</t>
  </si>
  <si>
    <t>si (salite, scale)</t>
  </si>
  <si>
    <t>2 volte/notte</t>
  </si>
  <si>
    <t>23,5</t>
  </si>
  <si>
    <t>60</t>
  </si>
  <si>
    <t>MV lievemente ridotto soprattutto ai campi medio-apicali, non rumori patologici aggiunti.</t>
  </si>
  <si>
    <t>Sospetta sindrome delle apnee del sonno. _x000D_
Si consiglia esecuzione dei monitoraghgio cardiorespiratorio notturno programmato che il paziente eseguirà questa notte._x000D_
Si consiglia inoltre esecuzione di spirometria completa con tecnica pletismografica</t>
  </si>
  <si>
    <t>Novara Loris</t>
  </si>
  <si>
    <t>NVRLRS70P20E290Y</t>
  </si>
  <si>
    <t>3929900498</t>
  </si>
  <si>
    <t>Importante russamento notturno associato a riferite apnee</t>
  </si>
  <si>
    <t>Curante</t>
  </si>
  <si>
    <t>Parrucchiere</t>
  </si>
  <si>
    <t>Fumatore attivo circa 35 pack/years</t>
  </si>
  <si>
    <t>occasionalmente</t>
  </si>
  <si>
    <t>si in nota ernia iatale</t>
  </si>
  <si>
    <t>CardioASA; Pantoprazolo</t>
  </si>
  <si>
    <t>saltuaria, stizzosa</t>
  </si>
  <si>
    <t>si per sforzi lievi/moderati</t>
  </si>
  <si>
    <t>no in terapia</t>
  </si>
  <si>
    <t>1-2 volte/notte</t>
  </si>
  <si>
    <t>32</t>
  </si>
  <si>
    <t>MV diffusamente ridotto su tutto l'ambito, non si apprezzano grossolani rumori aggiunti.</t>
  </si>
  <si>
    <t>Sospetta OSAS.</t>
  </si>
  <si>
    <t>Zagarella Massimo</t>
  </si>
  <si>
    <t>ZGRMSM59B06B429N</t>
  </si>
  <si>
    <t>3474795918</t>
  </si>
  <si>
    <t>Importante sonnolenza diurna</t>
  </si>
  <si>
    <t>Cuoco</t>
  </si>
  <si>
    <t>una volta/die</t>
  </si>
  <si>
    <t>Pregressa crisi tireotossica, non in terapia</t>
  </si>
  <si>
    <t>una/due volte a notte</t>
  </si>
  <si>
    <t>Eupnoico a riposo e all'eloquio. Al torace MV presente su tutto l'ambito, non si apprezzano grossolani rumori aggiunti.</t>
  </si>
  <si>
    <t>Sospetta Sindrome delle Apnee del Sonno</t>
  </si>
  <si>
    <t>CARROSSINO TERESA ANGELA</t>
  </si>
  <si>
    <t>CRRTSN47A64D969B</t>
  </si>
  <si>
    <t>010580084</t>
  </si>
  <si>
    <t>Sindrome delle apnee ostruttive del sonno</t>
  </si>
  <si>
    <t>Dott. Barbieri (otorinolaringoiatra)</t>
  </si>
  <si>
    <t>impiegata</t>
  </si>
  <si>
    <t>sì, BMI 36</t>
  </si>
  <si>
    <t>Pregresso adattamento a CPAP P fissa 8 cmH2O (la paziente non ha mai ritirato il presidio)</t>
  </si>
  <si>
    <t>Blopresid</t>
  </si>
  <si>
    <t>frequente</t>
  </si>
  <si>
    <t>MV lievemente ridotto, assenza di rumri patologici agigunti. Attivitò cardiaca valida, ritmica, pause apparentemente libere</t>
  </si>
  <si>
    <t>Eseguire monitoraggio cardiorespiratorio notturno</t>
  </si>
  <si>
    <t>RAMIREZ HURTADO PAOLA ANDREA</t>
  </si>
  <si>
    <t>RMRPND83M63Z604M</t>
  </si>
  <si>
    <t>3277822312</t>
  </si>
  <si>
    <t>Apnee ostruttive del sonno di grado moderato (AHI17)</t>
  </si>
  <si>
    <t>Pneumologo</t>
  </si>
  <si>
    <t>Nega</t>
  </si>
  <si>
    <t>Foglio rosa</t>
  </si>
  <si>
    <t>Ipercolesterolemia familiare (non in terapia)</t>
  </si>
  <si>
    <t>Lieve</t>
  </si>
  <si>
    <t>Sintomatologia compatibile</t>
  </si>
  <si>
    <t>Polisonnogramma del 8.6.2021: Sindrome OSA di grado moderato AHI17, ODI 17.9, SatMedia 95%, T90 3.3%.</t>
  </si>
  <si>
    <t>Anticontracettivo orale.</t>
  </si>
  <si>
    <t>A volte.</t>
  </si>
  <si>
    <t>19</t>
  </si>
  <si>
    <t>29</t>
  </si>
  <si>
    <t>69</t>
  </si>
  <si>
    <t>Murmure vescicolare presenza in assenza di rumori patologici aggiunti.</t>
  </si>
  <si>
    <t>Paziente affetta da Apnee ostruttive del sonno di grado moderato._x000D_
In attesa del referto dell'otorino, data l'elevata sonnolenza diurna e la sintomatologia da deprivazione di sonno, è necessario sia calo ponderale sia effettuare visita Neurofisiopatologic</t>
  </si>
  <si>
    <t>GIANNESINI MARCO UGO</t>
  </si>
  <si>
    <t>GNNMCG57S08D969R</t>
  </si>
  <si>
    <t>3482584502</t>
  </si>
  <si>
    <t>sospetta OSAS</t>
  </si>
  <si>
    <t>insegnante</t>
  </si>
  <si>
    <t>1 birra da 500 ml alla sera</t>
  </si>
  <si>
    <t>riferita allergia adi inalanti respiratori di grado lieve</t>
  </si>
  <si>
    <t>si, dall'età di 30 anni</t>
  </si>
  <si>
    <t>riferito angor e dispnea da sforzo per cui ha eseguito visita cardiologica (nel 2019) con esecuzione di ECG sottosforzo)</t>
  </si>
  <si>
    <t>eseguita visita neurologica in data 08,09,20 per disturbi mnesici …</t>
  </si>
  <si>
    <t>Ramipril+idroclorotiazide</t>
  </si>
  <si>
    <t>eseguita vaccinazione completa per Sars CoV 2</t>
  </si>
  <si>
    <t>presente per sforzi moderati; già valutato dal Cardiologo (non referto in visione)</t>
  </si>
  <si>
    <t>intermittenti, in primavera, trattati con antistaminico al bisogno</t>
  </si>
  <si>
    <t>una volta a notte, tutte le notti</t>
  </si>
  <si>
    <t>disturbi mnesici già valutati da Neurologo …</t>
  </si>
  <si>
    <t>97% in a.a.</t>
  </si>
  <si>
    <t>70 bpm/R</t>
  </si>
  <si>
    <t>sospetta sindrome delle apnee notturne in paziente obeso, con sonnolenza diurna importante. Si programma</t>
  </si>
  <si>
    <t>RODRIGUEZ MONSERRATE ROSARIO</t>
  </si>
  <si>
    <t>RDRMSR63H45Z605J</t>
  </si>
  <si>
    <t>3495439352</t>
  </si>
  <si>
    <t>Sospetta sindrome delle apnee notturne del sonno</t>
  </si>
  <si>
    <t>Collaboratrice domestica</t>
  </si>
  <si>
    <t>Ex fumatrice (10 sigarette/die per circa 20 anni, stop 5 anni fa)</t>
  </si>
  <si>
    <t>Cirrosi Autoiimune</t>
  </si>
  <si>
    <t>Recente visita gastroenterologica in paziente  affetta da AIH in terapia con Aza dal 2013</t>
  </si>
  <si>
    <t>- Azatioprina 75mg;_x000D_
- Motilex _x000D_
- Kolibri 30 1 cp;_x000D_
- Deltacortene 2.5 mg_x000D_
- Alendronato 70mg 1cp/settimana_x000D_
- Esoox one s.o 1 bustina s.o._x000D_
- Dibase 25000 1/mese._x000D_
- Valium 20 gg s.o.</t>
  </si>
  <si>
    <t>rari accessi tussigeni</t>
  </si>
  <si>
    <t>frequenti</t>
  </si>
  <si>
    <t>rari</t>
  </si>
  <si>
    <t>4/notte</t>
  </si>
  <si>
    <t>raramente</t>
  </si>
  <si>
    <t>99</t>
  </si>
  <si>
    <t>Vigile, orientata, collaborante, eupnoica a riposo. SpO2 99% in aa, FC 50 bpm/R</t>
  </si>
  <si>
    <t>Sintomatologia compatibile con sindrome delle apnee del sonno. Si consiglia polisonnogramma notturno.</t>
  </si>
  <si>
    <t>COLLAMI GIAN FRANCO</t>
  </si>
  <si>
    <t>CLLGFR47T17D969Z</t>
  </si>
  <si>
    <t>3357633662</t>
  </si>
  <si>
    <t>Sospetta OSAS e dispnea da sforzo</t>
  </si>
  <si>
    <t>Esposizione professionale ad amianto._x000D_
Attualmente lavora come idraulico</t>
  </si>
  <si>
    <t>50 sigatte/die per circa 30 anni, stop 20 anni fa</t>
  </si>
  <si>
    <t>Ramipril</t>
  </si>
  <si>
    <t>nessuna documentazione in visione. Riferito pregresso IC prostata, glaucoma oculare</t>
  </si>
  <si>
    <t>sforzi lievi-moderati (salire le scale, lunga camminata in piano)</t>
  </si>
  <si>
    <t>3-4 volte/notte</t>
  </si>
  <si>
    <t>16</t>
  </si>
  <si>
    <t>35</t>
  </si>
  <si>
    <t>67</t>
  </si>
  <si>
    <t>MV lievemente ridotto in toto, assenza</t>
  </si>
  <si>
    <t>Esecuzione polisonnografia basale in data 22/10/2021 h 10_x000D_
Eseguire RX torace_x000D_
Esecuzione spirometria semplice in data 22/10/2021 h 9,30 presso Amb Insufficienza respiratoria (Prof Braido)_x000D_
Si rilasciano impegnative.</t>
  </si>
  <si>
    <t>Di Leo Carmela</t>
  </si>
  <si>
    <t>DLICML62R60D969V</t>
  </si>
  <si>
    <t>3395955541</t>
  </si>
  <si>
    <t>Roncopatia e riferite apnee nel sonno</t>
  </si>
  <si>
    <t>Curante (Fosca striscioli)</t>
  </si>
  <si>
    <t>Si 20sig/die 35aa</t>
  </si>
  <si>
    <t>Nichel</t>
  </si>
  <si>
    <t>Nessuna</t>
  </si>
  <si>
    <t>SI</t>
  </si>
  <si>
    <t>NO</t>
  </si>
  <si>
    <t>Fibromialgia</t>
  </si>
  <si>
    <t>Si, grave</t>
  </si>
  <si>
    <t>Non ricorda il nome dei farmaci che assume ma sono per l'ipertnesione e l'ipercolesterolemia.</t>
  </si>
  <si>
    <t>3 volte a notte</t>
  </si>
  <si>
    <t>Talvolta</t>
  </si>
  <si>
    <t>41</t>
  </si>
  <si>
    <t>94</t>
  </si>
  <si>
    <t>Vigile orientata collaborante eupnoica a riposo e all'eloquio. MV normotrasmesso in assenza di patologici aggiunti.</t>
  </si>
  <si>
    <t>Si congilia polisonnogramma notturno .</t>
  </si>
  <si>
    <t>Predazzi Germana Alda</t>
  </si>
  <si>
    <t>PRDGMN41L47D969U</t>
  </si>
  <si>
    <t>3394634597</t>
  </si>
  <si>
    <t>RIFERITE apnee notturne del sonno</t>
  </si>
  <si>
    <t>Neurologo dopo polisonnogramma notturno basale che evidenziava AHI di 47.6</t>
  </si>
  <si>
    <t>Interprete</t>
  </si>
  <si>
    <t>Si, FA permanente in NAO</t>
  </si>
  <si>
    <t>Eutirox, Atenololo, Ibesartan, Duloxetina, Eliquis, Vasexten, Zetia, Eliquis, Cartijoint, Mirtazapina Vit. D, Zyloric, Rifacol</t>
  </si>
  <si>
    <t>Si, spesso tutta la notte.</t>
  </si>
  <si>
    <t>Si, per sfornzi moderati.</t>
  </si>
  <si>
    <t>Si circa 3 volte</t>
  </si>
  <si>
    <t>40</t>
  </si>
  <si>
    <t>93</t>
  </si>
  <si>
    <t>62</t>
  </si>
  <si>
    <t>Paziente vigile orientata collaborante eupnoica a riposo e all'eloquio. Al torace MV normotrasmesso in assenza di rumori patologici Aggiunti.</t>
  </si>
  <si>
    <t>Si consiglia di ripetere Polisonnogramma notturno basale.</t>
  </si>
  <si>
    <t>Cheli Giorgio</t>
  </si>
  <si>
    <t>CHLGRG52C13D969L</t>
  </si>
  <si>
    <t>3492969089</t>
  </si>
  <si>
    <t>Apnee del sonno mai trattate in precedenza. Polisonnogramma notturno del 2019 con AHI 87.</t>
  </si>
  <si>
    <t>ex fumatore di 30sig/die per 25 anni.</t>
  </si>
  <si>
    <t>Si (in trattamento con totalip)</t>
  </si>
  <si>
    <t>Candesartan, Nobistarm Dicloreum, Gaviscon, Lucen, Totalip, DiBase, Sinjardy, Humalog, Tresiba, Cardioasa, Naprosyn, Lasix.</t>
  </si>
  <si>
    <t>Si porta in visione precedente Polisonnogramma notturno del 2019 con AHI DI 87, T90 35, SAT MEDIA 89.</t>
  </si>
  <si>
    <t>Si, non riesce ad avere periodi anche brevi di sonno risotratore.</t>
  </si>
  <si>
    <t>Si, per sforzi moderati.</t>
  </si>
  <si>
    <t>Si, utilizza rinazina, verosimilmente in paziente con problemi d'ipertrofia dei turbinati</t>
  </si>
  <si>
    <t>5/6 volte la notte, assume 1cp di lasix la mattina.</t>
  </si>
  <si>
    <t>86</t>
  </si>
  <si>
    <t>Paziente vigilie orientato collaborante eupnoico a riposo e all'eloquio. Al torace MV normotrasmesso in assenza di rumori patologici Aggiunti.</t>
  </si>
  <si>
    <t>Dato il quadro di grave sintomatologia descritta, si consiglia adattamento con CPAP .</t>
  </si>
  <si>
    <t>Murdica Carmelo</t>
  </si>
  <si>
    <t>MRDCML45T25D969L</t>
  </si>
  <si>
    <t>3355699152</t>
  </si>
  <si>
    <t>controllo in sospetta OSAS</t>
  </si>
  <si>
    <t>cardiologo</t>
  </si>
  <si>
    <t>pensionato</t>
  </si>
  <si>
    <t>intolleranza glucidica</t>
  </si>
  <si>
    <t>antipertensivo non meglio specificato</t>
  </si>
  <si>
    <t>34</t>
  </si>
  <si>
    <t>96% in aria ambiente</t>
  </si>
  <si>
    <t>90 bpm/R con presenza di extrasistoli</t>
  </si>
  <si>
    <t>paziente vigile e orientato, eupnoico a riposo e all'eloquio. MV normotrasmesso in assenza di grossolani rumori aggiunti, FVT normotrasmesso, normofonesi plessica.</t>
  </si>
  <si>
    <t>Si consiglia esecuzione di monitoraggio cardiorespiratorio notturno basale.</t>
  </si>
  <si>
    <t>Pichetto Federico</t>
  </si>
  <si>
    <t>PCHFRC84B29D969E</t>
  </si>
  <si>
    <t>3487541501</t>
  </si>
  <si>
    <t>OSAS</t>
  </si>
  <si>
    <t>De Ferrari</t>
  </si>
  <si>
    <t>Insegnante di liceo</t>
  </si>
  <si>
    <t>Riferisce allergia a pollini generica</t>
  </si>
  <si>
    <t>Si talvolta</t>
  </si>
  <si>
    <t>Lopresor, Bivis, Litio.</t>
  </si>
  <si>
    <t>Talvolta, ma in concomitanza del RGE.</t>
  </si>
  <si>
    <t>Si per sforzi moderati.</t>
  </si>
  <si>
    <t>Si, talvolta, affetto sa sinusopatia cronica.</t>
  </si>
  <si>
    <t>negli ultimi 6 mesi anche 4 volte a notte</t>
  </si>
  <si>
    <t>44</t>
  </si>
  <si>
    <t>61</t>
  </si>
  <si>
    <t>Paziente vigile orientato collaborante eupnoico a riposo e all'eloquio, Al torace:</t>
  </si>
  <si>
    <t>Paziente in possesso di CPAP per osas grave diagnosticata anni addietro, attualmente forte disconfort con l'apparecchio in possesso e presenza di marcata sintomatologia riconducibile, si consiglia di effettuare nuovo adattamento oltre che a consigliatre u</t>
  </si>
  <si>
    <t>SGRO' BARBARA</t>
  </si>
  <si>
    <t>SGRBBR66H70D969L</t>
  </si>
  <si>
    <t>3405013407</t>
  </si>
  <si>
    <t>sindrome delle apnee ostruttive del sonno</t>
  </si>
  <si>
    <t>Neurofisiopatologia</t>
  </si>
  <si>
    <t>infermiera, direttrice RSA</t>
  </si>
  <si>
    <t>ex fumatrice (20 sigarette/die per circa 20 anni)</t>
  </si>
  <si>
    <t>tegretor, carbamazepina</t>
  </si>
  <si>
    <t>presente</t>
  </si>
  <si>
    <t>Polisonnografia basale 17/09/21: AHI 79ODI82,3, SpO2 media 86, t90% 54,2, indice di russamento 247,5</t>
  </si>
  <si>
    <t>Xarenel 1/mese, Gaviscon dopo i pasti</t>
  </si>
  <si>
    <t>IC ernia discale, steatosi epatica, febbre reumatica in età infantile</t>
  </si>
  <si>
    <t>lieve dispnea per sforzi moderati, marcia in piano conservata</t>
  </si>
  <si>
    <t>2-3 volte/notte</t>
  </si>
  <si>
    <t>MV presente, assenza di rumori patologici aggiunti.</t>
  </si>
  <si>
    <t>Sindorme delle apnee ostuttive del sonno di entità grave, associata ad insufficienza respiratoria notturna. Si programma adattamento a CPAP</t>
  </si>
  <si>
    <t>TRIGIANTE EMANUELA</t>
  </si>
  <si>
    <t>TRGMNL70P43C218R</t>
  </si>
  <si>
    <t>3456729798</t>
  </si>
  <si>
    <t>Sospetta sindrome della apnee ostruttive del sonno</t>
  </si>
  <si>
    <t>Medico curante</t>
  </si>
  <si>
    <t>ex lieve fumatrice (5-6 sigarette/die per qualche mese)</t>
  </si>
  <si>
    <t>acari della polvere, pollini non precisati</t>
  </si>
  <si>
    <t>presenti</t>
  </si>
  <si>
    <t>PFR 2018:FVC 1,66L (54%), FEV1 1,49L (60%), IT 89,4. Post broncodilatazione FVC 51% (1,57L), FEV1 56% (1,38L), IT 88.</t>
  </si>
  <si>
    <t>Foster spray 1 inalazione al mattino + 1 inalazione alla sera, Lansoprazoloo, Oki bustine, gaviscon</t>
  </si>
  <si>
    <t>sforzi lievi-moderati</t>
  </si>
  <si>
    <t>MV ridotto in toto, assenza di rumori patologici aggiunti.</t>
  </si>
  <si>
    <t>MILLARTE GAETANO</t>
  </si>
  <si>
    <t>MLLGTN59B22L049C</t>
  </si>
  <si>
    <t>3773119522</t>
  </si>
  <si>
    <t>Dott. Moratti</t>
  </si>
  <si>
    <t>Ex fumatore (circa 20 sigarette/die per 20 anni, stop 20 anni fa)</t>
  </si>
  <si>
    <t>ai pasti</t>
  </si>
  <si>
    <t>tiroidite di Hashimoto</t>
  </si>
  <si>
    <t>in tp con PPI</t>
  </si>
  <si>
    <t>MCR 10/2021: AHI 24, ODI( 11,5, SpO2 media 94%, t90% 1,9_x000D_
PFR 05/2021; FVC 90% (3,57L), FEV1 93% (2,90L), IT 81. _x000D_
Saturimetria: 08/2021: SpO3 basale 89,8. media 89,8, t90% 47. Ossigenoterapia notturna 1L/min</t>
  </si>
  <si>
    <t>Cotareg, Lobivon, Eutirox 100, statine, pantoprazolo, cardioASA</t>
  </si>
  <si>
    <t>1L/min</t>
  </si>
  <si>
    <t>rari accessi tussigeni non produttivi</t>
  </si>
  <si>
    <t>dispnea per sforzi lievi</t>
  </si>
  <si>
    <t>negta</t>
  </si>
  <si>
    <t>33</t>
  </si>
  <si>
    <t>Si consiglia adattamento a CPAP (paziente residente a Taranto).</t>
  </si>
  <si>
    <t>DOMINICI EMANUELE</t>
  </si>
  <si>
    <t>DMNMNL80C03D969I</t>
  </si>
  <si>
    <t>3336214766</t>
  </si>
  <si>
    <t>Sospetta Sindrome delle apnee ostruttive del sonno</t>
  </si>
  <si>
    <t>Chirurgia toracica (accesso in chirurgia toracica per lipoma dorsale)</t>
  </si>
  <si>
    <t>geometra</t>
  </si>
  <si>
    <t>Fumatore attivo (5 minisigari/die da 1 anno, in passato 30 sigarette/die per circa 10 sigarette/die)</t>
  </si>
  <si>
    <t>Riferisce aumento ponderale di circa 25 kg nell'ultimo anno. Pregressa infezione da Sars-Cov-2.</t>
  </si>
  <si>
    <t>Lisinopril 5 mg</t>
  </si>
  <si>
    <t>lieve dispnea per sfrozi moderati</t>
  </si>
  <si>
    <t>39</t>
  </si>
  <si>
    <t>84</t>
  </si>
  <si>
    <t>sintomatologia ed anamnesi compatibile con sindrome delle apnee ostruttive del sonno. Si programma polisonnogramma notturno.</t>
  </si>
  <si>
    <t>Fischietto Incoronata</t>
  </si>
  <si>
    <t>FSCNRN60R67F104A</t>
  </si>
  <si>
    <t>010464456</t>
  </si>
  <si>
    <t>Prima visita per sospetta OSAS.</t>
  </si>
  <si>
    <t>Medico Curante.</t>
  </si>
  <si>
    <t>Assistenza domiciliare</t>
  </si>
  <si>
    <t>Sì</t>
  </si>
  <si>
    <t>Sovrappeso</t>
  </si>
  <si>
    <t>Riferisce tosse stizzosa in terapia con gaviscon.</t>
  </si>
  <si>
    <t>Tachipirina al bisogno per cefalea.</t>
  </si>
  <si>
    <t>Riferisce tosse stizzosa , catarro fermo in gola.</t>
  </si>
  <si>
    <t>Frequenti risvegli notturni con sensazione di mancanza di aria.</t>
  </si>
  <si>
    <t>Riferisce moderata dispnea da sforzo</t>
  </si>
  <si>
    <t>Iniziale deficit di memoria a breve termine.</t>
  </si>
  <si>
    <t>Riferisce cefalea muscolo tensiva. Eseguita TC massiccio facciale negativa.</t>
  </si>
  <si>
    <t>55</t>
  </si>
  <si>
    <t>Attività cardiaca valida, ritmica con qualche extrasistole,pause apparentemente libere da soffi. Al torace FVT normotrasmesso , MV presente in assenza di rumori patologici aggiunti.</t>
  </si>
  <si>
    <t>Paziente con forte sonnolenza diurna e moderata astenia e frequenti risvegli notturni. Quadro compatibile con possibili apnee ostruttive del sonno. La tosse riferita dalla paziente è da ricondurre in prima battuta a post nasal drip. _x000D_
Si consigli  di e</t>
  </si>
  <si>
    <t>Del Re Maria</t>
  </si>
  <si>
    <t>3471185879</t>
  </si>
  <si>
    <t>OSA grave</t>
  </si>
  <si>
    <t>Pulizie in banca.</t>
  </si>
  <si>
    <t>Losacor, Limpidex, Lexotan.</t>
  </si>
  <si>
    <t>Si a volte</t>
  </si>
  <si>
    <t>Si per sforzi moderati</t>
  </si>
  <si>
    <t>Si spesso circa 3 volte</t>
  </si>
  <si>
    <t>Si talvotla</t>
  </si>
  <si>
    <t>Si spesso.</t>
  </si>
  <si>
    <t>49</t>
  </si>
  <si>
    <t>73</t>
  </si>
  <si>
    <t>Vigile orientata collaborante eupncoica a riposo e all'eloquio.</t>
  </si>
  <si>
    <t>Si consiglia adattamento con CPAP.</t>
  </si>
  <si>
    <t>Scifano Simonetta</t>
  </si>
  <si>
    <t>SCFSNT68P67L331Y</t>
  </si>
  <si>
    <t>3934805959</t>
  </si>
  <si>
    <t>medic</t>
  </si>
  <si>
    <t>Fruttivendola</t>
  </si>
  <si>
    <t>Si in terapia</t>
  </si>
  <si>
    <t>Ipertrigliceridemia</t>
  </si>
  <si>
    <t>Obesità di classe 1</t>
  </si>
  <si>
    <t>Paroxetina, Bisoprololo/idroclorotiazide</t>
  </si>
  <si>
    <t>2/3 volte a notte</t>
  </si>
  <si>
    <t>Qualche disturbo della memoria a breve termine</t>
  </si>
  <si>
    <t>Occasionalmente lamenta cefalea</t>
  </si>
  <si>
    <t>78</t>
  </si>
  <si>
    <t>Attività cardiaca valida, ritmica con pause apparentemente libere da soffi. Al torace MV presente in assenza di rumori patologici aggiunti.</t>
  </si>
  <si>
    <t>Anamnesi compatibile con quadro di apnee ostruttive del sonno. Si programma Polisonnografia basale. Ritirare polisonnigrafo in data 12/01/2022 ore 12:00 presso il nostro ambulatorio. Riconsegnare il giorno seguente entro le ore 8.00.</t>
  </si>
  <si>
    <t>ATIKALA TIZIANA</t>
  </si>
  <si>
    <t>TKLTZN75E49D969I</t>
  </si>
  <si>
    <t>3714842095</t>
  </si>
  <si>
    <t>Segretaria</t>
  </si>
  <si>
    <t>ex forte fumatrice 40 p/y.</t>
  </si>
  <si>
    <t>Allergia a piranzolonici</t>
  </si>
  <si>
    <t>in terapia con statina</t>
  </si>
  <si>
    <t>Obesità di classe 3</t>
  </si>
  <si>
    <t>Metformina, Palexia ,Brufen , Torvast, Nozinan , Xeplion ,Zolpidem.</t>
  </si>
  <si>
    <t>occasionale</t>
  </si>
  <si>
    <t>dispnea per sforzi moderati (camminare in salita , scale)</t>
  </si>
  <si>
    <t>Paziente in terapia SPDC per psicosi. Riferisce sporadica difficoltà a ricordarsi le cose e a concentrarsi.</t>
  </si>
  <si>
    <t>82</t>
  </si>
  <si>
    <t>Al torace basi mobili bilateralmente, MV presente in assenza di rumori patologici aggiunti.</t>
  </si>
  <si>
    <t>Paziente obesa con forte sonnolenza diurna. In terapia con antipsicotici._x000D_
Anamnesi compatibile con OSA._x000D_
Si ptorgramma polisonnografia.</t>
  </si>
  <si>
    <t>Zannini Massimo</t>
  </si>
  <si>
    <t>ZNNMSM59L30D969R</t>
  </si>
  <si>
    <t>010784106</t>
  </si>
  <si>
    <t>Visita per sospetta OSAS</t>
  </si>
  <si>
    <t>Medico Curante. (Dr.ssa Olsen)</t>
  </si>
  <si>
    <t>60 p/y</t>
  </si>
  <si>
    <t>Quadro di BPCO con Enfisema diffuso. Nodulo polmonare in sede basale dx in corso di accertamento (Dr.ssa Daneri)</t>
  </si>
  <si>
    <t>Akineton,Leponex,Paracetamolo, Laventair, Silodosina,Brufen,Depakin, Movicol,Dibase, Deltacortene ,Quetiapina,Nozinan.</t>
  </si>
  <si>
    <t>Lamenta frequenti accessi tussigeni</t>
  </si>
  <si>
    <t>2/3 volte per notte</t>
  </si>
  <si>
    <t>Dispnea per sforzi lievi-moderati. MRC 2</t>
  </si>
  <si>
    <t>3/4 volter per notte</t>
  </si>
  <si>
    <t>Eupnoico a riposo.Al torace MV diffusamente ridotto in assenza di rumori patologici aggiunti. Attività cardiaca valida ritmica con pause apparentemnete libere da soffii</t>
  </si>
  <si>
    <t>Paziente con psicosi grave di tipo paranoide in trattamento con farmaci antipsicotici. Presenza di forte sonnolenza diurna e di risvegli notturni per mancanza di aria._x000D_
Anamnesi compatibile con OSAS._x000D_
Si richiede Polisonnografia basale</t>
  </si>
  <si>
    <t>Mari Paolo</t>
  </si>
  <si>
    <t>MRAPLA65H29D969K</t>
  </si>
  <si>
    <t>3338615114</t>
  </si>
  <si>
    <t>Cardiologo (Dr Abrile)</t>
  </si>
  <si>
    <t>Augmentin</t>
  </si>
  <si>
    <t>Riferisce occasionale sintomatologia riconducibile a reflusso</t>
  </si>
  <si>
    <t>Olpress ,Amlodipina, Bisoprololo 7,5 mg , Brufen.</t>
  </si>
  <si>
    <t>Riferisce 1/2 risvegli notturni a notte con sensazione di mancanza di aria.</t>
  </si>
  <si>
    <t>2/3 volte a notte.</t>
  </si>
  <si>
    <t>63</t>
  </si>
  <si>
    <t>Eupnoico a riposo , Attività cardiaca valida ritmica con pause apparentemente libere da soffi, al torace MV presente in assenza di rumori patologici aggiunti.</t>
  </si>
  <si>
    <t>Anmnesi fortemente suggestiva per OSA. Si richiede polisonnografia basale.</t>
  </si>
  <si>
    <t>ALVAREZ EVANDRA ALBERTINA</t>
  </si>
  <si>
    <t>LVRVDR50D64D969I</t>
  </si>
  <si>
    <t>3474510551</t>
  </si>
  <si>
    <t>medico curante (Dr. Stimamiglio)</t>
  </si>
  <si>
    <t>ex cuoca</t>
  </si>
  <si>
    <t>mezzo bicchiere ai pasti</t>
  </si>
  <si>
    <t>Sì , non più in terapia.</t>
  </si>
  <si>
    <t>Si, in terapia con PPI</t>
  </si>
  <si>
    <t>ECG ed ecocardio nella norma, Laringoscopia con ipertrofia tonsilla linguale bilateralmente, Iperplasia mucosa aritenoidea e retroaritenoidea da malattia da reflusso gastroesofageo.</t>
  </si>
  <si>
    <t>Anafranil, lactinal, lansoprazolo 30 mg, Pentacol.</t>
  </si>
  <si>
    <t>Riferisce tosse secca riconducibile a MRGE</t>
  </si>
  <si>
    <t>2/3 volte per notte.</t>
  </si>
  <si>
    <t>Dispnea per sforzi lievi moderati ( scale , salite.)</t>
  </si>
  <si>
    <t>3/4 volte per notte</t>
  </si>
  <si>
    <t>Difficoltà a concentrarsi e alcuni episodi di deficit di memoria a breve termine.</t>
  </si>
  <si>
    <t>Eupnoica a riposo , attività cardiaca valida , ritmica con pause apparentemente libere da soffi, al torace Mv presente in assenza di rumori patologici aggiunti.</t>
  </si>
  <si>
    <t>anamnesi compatibile con OSAS di grado severo e malattia da reflusso gastroesofageo.</t>
  </si>
  <si>
    <t>Tangari Marcello</t>
  </si>
  <si>
    <t>TNGMCL48M29D969X</t>
  </si>
  <si>
    <t>3488542482</t>
  </si>
  <si>
    <t>medico curante</t>
  </si>
  <si>
    <t>100 p/y</t>
  </si>
  <si>
    <t>2 bicchieri di vino sporadici ai pasti</t>
  </si>
  <si>
    <t>nega, in terapia con PPI</t>
  </si>
  <si>
    <t>Congescor 2,5mg due volte al giorno,PPI, Metforal 850 3 volte die, Jardiance.</t>
  </si>
  <si>
    <t>Eupnoico a riposo, Al torace MV presente in assenza di rumori patologici aggiunto, Attività cardiaca valida ritmica con pause apparentemente libere da soffi.</t>
  </si>
  <si>
    <t>Paziente conroncopatia e forte sonnolenza diurna. Anamnesi suggestiva per OSAS._x000D_
Si programma polisonnogramma notturno.</t>
  </si>
  <si>
    <t>QUINONEZ PONGUILLO MIGUEL ANGEL</t>
  </si>
  <si>
    <t>QNNMLN78S14Z605M</t>
  </si>
  <si>
    <t>3715864825</t>
  </si>
  <si>
    <t>visita di controllo OSAS</t>
  </si>
  <si>
    <t>ex fumatore 18 p/y</t>
  </si>
  <si>
    <t>Allergia a graminacce, ulivo.</t>
  </si>
  <si>
    <t>Obesità di classe 2</t>
  </si>
  <si>
    <t>Si in terapia con PPI</t>
  </si>
  <si>
    <t>Levitiracetam, Invega, Omeprazolo, Pregabalin , Fluoxetina , Esilcarbazepina, Transene ,Olmesartan, Didrogyl,symbicort turbohaler.</t>
  </si>
  <si>
    <t>Occasionale tosse con espettorazione biancastra</t>
  </si>
  <si>
    <t>Frequenti risvegli notturni per affanno</t>
  </si>
  <si>
    <t>Dispnea per sfrozi lievi moderati( lunga cammintata, scale , salite)</t>
  </si>
  <si>
    <t>10 volte per notte</t>
  </si>
  <si>
    <t>forte difficoltà a concentrarsi.</t>
  </si>
  <si>
    <t>nega. Paziente in terapia con farmaci antiepilettici.</t>
  </si>
  <si>
    <t>Eupnoico a riposo, attività cardiaca valida ritmica , con pause apparentemente libere, al torace MV presente in assenza di rumori aggiunti.</t>
  </si>
  <si>
    <t>Paziente con OSAS di grado severo(eseguita polisonnografia in spagna 2 anni fa non portata in visione). Riferisce forte sintomatologia riconducibile con apnee ostruttive del sonno. _x000D_
Si consiglia esecuzione di polisonnografia basale e CPAP autoregolante</t>
  </si>
  <si>
    <t>Croce Walter</t>
  </si>
  <si>
    <t>CRCWTR68C18D969X</t>
  </si>
  <si>
    <t>3488912161</t>
  </si>
  <si>
    <t>medico curante.</t>
  </si>
  <si>
    <t>Portinaio</t>
  </si>
  <si>
    <t>Paziente affeto da OSAS di grado moderato. Eseguita polisonnografia nel 2016 non portata in visione.</t>
  </si>
  <si>
    <t>Lansoprazolo.</t>
  </si>
  <si>
    <t>Eupnoico a riposo ,Al torace MV presente , FVT normotrasmesso in assenza di rumori patologici aggiunti, Attività cardiaca valida ,ritmcica ,normofrequento con pause apparentemente libere.</t>
  </si>
  <si>
    <t>Paziente con OSAS di grado moderato( eseguita polisonnografia nel 2016) , non in terapia con CPAP notturna, riferisce forte sonnolenza diurna._x000D_
Si consiglia si ripetere polisonnografia Basale.</t>
  </si>
  <si>
    <t>Barresi Carmela</t>
  </si>
  <si>
    <t>BRRCML66C62D969O</t>
  </si>
  <si>
    <t>DISTRUBI DEL SONNO</t>
  </si>
  <si>
    <t>MEDICO CURANTE</t>
  </si>
  <si>
    <t>LIBERO PROFESSIONISTA</t>
  </si>
  <si>
    <t>PARETARIA, PELO DEL GATTO</t>
  </si>
  <si>
    <t>NEGA</t>
  </si>
  <si>
    <t>LIEVE</t>
  </si>
  <si>
    <t>SI, IN TRATTAMENTO CON PPI</t>
  </si>
  <si>
    <t>occasionalmente, specia a decubito supino</t>
  </si>
  <si>
    <t>riferisce dispnea per sforzi di media intesità</t>
  </si>
  <si>
    <t>lieve deficit della memoria a breve termine</t>
  </si>
  <si>
    <t>23</t>
  </si>
  <si>
    <t>71</t>
  </si>
  <si>
    <t>Paziente euponoica a riposo e all'eloquio.</t>
  </si>
  <si>
    <t>utile polisonnografia notturna.</t>
  </si>
  <si>
    <t>Patrone Riccardo</t>
  </si>
  <si>
    <t>3409833071</t>
  </si>
  <si>
    <t>riferisce addormentamenti improvvisi in cucina risvegli in cucina con pentole sul fuoco bruciate</t>
  </si>
  <si>
    <t>20 sig die per 40 anni</t>
  </si>
  <si>
    <t>Obesità di primo grado</t>
  </si>
  <si>
    <t>farmaco per ipotiroidismo non specificato, argotone.</t>
  </si>
  <si>
    <t>Dellepiane Giancarlo</t>
  </si>
  <si>
    <t>DLLGCR60D07D969K</t>
  </si>
  <si>
    <t>3519719602</t>
  </si>
  <si>
    <t>Disturbi del sonno</t>
  </si>
  <si>
    <t>Magazziniere</t>
  </si>
  <si>
    <t>10 P/Y</t>
  </si>
  <si>
    <t>Riferisce: allergia a Polvere, farina. RAF: Voltaren.</t>
  </si>
  <si>
    <t>n</t>
  </si>
  <si>
    <t>Di primo tipo</t>
  </si>
  <si>
    <t>nnn</t>
  </si>
  <si>
    <t>Spesso tosse secca senza espettorazione</t>
  </si>
  <si>
    <t>Spesso</t>
  </si>
  <si>
    <t>Per sforzi moderati</t>
  </si>
  <si>
    <t>nn</t>
  </si>
  <si>
    <t>2-3 volte/die</t>
  </si>
  <si>
    <t>Deficit memoria a breve termine</t>
  </si>
  <si>
    <t>Paziente eupnoico a riposo e all'eloquio. Al torace MV ridotto in toto con ronchi inspiratori ed espiratori. ACV ritmico con pause apparentemente libere da soffi.</t>
  </si>
  <si>
    <t>Si consiglia di eseguire polisonnogrammanotturno in data 22/03/2022 alle ore 12.00 e una spirometria semplice.</t>
  </si>
  <si>
    <t>OTOYA HOLGUIN DEBBIE NICOLE</t>
  </si>
  <si>
    <t>TYHDBN93T70Z605O</t>
  </si>
  <si>
    <t>3333612962</t>
  </si>
  <si>
    <t>Badante</t>
  </si>
  <si>
    <t>Occasionalmente</t>
  </si>
  <si>
    <t>Dubbia allergia a graminacee</t>
  </si>
  <si>
    <t>Gaviscon occasionalmente</t>
  </si>
  <si>
    <t>Frequenti</t>
  </si>
  <si>
    <t>Frequente per sforzi lievi</t>
  </si>
  <si>
    <t>3 volte/notte</t>
  </si>
  <si>
    <t>Paziente eupnoica a riposo. Al torace MV fortemente ridotto, con lievi crepitazioni bibasali. ACV ritmico con pause apparentemente libere da soffi.</t>
  </si>
  <si>
    <t>Si consiglia calo ponderale e l’effettuazione di polisonnogramma nottuno basale in data 18/03/2022 alle ore 11.30, da riconsegnare in data 21/03/2022 entro le ore 8.00.</t>
  </si>
  <si>
    <t>TINNIRELLO FLAVIA</t>
  </si>
  <si>
    <t>TNNFLV74T54D969V</t>
  </si>
  <si>
    <t>3381379303</t>
  </si>
  <si>
    <t>Insegnante</t>
  </si>
  <si>
    <t>RAF eliquis</t>
  </si>
  <si>
    <t>Ricovero nel 2019 per sospetta microembolia polmonare; infezione SARS-CoV2 a gennaio 2022</t>
  </si>
  <si>
    <t>Nodulo tiroideo benigno in follow up</t>
  </si>
  <si>
    <t>-Visita internistica ambulatoriale:lieve insufficenza tricuspidale e mitralica;_x000D_
-Visita cardiologica: FE 60%, insufficienza mitralica e tricuspidale (36 mhg PAPs);_x000D_
-Rx torace 10/02/2022 negativo</t>
  </si>
  <si>
    <t>Deflan per 12 giorni (05/03/2022 stop) per dolore toracico</t>
  </si>
  <si>
    <t>-tc torace con MdC: addensamento parenchimale fibro-disventilatorio. Ispessimenti pleurici biapicali._x000D_
-Spirometria semplice 03/03/2022 valori nella norma</t>
  </si>
  <si>
    <t>Scolo nasale occasionalmente</t>
  </si>
  <si>
    <t>Deficit lieve della memoria a breve termine</t>
  </si>
  <si>
    <t>Paziente eupnoica a riposo e all'eloquio. Al torace MV presente con crackles agli apici bilateralmente. ACV valido e ritmico. Assenza di edemi declivi.</t>
  </si>
  <si>
    <t>Si consiglia spirometria con tecnica pletismografica e DLCO. Si suggerisce di effettuare monitoraggio cardiorespiratorio notturno._x000D_
Calo ponderale.</t>
  </si>
  <si>
    <t>Di Bella Alessio</t>
  </si>
  <si>
    <t>3476964375</t>
  </si>
  <si>
    <t>Riferita dalla madre fatica nella respirazione notturna.</t>
  </si>
  <si>
    <t>Ormonoterapia GH,</t>
  </si>
  <si>
    <t>Cristiano Luigi</t>
  </si>
  <si>
    <t>CRSLGU82T19D969G</t>
  </si>
  <si>
    <t>3475485100</t>
  </si>
  <si>
    <t>disturbi del sonno</t>
  </si>
  <si>
    <t>Dal medico curante</t>
  </si>
  <si>
    <t>in porto</t>
  </si>
  <si>
    <t>2-3 sigarette/die</t>
  </si>
  <si>
    <t>1 birra/die</t>
  </si>
  <si>
    <t>Aumentato</t>
  </si>
  <si>
    <t>Dubbia</t>
  </si>
  <si>
    <t>Antipertensivo</t>
  </si>
  <si>
    <t>Occasionale</t>
  </si>
  <si>
    <t>Quasi ogni notte</t>
  </si>
  <si>
    <t>Per sforzi di notevole intensità</t>
  </si>
  <si>
    <t>Spesso presente al risveglio</t>
  </si>
  <si>
    <t>76</t>
  </si>
  <si>
    <t>MV ridotto con crackles diffusi</t>
  </si>
  <si>
    <t>Si consiglia esecuzione di monitoraggio cardiorespiratorio basale in data 5/4/2022 alle ore 12.15</t>
  </si>
  <si>
    <t>Santoro Domenico</t>
  </si>
  <si>
    <t>3408823541</t>
  </si>
  <si>
    <t>Diagnosi precedente di OSAS grave non in trattamento con CPAP</t>
  </si>
  <si>
    <t>curante</t>
  </si>
  <si>
    <t>ex muratore</t>
  </si>
  <si>
    <t>Parietaria, epiterio di cane</t>
  </si>
  <si>
    <t>media</t>
  </si>
  <si>
    <t>88</t>
  </si>
  <si>
    <t>RIVELA CARLA</t>
  </si>
  <si>
    <t>RVLCRL53D49H501S</t>
  </si>
  <si>
    <t>3406716883</t>
  </si>
  <si>
    <t>Fumatrice attiva (45 P/Y)</t>
  </si>
  <si>
    <t>intolleranze ad alcuni alimenti. Allergia a sulfamidici e aspirina</t>
  </si>
  <si>
    <t>Monitoraggio cardiorespiratorio._x000D_
Spirometria</t>
  </si>
  <si>
    <t>zestoretic e ticlopirina, brintelix, torvast, olevia</t>
  </si>
  <si>
    <t>ricorrente, con espettorazione biancastra</t>
  </si>
  <si>
    <t>da sforzo lieve-moderato</t>
  </si>
  <si>
    <t>3-5 volte/notte</t>
  </si>
  <si>
    <t>deficit memoria a breve termine (presenza anche di disturbo somatiforme e segni di involuzione cerebrale.</t>
  </si>
  <si>
    <t>TESTINI BARBARA</t>
  </si>
  <si>
    <t>TSTBBR72M71D969D</t>
  </si>
  <si>
    <t>3485489488</t>
  </si>
  <si>
    <t>Dal nostro ambulatorio</t>
  </si>
  <si>
    <t>Aiuto cuoco</t>
  </si>
  <si>
    <t>occasionalmente (1 sigaretta ogni 10 giorni)</t>
  </si>
  <si>
    <t>Pollini</t>
  </si>
  <si>
    <t>occasionalmente, in terapia con Gaviscon</t>
  </si>
  <si>
    <t>Operazione nasale per deviazione setto e ai turbinati._x000D_
Exeresi tuba di sinistra e appendicectomia (cisti in tuba con successiva sepsi). _x000D_
Porta in visione monitoraggio cardiorespiratorio (20.09.2021): AHI 19.2, IR 474.1, ODI 21.5, t90 1.9.</t>
  </si>
  <si>
    <t>Ebastina, Brexin e Gaviscon al bisogno</t>
  </si>
  <si>
    <t>secca soprattutto la notte</t>
  </si>
  <si>
    <t>da sforzo moderato (scale, salite)</t>
  </si>
  <si>
    <t>colo nasale, soprattutto nel periodo primaverile</t>
  </si>
  <si>
    <t>paziente eupnoica a riposo e all'eloquio. Al torace MV presente,lievemente ridotto alle basi, in assenza di grossolani rumori patologici aggiunti. ACV ritmico. Lievi edemi declivi agli AAII.</t>
  </si>
  <si>
    <t>OSAS di grado moderato in assenza di insufficienza respiratoria notturna. Si consiglia:calo ponderale terapia posizionale e adattamento a CPAP in data 27/09/2022 (orario da concordare)</t>
  </si>
  <si>
    <t>BRUZZESE MARIA RENATA</t>
  </si>
  <si>
    <t>BRZMRN50M70I480I</t>
  </si>
  <si>
    <t>3208419518</t>
  </si>
  <si>
    <t>Pensionata (ex impiegata)</t>
  </si>
  <si>
    <t>nega (1 bicchiere di vino a pranzo)</t>
  </si>
  <si>
    <t>bypass aorto-coronarico (2010)</t>
  </si>
  <si>
    <t>Sì, obesità di I grado</t>
  </si>
  <si>
    <t>sì, ernia iatale</t>
  </si>
  <si>
    <t>sideropenia, safenectomia, ernia Jatale, adenoma tubulo-villoso nel 2007 sottoposto a exeresi parte intestino. Pielonefrite nel 2019 in seguito a litiasi. Parkinson.</t>
  </si>
  <si>
    <t>eutirox, madopar, rasalar, integrazione ferro ev, neupro intradermico, bentelix, pantoprazolo, totalip</t>
  </si>
  <si>
    <t>Porta in visione polisonnografia notturna del 2019: negativa (AHI 4.7); apnee ostruttive strettamente REM correlate (AHI in REM 30.8).</t>
  </si>
  <si>
    <t>sensazione di mancanza d'aria</t>
  </si>
  <si>
    <t>sì, in terapia</t>
  </si>
  <si>
    <t>cefalea persistente</t>
  </si>
  <si>
    <t>75</t>
  </si>
  <si>
    <t>Paziente con elevata sonnolenza, eupnoica a riposo e all'eloquio. MV presente, in assenza di grossolani rumori patologici aggiunti. ACV ritmico. No edemi declivi AAII.</t>
  </si>
  <si>
    <t>Si consiglia ritetizione del monitoraggio cardiorespiratorio in data</t>
  </si>
  <si>
    <t>Jebali Mohamed</t>
  </si>
  <si>
    <t>3272651922</t>
  </si>
  <si>
    <t>riferito importante russamento notturno.</t>
  </si>
  <si>
    <t>traslocatore, autista</t>
  </si>
  <si>
    <t>ex fumatore (60 sig.die per 25 anni)</t>
  </si>
  <si>
    <t>ex bevitore</t>
  </si>
  <si>
    <t>acari della polvere</t>
  </si>
  <si>
    <t>Giant 40.5, simvastatina, pantoprazolo, metformina.</t>
  </si>
  <si>
    <t>ambulatorio pneumologia</t>
  </si>
  <si>
    <t>aiuto cuoco</t>
  </si>
  <si>
    <t>monitoraggio cardiorespiratorio (giugno 2021): AHI 17, (apnee di tipo ostruttivo ed ipopnee), T90 3,3%, OSA di GRADO MODERATO in assenza di insufficienza respiratoria notturna. _x000D_
Visita ORL (22/03/2022): deviazione settale, ipertrofia adenoidea, ipertrof</t>
  </si>
  <si>
    <t>occasionalmente, secca</t>
  </si>
  <si>
    <t>sinusite</t>
  </si>
  <si>
    <t>deficit memoria breve termine</t>
  </si>
  <si>
    <t>MV presente, in assenza di grossolani rumori patologici. ACV ritmico. No edemi declivi AAII</t>
  </si>
  <si>
    <t>Paziente con OSAS di grado moderato, in attesa di intervento di faringoplastica dopo sleep-endoscopy. Si consiglia adattamento a CPAP in data 12/07/2022 h 10.00</t>
  </si>
  <si>
    <t>Quenti Daniela</t>
  </si>
  <si>
    <t>3394477492</t>
  </si>
  <si>
    <t>riferita importante roncopatia</t>
  </si>
  <si>
    <t>ex fumatrice (25 sig.die per 15 anni)</t>
  </si>
  <si>
    <t>nikel</t>
  </si>
  <si>
    <t>si gozzo normofunzionante</t>
  </si>
  <si>
    <t>irbesartan, amlodipina, eutirox,cipralex, pantoprazolo.</t>
  </si>
  <si>
    <t>FAZZOLARI MARZIA</t>
  </si>
  <si>
    <t>FZZMRZ79D62D969T</t>
  </si>
  <si>
    <t>3515072177</t>
  </si>
  <si>
    <t>sospetto OSAS</t>
  </si>
  <si>
    <t>otorinolaringoiatra</t>
  </si>
  <si>
    <t>lavoratrice in ditta pulizie</t>
  </si>
  <si>
    <t>fumatrice attiva (25 P/Y) ora passata a 1 vapor in 3 giorni</t>
  </si>
  <si>
    <t>doppio uretere bilaterale congenito, anemia sideropenica. Chirurgia bariatrica nel 2018 (bypass gastrico), con calo ponderale di 50 kg._x000D_
Visita ORL 4/04/2022: deviazione setto nasale, ipertrofia turbinati inferiori bilateralmente… si valutava chirurgia</t>
  </si>
  <si>
    <t>flebo Fe, riferisce assunzione al bisogno di Symbicort al bisogno</t>
  </si>
  <si>
    <t>saltuarialmente. Riferisce miglioramento  importante a seguito di chirurgia bariatrica</t>
  </si>
  <si>
    <t>lieve sinusite cronica</t>
  </si>
  <si>
    <t>deficit memoria a breve termine</t>
  </si>
  <si>
    <t>paziente eupnoica a riposo e all'eloquio. MV presente in toto con lievi gemiti espiratori. Toni cardiaci validi, ritmici, pause apparentemente libere da soffi colpi di tosse (produttiva) durante esame obiettivo. Riferisce 1 bronchite all'anno</t>
  </si>
  <si>
    <t>Si consiglia esecuziuone di spirometria semplice e monitoraggio cardiorespiratorio notturno in data</t>
  </si>
  <si>
    <t>BENEVENTO SAVIO</t>
  </si>
  <si>
    <t>BNVSVA02H27D969L</t>
  </si>
  <si>
    <t>3248016196</t>
  </si>
  <si>
    <t>10 sigarette/die (da settembre)</t>
  </si>
  <si>
    <t>prossimo a patente</t>
  </si>
  <si>
    <t>_x000D_
Visita neurologica 15/03/2022: apnee morfeiche e stato di stress. Possibile OSAS, richiedo visita pneumologica, propongo sertralina 50 mg, consiglio pros. Counce</t>
  </si>
  <si>
    <t>Sertralina 50 mg</t>
  </si>
  <si>
    <t>operazione a testicolo destro per Criptorchidismo, cisti muscolari a ginocchio sn (operato), 11/01 us infezione SARS-CoV2, stato ansioso, psoriasi cutanea</t>
  </si>
  <si>
    <t>sì produttiva la mattina e sotto sforzo, espettorazione catarro</t>
  </si>
  <si>
    <t>sì, frequentemente</t>
  </si>
  <si>
    <t>da sforzo moderato</t>
  </si>
  <si>
    <t>Paziente eupnoico a riposo e all'eloquio. Al torace MV presente in toto, senza grossolani rumori patologici aggiunti. Toni cardiaci ritmici e validi. No edemi declivi</t>
  </si>
  <si>
    <t>si consiglia esecuzione di monitoraggio cardiorespiratorio notturno in data 13 maggio alle h 11.30, da riconsegnare il 16/05/2022 entro le h 8.00. Si consiglia esecuzione esame espettorato</t>
  </si>
  <si>
    <t>SOFFIENTINI DIEGO</t>
  </si>
  <si>
    <t>SFFDGI92C30D969J</t>
  </si>
  <si>
    <t>3337714151</t>
  </si>
  <si>
    <t>sonnoleza diurna, russamento e riferite apnee del sonno</t>
  </si>
  <si>
    <t>frutta secca, graminacee. RAF thimesosal</t>
  </si>
  <si>
    <t>riferisce asma infantile</t>
  </si>
  <si>
    <t>sindrome di Dent, Depressione, pregresso ricovero in neurologia per cefalea con aurea ed emiparesi (2011), chirurgia per clinodattilia</t>
  </si>
  <si>
    <t>sertralina, kestine, lucen</t>
  </si>
  <si>
    <t>scolo nasale, sinusite cronica (pregresso intervento a turbinati nasali)</t>
  </si>
  <si>
    <t>deficit memoria sia a breve e lungo termine</t>
  </si>
  <si>
    <t>26</t>
  </si>
  <si>
    <t>eupnoico a riposo e all'eloquio. MV lievememente ridotto, in assenza di rumori patologici aggiunti. Toni cardiaci validi, ritmici, pause libere da soffi.</t>
  </si>
  <si>
    <t>si consiglia  Brusonex spray 2 puff a narice 1 volta al giorno ed esecuzione di monitoraggio cardiorespiratorio notturno in data</t>
  </si>
  <si>
    <t>Grasso Lorenzo</t>
  </si>
  <si>
    <t>3487645174</t>
  </si>
  <si>
    <t>Riferita eccessiva sonnolenza diurna e sonno non riposante.</t>
  </si>
  <si>
    <t>Dott. Marco Leva</t>
  </si>
  <si>
    <t>camionista</t>
  </si>
  <si>
    <t>ex fumatore (7 sig. die per 20 anni)</t>
  </si>
  <si>
    <t>FA</t>
  </si>
  <si>
    <t>sovrappeso</t>
  </si>
  <si>
    <t>riferita BPCO</t>
  </si>
  <si>
    <t>Eseguito IC per deviazione setto nasale e velopalatoplastica 2017 con risuluzione dei risvegli notturni per dispnea.</t>
  </si>
  <si>
    <t>olmesartan, Xarelto, Laventair 1 inalazione die la mattina.</t>
  </si>
  <si>
    <t>nega, dopo l'intervneto completa recessione degli episodi</t>
  </si>
  <si>
    <t>si lieve</t>
  </si>
  <si>
    <t>si saltuariamente</t>
  </si>
  <si>
    <t>Zapparoli Giuliana</t>
  </si>
  <si>
    <t>3460812906</t>
  </si>
  <si>
    <t>risvegli notturni per dispnea. Riferisce roncopatia.</t>
  </si>
  <si>
    <t>ex insegnante</t>
  </si>
  <si>
    <t>nocciolo, pesca, mela. Ha effettuato SLIT sublinguale per il nocciolo.</t>
  </si>
  <si>
    <t>Abrif 2 puff al mattino e 2 alla sera, Kestine</t>
  </si>
  <si>
    <t>si almeno 2 volte</t>
  </si>
  <si>
    <t>22,6</t>
  </si>
  <si>
    <t>70 bpm</t>
  </si>
  <si>
    <t>al torace MV normotrasmesso su tuti i campi in assenza di rumori patologici aggiunti</t>
  </si>
  <si>
    <t>Genovese Andrea</t>
  </si>
  <si>
    <t>GNVNDR84S03A494O</t>
  </si>
  <si>
    <t>3274716441</t>
  </si>
  <si>
    <t>sospette apnee notturne</t>
  </si>
  <si>
    <t>impiegato</t>
  </si>
  <si>
    <t>fumatore attivo (20 P/Y)</t>
  </si>
  <si>
    <t>al Mezzo di contrasto</t>
  </si>
  <si>
    <t>Plenadren (Morbo di Addison), Eutirox, Florinef, terapia inalatoria non ben specificata che il paziente non assume con regolarità</t>
  </si>
  <si>
    <t>con espettorazione (marrone con striatura rossa)</t>
  </si>
  <si>
    <t>frontale alla mattina appena sveglio</t>
  </si>
  <si>
    <t>- TC torace_x000D_
- Spirometria globale</t>
  </si>
  <si>
    <t>SERRA MAURO</t>
  </si>
  <si>
    <t>SRRMRA74P20D969F</t>
  </si>
  <si>
    <t>3518627730</t>
  </si>
  <si>
    <t>OSAS di grado molto grave, in attesa di bendaggio gastrico</t>
  </si>
  <si>
    <t>fumatore attivo (circa 15 P/Y)</t>
  </si>
  <si>
    <t>RAF: FANS</t>
  </si>
  <si>
    <t>sì, in terapia farmacologica</t>
  </si>
  <si>
    <t>pz seguito dal SERT_x000D_
-Monitoraggio cardiorespiratorio in data 10.07.2021: OSA di grado molto grave associato a insufficienza respiratoria notturna (AHI 89/h, ODI 66/h, SpO2 min 72%, tempo con SpO2 &lt; 90% di 58%, SpO2 media basale 88%)</t>
  </si>
  <si>
    <t>norvasc, subutex, inalatore non determinato (non più usato)</t>
  </si>
  <si>
    <t>5 volte/notte</t>
  </si>
  <si>
    <t>deficit della memoria a breve termine</t>
  </si>
  <si>
    <t>47</t>
  </si>
  <si>
    <t>eupnoico a riposo e all'eloquio. MV ridotto con lievi ronchi ai campi medio-basali e crepitazioni bibasali.</t>
  </si>
  <si>
    <t>Bastidas Laura Guadalupe</t>
  </si>
  <si>
    <t>BSTLGD54D52Z605S</t>
  </si>
  <si>
    <t>3473642516</t>
  </si>
  <si>
    <t>badante</t>
  </si>
  <si>
    <t>parietaria, acari della polvere, olivo, betulla, nocciolo</t>
  </si>
  <si>
    <t>flutter atriale parossistico</t>
  </si>
  <si>
    <t>Tiroxin, Cordarone, lixiana, Pantorc Kestine, Duoresp</t>
  </si>
  <si>
    <t>si per sforzi moderati</t>
  </si>
  <si>
    <t>si (2-3 volte a notte)</t>
  </si>
  <si>
    <t>si, per memoria a breve termine</t>
  </si>
  <si>
    <t>39,5</t>
  </si>
  <si>
    <t>Visita allergologica per valutare eventuale terapia desensibilizzante</t>
  </si>
  <si>
    <t>BALDASSINI CARLO</t>
  </si>
  <si>
    <t>BLDCRL53D15E463Y</t>
  </si>
  <si>
    <t>338335461 (moglie)</t>
  </si>
  <si>
    <t>Apnee notturne e insufficienza respiratoria</t>
  </si>
  <si>
    <t>pensionato (ex ferroviere)</t>
  </si>
  <si>
    <t>morbo di Parkinson, ipertensione arteriosa._x000D_
Monitoraggio cardiorespiratorio basale</t>
  </si>
  <si>
    <t>candesartan, omeprazen, mirapexin, Sinemet, Azilect, blopresid</t>
  </si>
  <si>
    <t>sì, secca</t>
  </si>
  <si>
    <t>Da sforzo lieve (mMRC 4)</t>
  </si>
  <si>
    <t>48</t>
  </si>
  <si>
    <t>eupnoico. Tosse persistente</t>
  </si>
  <si>
    <t>calo ponderale</t>
  </si>
  <si>
    <t>Danovaro Silvana</t>
  </si>
  <si>
    <t>DNVSVN68L52D969D</t>
  </si>
  <si>
    <t>3284147466</t>
  </si>
  <si>
    <t>riferite apnee notturne dal partner</t>
  </si>
  <si>
    <t>commessa</t>
  </si>
  <si>
    <t>di primo grado</t>
  </si>
  <si>
    <t>si in terapia con PPI</t>
  </si>
  <si>
    <t>tirosint (50-75), integratori, lucen, terapia per carenza di Ferro non specificata, Daflon</t>
  </si>
  <si>
    <t>talvolta all'eloquio</t>
  </si>
  <si>
    <t>ben controllati dalla terapia</t>
  </si>
  <si>
    <t>2 volte a notte</t>
  </si>
  <si>
    <t>si, sul luogo di lavoro dimentica dove posiziona i  capi</t>
  </si>
  <si>
    <t>14- sonnolenza anormale</t>
  </si>
  <si>
    <t>Eupnoica a riposo e all'eloquio, al torace MV diffusamente presente in assenza di rumori patologici aggiunti. ACV toni netti, validi, apparentemente liberi da soffi</t>
  </si>
  <si>
    <t>- Monitoraggio _x000D_
Calo ponderale</t>
  </si>
  <si>
    <t>Campi Marco</t>
  </si>
  <si>
    <t>CMPMRC59H08D969V</t>
  </si>
  <si>
    <t>riferita roncopatia dalla moglie</t>
  </si>
  <si>
    <t>dirigente aziendale</t>
  </si>
  <si>
    <t>ex fumatore 16 p/y, stop nel 1999</t>
  </si>
  <si>
    <t>graminacee</t>
  </si>
  <si>
    <t>di primo tipo</t>
  </si>
  <si>
    <t>idrocortisone, eutirox, testosterone, ormone della crescita, tenormin, simvastatina, DiBase, Dymista, Kestine, Biochetasi al bisogno</t>
  </si>
  <si>
    <t>macroadenoma ipofisario trattato con IC e radioterapia (2009-2011)</t>
  </si>
  <si>
    <t>presenti prevalentemente nei periodi primaverili</t>
  </si>
  <si>
    <t>talvolta presenti</t>
  </si>
  <si>
    <t>Vigile ed orientato, eupnoico a riposo e all'eloquio. MV diffusamente presente in assenza di rumori patologici aggiunti.</t>
  </si>
  <si>
    <t>Arbore Nicoletta</t>
  </si>
  <si>
    <t>RBRNLT76H63D969B</t>
  </si>
  <si>
    <t>3403186165</t>
  </si>
  <si>
    <t>sospetto OSA</t>
  </si>
  <si>
    <t>da collega pneumologo</t>
  </si>
  <si>
    <t>attiva 40 p/y</t>
  </si>
  <si>
    <t>si (</t>
  </si>
  <si>
    <t>precedente diagnosi di BPCO</t>
  </si>
  <si>
    <t>PFR di febbraio 2022: FVC 75% (2,21L); FEV1 70% ( 1,70L); IT 77, TLC 88% ( 3,60L) VR 96% ( 1,38L)</t>
  </si>
  <si>
    <t>Lucen, bisoprololo, Torvast, Trimbow, Xanax, Fluoxetina</t>
  </si>
  <si>
    <t>si con espettorato bianco-giallastro. Ultima bronchite a novembre 2021 ( trattata con antibiotico e steoride).</t>
  </si>
  <si>
    <t>95%</t>
  </si>
  <si>
    <t>Al torace MV ridotto in toto, rumori aspri diffusi.</t>
  </si>
  <si>
    <t>clinica compatibile con diagnosi di OSA.</t>
  </si>
  <si>
    <t>Ravera Giannina Anna Maria</t>
  </si>
  <si>
    <t>RVRGNN42H64D969O</t>
  </si>
  <si>
    <t>3389717626 (figlia )</t>
  </si>
  <si>
    <t>controllo in CPAP ST IPAP16 EPAP.6 FR12 Tinsp 1.3, no volumi. Prescritta circa 20 anni fa, da un anno non la utilizza per intolleranza alla forte pressione.</t>
  </si>
  <si>
    <t>si attiva 50 p/y</t>
  </si>
  <si>
    <t>notturno a 2L/min e diurno sotto sforzo</t>
  </si>
  <si>
    <t>si con espettorato</t>
  </si>
  <si>
    <t>si tutte le notte</t>
  </si>
  <si>
    <t>si per sforzi lievi</t>
  </si>
  <si>
    <t>cervicale</t>
  </si>
  <si>
    <t>50</t>
  </si>
  <si>
    <t>Al torace MV ipotrasmesso, si segnalano crepitii bibasali.</t>
  </si>
  <si>
    <t>BPCO e OSA</t>
  </si>
  <si>
    <t>Praticò Isabella</t>
  </si>
  <si>
    <t>PRTSLL61A58L741K</t>
  </si>
  <si>
    <t>3299121124</t>
  </si>
  <si>
    <t>ex parucchiera</t>
  </si>
  <si>
    <t>allergia ad acari della polvere, parietaria. Riferita allergia ad aspirina</t>
  </si>
  <si>
    <t>Anastrozolo 1 mg 1 cp die, Olmesartan 10 mg 1 cp alla sera , Saflutan 1 goccia per occhio la sera, Ocutears, Prolia, Vit D , Cetirizina 10 mg 1 cp alla sera,Rinoclenil, amitriptillina 40 mg 5 gocce la sera, Phisiomer , Arcoxia , Palexia , EN al mattino.</t>
  </si>
  <si>
    <t>Dispnea per sforzi moderati</t>
  </si>
  <si>
    <t>Oculorinite allergica</t>
  </si>
  <si>
    <t>Si, circa 3 volte per notte</t>
  </si>
  <si>
    <t>Frequenti soprattutto la sera</t>
  </si>
  <si>
    <t>Eupnoica a riposo. Attività cardiacavalda ritmica , toni cardiaci parafonici, apuse apparentemente libere. Al torace MV presente in assenza di rumori aggiunti.</t>
  </si>
  <si>
    <t>Paziente con quadro di roncopatia e forte sonnolenza diurna e frequenti risvegli notturni. _x000D_
Si programma polisonnografia basale</t>
  </si>
  <si>
    <t>Cariello Anna</t>
  </si>
  <si>
    <t>CRLNNA57B57Z602Q</t>
  </si>
  <si>
    <t>3516572202</t>
  </si>
  <si>
    <t>controllo in CPAP 8 cmH2O prescritta dal nostro centro circa 10 anni fa ( da allora non apaprenti ulteriori controlli).</t>
  </si>
  <si>
    <t>ex fumatrice</t>
  </si>
  <si>
    <t>Precedenti MCR evidenziavano OSAS di grado moderato, in seguito ha eseguito intervento bariatrico con perdita di circa 40 kg. Non più valutata pneumologicamente da allora.</t>
  </si>
  <si>
    <t>Ribelssus, Levotirsol, metformina, Allopurinolo, Pariet, Crestori. Neodioro</t>
  </si>
  <si>
    <t>98%</t>
  </si>
  <si>
    <t>Al torace MV normotrasmesso, abolito in base destra.</t>
  </si>
  <si>
    <t>Sindrome di apnee ostruttive.</t>
  </si>
  <si>
    <t>Paganoni Corrado</t>
  </si>
  <si>
    <t>PGNCRD66M18D969W</t>
  </si>
  <si>
    <t>3381969796</t>
  </si>
  <si>
    <t>fumatore attivo 20 p/y</t>
  </si>
  <si>
    <t>si tutte le notti, più volte durante la notte</t>
  </si>
  <si>
    <t>si 1/notte</t>
  </si>
  <si>
    <t>Al torace MV normotrasmesso, non franchi rumori patologici aggiunti</t>
  </si>
  <si>
    <t>Sospetto OSA</t>
  </si>
  <si>
    <t>Rolli Ivan</t>
  </si>
  <si>
    <t>RLLVNI72L29I480O</t>
  </si>
  <si>
    <t>3473536139</t>
  </si>
  <si>
    <t>Controllo in CPAP prescritta da altro centro</t>
  </si>
  <si>
    <t>Reumatologo (Dott Cammelino)</t>
  </si>
  <si>
    <t>Idraulico</t>
  </si>
  <si>
    <t>Intolleranza Contramal crisi epilettica</t>
  </si>
  <si>
    <t>Si, gastrite cronica</t>
  </si>
  <si>
    <t>Episodio di Broncopolmonite Gennaio 2018, dopo la quale sono comparse mialgie diffuse._x000D_
Episodi di verosimile broncospasmo se esposto a fumo di sigaretta</t>
  </si>
  <si>
    <t>Visita Reumatologica 26/08/2022_x000D_
Visita Cardiologica 11/10/2022_x000D_
Nel 2009 e nel 2010 operato su L4-L5, L5-S1, lesione nervo sciatico</t>
  </si>
  <si>
    <t>Lyrica 150 mg, Palexia 150 mg, Medrol 8 mg, Lansox 30 mg, Kalanit, Flexiban 10, Coenzima Q10, Diuresix, Vortoxietina 10 mg, Lansoprazolo 30 mg, Aimovig 140 mg, Diuremid s.o., Micronil ACT, Marjuana sativa terapeutica</t>
  </si>
  <si>
    <t>Paziente in terapia con CPAP a 9.5 cmH2O (13/09/2018), maschera Quattro FX misura M, su 120 gg di utilizzo, 61 giorni di utilizzo, AHI medio 13.9, utilizzo medio 3.51</t>
  </si>
  <si>
    <t>Sporadicamente, presenza di espettorato</t>
  </si>
  <si>
    <t>Si per crampi notturni, gambe senza riposo</t>
  </si>
  <si>
    <t>Si, sforzi moderati intensi</t>
  </si>
  <si>
    <t>Sinusite cronica</t>
  </si>
  <si>
    <t>Cefalea persistente durante tutta la giornata</t>
  </si>
  <si>
    <t>31,67</t>
  </si>
  <si>
    <t>57 ritmico</t>
  </si>
  <si>
    <t>Pazient eupnoico a riposo, non cianosi periferica, al torace: MV presente, rari e fini cripitii bibasali, FVT normotrasmesso, suono chiaro polmonare alla percussione, basi mobili. Lieve succulenza perimalleolare.</t>
  </si>
  <si>
    <t>Necessario controllo in CPAP</t>
  </si>
  <si>
    <t>Picco Gianfranco</t>
  </si>
  <si>
    <t>PCCGFR55P03D969V</t>
  </si>
  <si>
    <t>3482234046</t>
  </si>
  <si>
    <t>riscontro di OSA</t>
  </si>
  <si>
    <t>commercialista</t>
  </si>
  <si>
    <t>alimentari: pesce</t>
  </si>
  <si>
    <t>talvolta</t>
  </si>
  <si>
    <t>antipertensivo</t>
  </si>
  <si>
    <t>Negli ultimi giorni presenta tosse con epsettorato biancastro</t>
  </si>
  <si>
    <t>si con cardiopalmo</t>
  </si>
  <si>
    <t>si ( circa tre mesi fa evento di amnesia totale temporanea, durata circa 20 minuti)</t>
  </si>
  <si>
    <t>Bolanos Luna Humberto Salvador</t>
  </si>
  <si>
    <t>BLNHBR59S04Z605V</t>
  </si>
  <si>
    <t>3517867790</t>
  </si>
  <si>
    <t>collega otorinolaringoiatra</t>
  </si>
  <si>
    <t>ex carpentiere</t>
  </si>
  <si>
    <t>ex lieve fumatore</t>
  </si>
  <si>
    <t>polline</t>
  </si>
  <si>
    <t>due pregressi IMA</t>
  </si>
  <si>
    <t>ramo</t>
  </si>
  <si>
    <t>Losartan, Carbedilolo, Amlodipina, Aldactone, Clopidogrel, simvastatina, Acido acetisalicilico, Lasix</t>
  </si>
  <si>
    <t>si tutte le notti</t>
  </si>
  <si>
    <t>si per sforzi lievi-moderati</t>
  </si>
  <si>
    <t>tutte le notti</t>
  </si>
  <si>
    <t>Al torace MV ridotto in toto, non franchi rumori patologici aggiunti</t>
  </si>
  <si>
    <t>Sospetto OSA. Eseguire polisonnografia</t>
  </si>
  <si>
    <t>Barrancotto Angelo</t>
  </si>
  <si>
    <t>BRRNGL40A07G792Y</t>
  </si>
  <si>
    <t>3332895787 ( moglie)</t>
  </si>
  <si>
    <t>visita post dimissione in BPCO e sospetto OSA.</t>
  </si>
  <si>
    <t>Colleghi medicina interna in recente ricovero per riscontro di desaturazione</t>
  </si>
  <si>
    <t>Ex impiegato Italsider, ex muratore</t>
  </si>
  <si>
    <t>ex forte fumatore</t>
  </si>
  <si>
    <t>BPCO</t>
  </si>
  <si>
    <t>PFR odierne: FVC</t>
  </si>
  <si>
    <t>notturno 2L/min e sotto sforzo</t>
  </si>
  <si>
    <t>si con espettorato biancastro</t>
  </si>
  <si>
    <t>4/5 a notte</t>
  </si>
  <si>
    <t>95 ( in 1L/min)</t>
  </si>
  <si>
    <t>Al torace MV ipotrasmesso in toto, non franchi rumori patologici aggiunti</t>
  </si>
  <si>
    <t>Sospetto OSA eseguire polisonnografia come da programma questa notte senza O2 terapia</t>
  </si>
  <si>
    <t>Justino Sonia Regina</t>
  </si>
  <si>
    <t>JSTSRG62A56Z602M</t>
  </si>
  <si>
    <t>3477851888</t>
  </si>
  <si>
    <t>ex lieve fumatrice</t>
  </si>
  <si>
    <t>solo per sforzi intensi</t>
  </si>
  <si>
    <t>Al torace MV normotrasmesso non franchi rumori patologici aggiunti</t>
  </si>
  <si>
    <t>Vitale Giuseppe</t>
  </si>
  <si>
    <t>VTLGPP47A10I725M</t>
  </si>
  <si>
    <t>3405060749</t>
  </si>
  <si>
    <t>Sonnolenza diurna</t>
  </si>
  <si>
    <t>Medico di famiglia</t>
  </si>
  <si>
    <t>Pensionato</t>
  </si>
  <si>
    <t>20 die, da 60 anni</t>
  </si>
  <si>
    <t>Non noto</t>
  </si>
  <si>
    <t>Pantoprazolo, Eliquis, Azargagocce, Congescor, Memantina, Calcitriolo, Adenuric, Tareg, Furosemide, Tamsulosina</t>
  </si>
  <si>
    <t>Si, produttiva</t>
  </si>
  <si>
    <t>50 ritmico</t>
  </si>
  <si>
    <t>Paziente eupnoicoa riposo, soporoso, risvegliabile, parzialmente orientato</t>
  </si>
  <si>
    <t>Sonnolenza a componente multifattoriale</t>
  </si>
  <si>
    <t>Orlandini Paolo</t>
  </si>
  <si>
    <t>RLNPLA77D25D969Z</t>
  </si>
  <si>
    <t>3408002684</t>
  </si>
  <si>
    <t>OSA di grado severo</t>
  </si>
  <si>
    <t>Macellaio</t>
  </si>
  <si>
    <t>attivo 15/die</t>
  </si>
  <si>
    <t>III grado</t>
  </si>
  <si>
    <t>forte fumatore attivo. Insufficienza respiratoria notturna non in terapia . OSAS di grado severo (AHI nel 2018 70)</t>
  </si>
  <si>
    <t>Dimissione dall'Istituto Auxologico di Pian Cavallo</t>
  </si>
  <si>
    <t>Lasix, Vit D fiale</t>
  </si>
  <si>
    <t>Prescritta ma non in uso</t>
  </si>
  <si>
    <t>Si, non produttiva</t>
  </si>
  <si>
    <t>56 ritmico</t>
  </si>
  <si>
    <t>Paziente eupnoico a riposo, non cianosi periferica, succulenza perimalleolare, discromia cutanea aaii, al torace: MV ridotto in toto, FVT normotrasmesso, sibili telespiratori alle basi.</t>
  </si>
  <si>
    <t>Si procede a prescrizione del presidio</t>
  </si>
  <si>
    <t>Divito Daniel Enrique</t>
  </si>
  <si>
    <t>DVTDLN62B01Z600Q</t>
  </si>
  <si>
    <t>3283779577</t>
  </si>
  <si>
    <t>tecnico</t>
  </si>
  <si>
    <t>si quasi tutte le notti</t>
  </si>
  <si>
    <t>espettorato verdastro</t>
  </si>
  <si>
    <t>1/notte</t>
  </si>
  <si>
    <t>Al torace MV normotrasmesso non rumori patologici aggiunti</t>
  </si>
  <si>
    <t>Curigliano Giovanni</t>
  </si>
  <si>
    <t>CRGGNN85H10E041Y</t>
  </si>
  <si>
    <t>3492450161</t>
  </si>
  <si>
    <t>OSA</t>
  </si>
  <si>
    <t>magazziniere</t>
  </si>
  <si>
    <t>fumatore attivo ( 15 p/Y)</t>
  </si>
  <si>
    <t>ipercolestermia familiare</t>
  </si>
  <si>
    <t>Statine</t>
  </si>
  <si>
    <t>si con espettorato di difficile espulsione</t>
  </si>
  <si>
    <t>si per sforzi moderati in peggioramente</t>
  </si>
  <si>
    <t>AL torace MV normotrasmesso non franchi rumori patologici aggiunti, ACV toni validi e ritmici, pause apparentemente libere</t>
  </si>
  <si>
    <t>Giuliano Rosario</t>
  </si>
  <si>
    <t>3278173014</t>
  </si>
  <si>
    <t>ambulatorio pneumologia ( Dott. Mincarini)</t>
  </si>
  <si>
    <t>ex forte fumatore ( 50 p/y)</t>
  </si>
  <si>
    <t>sarcoidosi</t>
  </si>
  <si>
    <t>PFR odierne:</t>
  </si>
  <si>
    <t>betabloccante, Omnic, cardioaspirina, statine,</t>
  </si>
  <si>
    <t>IC aneurisma aorta addominale nel 1999.</t>
  </si>
  <si>
    <t>Al torace MV ipotrasmesso in toto, fini crepitii bibasali</t>
  </si>
  <si>
    <t>Delpero Antonio</t>
  </si>
  <si>
    <t>DLPNTN60M23D969Y</t>
  </si>
  <si>
    <t>3356277359</t>
  </si>
  <si>
    <t>sospetto OSA ( già valutato circa 10 anni fa)</t>
  </si>
  <si>
    <t>restauratore</t>
  </si>
  <si>
    <t>vino ai pasti</t>
  </si>
  <si>
    <t>parietaria e graminacee</t>
  </si>
  <si>
    <t>Zoloft</t>
  </si>
  <si>
    <t>1-2/notte</t>
  </si>
  <si>
    <t>si da circa due anni</t>
  </si>
  <si>
    <t>Sospeetto OSA</t>
  </si>
  <si>
    <t>Carlevaro Giorgio</t>
  </si>
  <si>
    <t>CRLGRG49E01D969U</t>
  </si>
  <si>
    <t>3394106643</t>
  </si>
  <si>
    <t>collega neurologa</t>
  </si>
  <si>
    <t>si 60 p/y</t>
  </si>
  <si>
    <t>CardioASA, antipertensivo, metformina, atorvastatina, Finasteride, allopurinolo</t>
  </si>
  <si>
    <t>frequenti apparentemente non per affanno</t>
  </si>
  <si>
    <t>solo per sforzi moderati</t>
  </si>
  <si>
    <t>si molte volte a notte</t>
  </si>
  <si>
    <t>Al torace MV ipotrasmesso, quasi abolito in base dx, non rumori patologici aggiunti</t>
  </si>
  <si>
    <t>CRUZ PIHUABE NARCISO</t>
  </si>
  <si>
    <t>CRZNCS64M13Z605X</t>
  </si>
  <si>
    <t>3516073131</t>
  </si>
  <si>
    <t>U.O. FISIOPATOLOGIA DEL SONNO (Pad. Specialità)</t>
  </si>
  <si>
    <t>Ex-fumatore (stop 15 anni fa, 5 P/Y)</t>
  </si>
  <si>
    <t>pollini (non meglio specificato)</t>
  </si>
  <si>
    <t>scolo nesale in periodo allergico</t>
  </si>
  <si>
    <t>Gennaio 2020 infezione da SARS CoV2 con intubazione (ricovero in Equador), vaccinato 2 dosi SARS-CoV2 (ultima nel dicembre 2021), chirurgia per ernia vertebrale (non meglio specificato)</t>
  </si>
  <si>
    <t>la notte, con espettorazione giallastra</t>
  </si>
  <si>
    <t>durante la notte</t>
  </si>
  <si>
    <t>dispnea da sforzo</t>
  </si>
  <si>
    <t>Eupnoico a riposo e all'eloquio</t>
  </si>
  <si>
    <t>Cremonini Giuseppe</t>
  </si>
  <si>
    <t>CRMGPP50R18D969A</t>
  </si>
  <si>
    <t>3287489813, 3475854542 (figlio)</t>
  </si>
  <si>
    <t>fumatore attivo 5/die ( stop circa una settimana fa)</t>
  </si>
  <si>
    <t>parietaria</t>
  </si>
  <si>
    <t>Lobidur</t>
  </si>
  <si>
    <t>per sforzi moderati ( salite scale)</t>
  </si>
  <si>
    <t>2/notte</t>
  </si>
  <si>
    <t>AL torace MV fortemente ridotto in toto, aprezzabili crepitii bibasali</t>
  </si>
  <si>
    <t>Cardinale Ettore</t>
  </si>
  <si>
    <t>3208813000</t>
  </si>
  <si>
    <t>autista</t>
  </si>
  <si>
    <t>si 40 p/y</t>
  </si>
  <si>
    <t>si grave</t>
  </si>
  <si>
    <t>metformina,ramipril, cardioaspirina, pantoprazolo</t>
  </si>
  <si>
    <t>100</t>
  </si>
  <si>
    <t>ronchi e sibili diffusi maggiormente a dx, riduzione del MV alle basi</t>
  </si>
  <si>
    <t>polisonnografia notturna</t>
  </si>
  <si>
    <t>Celona Luigi</t>
  </si>
  <si>
    <t>CLNLGU66C03D960Q</t>
  </si>
  <si>
    <t>3497087917</t>
  </si>
  <si>
    <t>ex panettiere</t>
  </si>
  <si>
    <t>forte fumatore attivo</t>
  </si>
  <si>
    <t>Ramipril, Amlodipina</t>
  </si>
  <si>
    <t>no ( recente episodio bronchitico )</t>
  </si>
  <si>
    <t>si soprattutto in posizione supina, nell'ultimo periodo costretto a dormire in posizione seduta.</t>
  </si>
  <si>
    <t>per sforzi moderati ( in peggioramento)</t>
  </si>
  <si>
    <t>3-4 /notte</t>
  </si>
  <si>
    <t>Al torace MV ridotto in toto, non rumori patologici aggiunti.</t>
  </si>
  <si>
    <t>Sospetto OSAS si consiglia polisonnogramma notturno in data</t>
  </si>
  <si>
    <t>Verardi Mauro</t>
  </si>
  <si>
    <t>VRRMRA60B24D969C</t>
  </si>
  <si>
    <t>3384922285</t>
  </si>
  <si>
    <t>fumatore attivo 40 p/y</t>
  </si>
  <si>
    <t>nimesulide, bactrim</t>
  </si>
  <si>
    <t>Asacol</t>
  </si>
  <si>
    <t>eseguita spirometria semplice ( non in visione) apparentemente nella norma, tendente all'ostruttivo.</t>
  </si>
  <si>
    <t>si per scale e salite</t>
  </si>
  <si>
    <t>Al torace MV lievemente ipotrasmesso, non rumori patologici aggiunti.</t>
  </si>
  <si>
    <t>sospetto OSA, si consiglia</t>
  </si>
  <si>
    <t>Corradi Linda</t>
  </si>
  <si>
    <t>3713978734</t>
  </si>
  <si>
    <t>daflon</t>
  </si>
  <si>
    <t>nel passato utilizzo di autoCPAP autotarante  4-17 cmH20</t>
  </si>
  <si>
    <t>MV normotrasmesso</t>
  </si>
  <si>
    <t>monitoraggio cardio-respiratorio notturno</t>
  </si>
  <si>
    <t>Mansi Fathia</t>
  </si>
  <si>
    <t>3513402641</t>
  </si>
  <si>
    <t>sospesa OSAS</t>
  </si>
  <si>
    <t>medico di base</t>
  </si>
  <si>
    <t>eutirox</t>
  </si>
  <si>
    <t>MV ridotto ma notrasmesso in tutti gli ambiti</t>
  </si>
  <si>
    <t>sospette sindorme delle apnee notturne necessario monoìitoraggio cardio-respiratorio notturno.</t>
  </si>
  <si>
    <t>Fregomeni Carlo</t>
  </si>
  <si>
    <t>3475951364</t>
  </si>
  <si>
    <t>Pneumologia interventistica (dott.Bellotti). Polisonnografia eseguita in neurofisiopatologia luglio 2022 AHI 61 INDICE RUSSAMENTO 203 ODI 71 SAT T90 44</t>
  </si>
  <si>
    <t>ex rappresentante di commercio</t>
  </si>
  <si>
    <t>allopurinolo,amiodarone,inergy,blopressid,spironolattone,lansoprazolo,metoprololo,pradaxa,dibase</t>
  </si>
  <si>
    <t>IRC, FA</t>
  </si>
  <si>
    <t>si da circa 1 mese</t>
  </si>
  <si>
    <t>OSAS di grado grave necessario adattamento a CPAP e calo ponderale</t>
  </si>
  <si>
    <t>Rossetto Paolo</t>
  </si>
  <si>
    <t>3272419982</t>
  </si>
  <si>
    <t>roncopatia e sospette apnee notturne</t>
  </si>
  <si>
    <t>informatico</t>
  </si>
  <si>
    <t>norvasc 5 mg,lobivon</t>
  </si>
  <si>
    <t>congestione nasale</t>
  </si>
  <si>
    <t>cervicalgia</t>
  </si>
  <si>
    <t>26.46</t>
  </si>
  <si>
    <t>vigile e eupnoico alla visita, MV normotrasmesso</t>
  </si>
  <si>
    <t>sospetta sindrome delle apnee ostruttive del sonno, eseguire esame cardiorespiratorio notturno.</t>
  </si>
  <si>
    <t>CALDERON MEJIA JENNY RAMONA</t>
  </si>
  <si>
    <t>338394557</t>
  </si>
  <si>
    <t>terapia ipertensione non meglio precisata</t>
  </si>
  <si>
    <t>sospetta OSAS si consiglia esecuzione di monitoraggio cardiorespiratorio notturno</t>
  </si>
  <si>
    <t>Redegoso Luigi</t>
  </si>
  <si>
    <t>0102366406/3384828533</t>
  </si>
  <si>
    <t>osas</t>
  </si>
  <si>
    <t>geriatri</t>
  </si>
  <si>
    <t>si notturna</t>
  </si>
  <si>
    <t>ni</t>
  </si>
  <si>
    <t>deficit mnesico</t>
  </si>
  <si>
    <t>MV ridotto in assenza di suoni patologici aggiunti</t>
  </si>
  <si>
    <t>GUTIERREZ METIGA ANNABELL ITALIA</t>
  </si>
  <si>
    <t>3483673269</t>
  </si>
  <si>
    <t>Controllo OSAS</t>
  </si>
  <si>
    <t>OSS</t>
  </si>
  <si>
    <t>Patuano Roberto</t>
  </si>
  <si>
    <t>3474067809</t>
  </si>
  <si>
    <t>giornalista</t>
  </si>
  <si>
    <t>si acari della polvere</t>
  </si>
  <si>
    <t>cipralex, togretal, lucen</t>
  </si>
  <si>
    <t>si alla mattina</t>
  </si>
  <si>
    <t>ostruzione nasale stagionale, deviazione setto nasale</t>
  </si>
  <si>
    <t>si (ernia cervicale)</t>
  </si>
  <si>
    <t>sospette apnee notturne eseguire polisonnogramma notturno</t>
  </si>
  <si>
    <t>Costa Giovanni</t>
  </si>
  <si>
    <t>3477725169</t>
  </si>
  <si>
    <t>neurofisiopatologia</t>
  </si>
  <si>
    <t>EX infermiere</t>
  </si>
  <si>
    <t>fumatore attivo di 12 sig/die da 50 anni</t>
  </si>
  <si>
    <t>lattice</t>
  </si>
  <si>
    <t>artrite reumatoide</t>
  </si>
  <si>
    <t>si per sforzi moderati-severo</t>
  </si>
  <si>
    <t>Medico di base</t>
  </si>
  <si>
    <t>portinaio</t>
  </si>
  <si>
    <t>21</t>
  </si>
  <si>
    <t>adattamento a CPAP</t>
  </si>
  <si>
    <t>Barcellona Vincenzo</t>
  </si>
  <si>
    <t>3474428026</t>
  </si>
  <si>
    <t>controllo</t>
  </si>
  <si>
    <t>gabapentin,azatriopina, abilify,stilnox al bisogno</t>
  </si>
  <si>
    <t>neuropatia e miastenia gravis,Timoma trattato con immunoterapia</t>
  </si>
  <si>
    <t>si per sudorazioni notturne</t>
  </si>
  <si>
    <t>MV nomotrasmesso</t>
  </si>
  <si>
    <t>Cimmino Luca</t>
  </si>
  <si>
    <t>3938774672</t>
  </si>
  <si>
    <t>agente immobiliare</t>
  </si>
  <si>
    <t>cardura</t>
  </si>
  <si>
    <t>saltuaria</t>
  </si>
  <si>
    <t>normotrasmesso</t>
  </si>
  <si>
    <t>Santini Lorenzo</t>
  </si>
  <si>
    <t>SNTLNZ80R05D969E</t>
  </si>
  <si>
    <t>3451349511</t>
  </si>
  <si>
    <t>neurofisiologica</t>
  </si>
  <si>
    <t>si (1 pacchetto da 30 anni)</t>
  </si>
  <si>
    <t>reagila,delorazepam, alcion,ramipril</t>
  </si>
  <si>
    <t>depressione</t>
  </si>
  <si>
    <t>MV ridotto in toto</t>
  </si>
  <si>
    <t>Sansalone Giovanni</t>
  </si>
  <si>
    <t>3479980311</t>
  </si>
  <si>
    <t>roncopatia e sospette apnee del sonno</t>
  </si>
  <si>
    <t>medico di basale</t>
  </si>
  <si>
    <t>impegato In Ansaldo</t>
  </si>
  <si>
    <t>fumatore attivo di 10 sig/die da circa 30 anni</t>
  </si>
  <si>
    <t>43</t>
  </si>
  <si>
    <t>sospette apnee durante le notte utile calo ponderale polisonnogramma notturno</t>
  </si>
  <si>
    <t>Lacava Domenico</t>
  </si>
  <si>
    <t>3384270888</t>
  </si>
  <si>
    <t>fisioterapista</t>
  </si>
  <si>
    <t>5-6 sig/die da 30 anni</t>
  </si>
  <si>
    <t>ostruzione nasale</t>
  </si>
  <si>
    <t>OSAS grave eseguire adattamento e calo ponderale</t>
  </si>
  <si>
    <t>Pagiaro Davide</t>
  </si>
  <si>
    <t>PGRDVD87R31D969R</t>
  </si>
  <si>
    <t>3478216117</t>
  </si>
  <si>
    <t>assicuratore</t>
  </si>
  <si>
    <t>ostruzione nasale e deviazione nasale</t>
  </si>
  <si>
    <t>MV ridotto ma normotrasmesso in toto in assenza di suoni patologici aggiunti</t>
  </si>
  <si>
    <t>sospette apnee notturne necessario calo ponderale ed esecuzione polisonnogramma basale</t>
  </si>
  <si>
    <t>BRENIS PINTO JEFFERSON RANDOLPH</t>
  </si>
  <si>
    <t>BRNJFR81C13Z611U</t>
  </si>
  <si>
    <t>3341224921/3402378539</t>
  </si>
  <si>
    <t>mulettista al porto</t>
  </si>
  <si>
    <t>1 sig/die da 20 anni</t>
  </si>
  <si>
    <t>sospette panee notturne eseguire polisoonogramma basale</t>
  </si>
  <si>
    <t>La Rosa Milan Antonio</t>
  </si>
  <si>
    <t>3475373355</t>
  </si>
  <si>
    <t>ex saldatore</t>
  </si>
  <si>
    <t>sospette apnee notturne eseguire polisoonogramma notturno e calo ponderale</t>
  </si>
  <si>
    <t>Corrao Salvatore Rosario</t>
  </si>
  <si>
    <t>CRRSVT51B06D969B</t>
  </si>
  <si>
    <t>3475968563</t>
  </si>
  <si>
    <t>10 sgtt/die (15 p/y circa)</t>
  </si>
  <si>
    <t>dupli stent per pregresso IMA circa 10 anni fa</t>
  </si>
  <si>
    <t>OSAS di grado grave</t>
  </si>
  <si>
    <t>riferita roncopatia, sonnolenza diurna e sonno non ristoratore</t>
  </si>
  <si>
    <t>panifur, luvion, zyrolic, lansox, duoplavin, crestor, tenormin, sorenpin</t>
  </si>
  <si>
    <t>in visione PSG del 2019; riferita visita ORL a Dicembre 2022 per rinosinutite; prostatectomia radicale per neoplasia benigna</t>
  </si>
  <si>
    <t>33,66</t>
  </si>
  <si>
    <t>al torace MV normotrasmesso in assenza di rumori patologici aggiunti. Attività cardiaca valida, ritmica, pause libere da soffi. Non edemi declivi.</t>
  </si>
  <si>
    <t>Si consiglia nuovo monitoraggio cardio-respiratorio notturno.</t>
  </si>
  <si>
    <t>Capurro Gianpaolo</t>
  </si>
  <si>
    <t>3383740771</t>
  </si>
  <si>
    <t>sospette apnee</t>
  </si>
  <si>
    <t>inviato da medico curante</t>
  </si>
  <si>
    <t>sospette apnee notturne eseguire polisonnogramma notturno in data</t>
  </si>
  <si>
    <t>Garrè Luigi</t>
  </si>
  <si>
    <t>GRRLGU65E25B282T</t>
  </si>
  <si>
    <t>3282043602</t>
  </si>
  <si>
    <t>MMG</t>
  </si>
  <si>
    <t>impiegato pompe funebri</t>
  </si>
  <si>
    <t>si, un bicchiere di vino ai pasti</t>
  </si>
  <si>
    <t>procaptan 10 mg 1 c, cardura 4 mg 1/2 c, prelectal 2.5 mg 2 c alla settimana, xyzal 5 mg 1 c, montegen 1 c, foster 100/6 in polvere</t>
  </si>
  <si>
    <t>porta in visione precedente visita cardiologica; pregresso intervento di ernia ombelicale.</t>
  </si>
  <si>
    <t>29,22</t>
  </si>
  <si>
    <t>104</t>
  </si>
  <si>
    <t>paziente vigile, orientato e collaborante. Al torace MV diffusamente ridotto, in assenza di rumori patologici aggiunti. Attività cardiaca lievemente tachifrequente, ritmica, non soffi. Minima succulenza declive.</t>
  </si>
  <si>
    <t>si consiglia esecuzione di monitoraggio cardiorespiratorio notturno</t>
  </si>
  <si>
    <t>Caccamo Francesco</t>
  </si>
  <si>
    <t>CCCFNC64A28D969B</t>
  </si>
  <si>
    <t>3487704316</t>
  </si>
  <si>
    <t>ORL</t>
  </si>
  <si>
    <t>cuoco</t>
  </si>
  <si>
    <t>si in passato (5 p/y)</t>
  </si>
  <si>
    <t>si, aspirina e alcuni FANS (Oki), flumucil</t>
  </si>
  <si>
    <t>porta in visione referto ORL (02.02.23) di drug enduced sleep endoscopy eseguita per roncopatia che consigliava esecuzione PSG senza CPAP per valutazione pre-intervento al palato molle</t>
  </si>
  <si>
    <t>foster 100/6 1 inalazione al mattino e 1 inalazione la sera, pantoprazolo 40 mg 1 c la mattina, CPAP notturna a 8 cmH2O con maschera oro-nasale tg L (modello non meglio precisato)</t>
  </si>
  <si>
    <t>asmatico, anemia mediterranea</t>
  </si>
  <si>
    <t>31,14</t>
  </si>
  <si>
    <t>al torace MV normotrasmesso, non rumori patologici aggiunti. Attività cardiaca valida, ritmica, pause libere da soffi. Non edemi declivi.</t>
  </si>
  <si>
    <t>monitoraggio cardiorespiratorio notturno senza CPAP.</t>
  </si>
  <si>
    <t>Falace Annaluisa</t>
  </si>
  <si>
    <t>3505759724</t>
  </si>
  <si>
    <t>Centro auxologico</t>
  </si>
  <si>
    <t>pensionata</t>
  </si>
  <si>
    <t>56</t>
  </si>
  <si>
    <t>59</t>
  </si>
  <si>
    <t>Sessarego Manuel</t>
  </si>
  <si>
    <t>SSSMNL61B10Z603U</t>
  </si>
  <si>
    <t>3293394573</t>
  </si>
  <si>
    <t>madico curante</t>
  </si>
  <si>
    <t>amministrativo presso IST; ex fumatore (7 p/y)</t>
  </si>
  <si>
    <t>sospetto ernia iatale; lamenta sonno non più ristorante</t>
  </si>
  <si>
    <t>25,48</t>
  </si>
  <si>
    <t>paziente vigile, orientato e collaborante. Al torace MV ubiquitario in assenza di rumori patologici aggiunti. Attività cardiaca valida, ritmica, pause libere da soffi. Non edemi declivi.</t>
  </si>
  <si>
    <t>si consiglia monitoraggio cardiorespiratorio notturno.</t>
  </si>
  <si>
    <t>Parodi Romina</t>
  </si>
  <si>
    <t>PRDRMN70S66H581X</t>
  </si>
  <si>
    <t>3469746236</t>
  </si>
  <si>
    <t>chirurgia bariatrica</t>
  </si>
  <si>
    <t>Battistini Paolo</t>
  </si>
  <si>
    <t>BTTPLA73A27D969N</t>
  </si>
  <si>
    <t>3402837759</t>
  </si>
  <si>
    <t>comparsa di risvegli notturni con senso di mancanza di fiato</t>
  </si>
  <si>
    <t>agente di commercio</t>
  </si>
  <si>
    <t>ex fumatore da 3 anni (25 p/y), attualmente sigaretta elettronica.</t>
  </si>
  <si>
    <t>dal 2020 eccesso di alcol 2 volte alla settimana</t>
  </si>
  <si>
    <t>Azitromicina,</t>
  </si>
  <si>
    <t>raro</t>
  </si>
  <si>
    <t>Bacigalupo Alessandro</t>
  </si>
  <si>
    <t>BCGLSN73P14D969H</t>
  </si>
  <si>
    <t>3493565182</t>
  </si>
  <si>
    <t>attualmente disoccupato (in passato operario per depurazione acque reflue); fumatore attivo 10 sgtt/die (5 P/Y)</t>
  </si>
  <si>
    <t>fumatore attivo 10 sgtt/die (5 P/Y)</t>
  </si>
  <si>
    <t>si (2 birre da 33 cl la sera)</t>
  </si>
  <si>
    <t>carbolitio, tavor, cimbalta, quetiapina, lucen</t>
  </si>
  <si>
    <t>depressione, riferisce roncopatia e sonno non ristoratore</t>
  </si>
  <si>
    <t>31.55</t>
  </si>
  <si>
    <t>paziente vigile e collaborante. Al torace MV ubiquitario in assenza di rumori patologici aggiunti. Attività cardiaca valida, ritmica, pause apparentemente libere da soffi. Non edemi declivi.</t>
  </si>
  <si>
    <t>Molinari Carlo</t>
  </si>
  <si>
    <t>MLNCRL76C12D969Z</t>
  </si>
  <si>
    <t>3384531937</t>
  </si>
  <si>
    <t>risvegli notturni per fame d'aria</t>
  </si>
  <si>
    <t>ex fumatore (15p/y ;stop 7 anni fa)</t>
  </si>
  <si>
    <t>lisinopril</t>
  </si>
  <si>
    <t>si, lievi</t>
  </si>
  <si>
    <t>32.55</t>
  </si>
  <si>
    <t>SNYATYNSKYY ANDRIY</t>
  </si>
  <si>
    <t>SNYNRY75T09Z138Q</t>
  </si>
  <si>
    <t>3471897362</t>
  </si>
  <si>
    <t>sospetto di apnee notturne</t>
  </si>
  <si>
    <t>fumatore attivo (60 p/y)</t>
  </si>
  <si>
    <t>moderato consumo di vino a pasto</t>
  </si>
  <si>
    <t>si, non in terapia</t>
  </si>
  <si>
    <t>no, sovrappeso</t>
  </si>
  <si>
    <t>maalox, rinOFF</t>
  </si>
  <si>
    <t>si, a tratti produttiva con escreato marrone</t>
  </si>
  <si>
    <t>81</t>
  </si>
  <si>
    <t>GODANI STEFANO</t>
  </si>
  <si>
    <t>GDNSFN70S30D969K</t>
  </si>
  <si>
    <t>3669347338</t>
  </si>
  <si>
    <t>russamento, astenia durante la giornata</t>
  </si>
  <si>
    <t>banchiere</t>
  </si>
  <si>
    <t>parietaria, vespe</t>
  </si>
  <si>
    <t>triatec, norvasc 5 mg, armolipid</t>
  </si>
  <si>
    <t>lieve da sforzo intenso</t>
  </si>
  <si>
    <t>1 volta/die</t>
  </si>
  <si>
    <t>Paziente vigile, collaborante, orientato STP, eupnoicoa riposo e all'eloquio._x000D_
Al torace MV lievemente ridotto in toto, no rumori patologici aggiunti. Toni cardiaci validi, ritmici, apparentemente liberi da soffi. No edemi declivi AAII</t>
  </si>
  <si>
    <t>Si consiglia monitoraggio cardiorespiratorio in data alle ore</t>
  </si>
  <si>
    <t>PIRAS mario</t>
  </si>
  <si>
    <t>PRSMRA65H08D969D</t>
  </si>
  <si>
    <t>OSA precedentemente diagnosticate (AHI non noto), in paziente gravemente obeso</t>
  </si>
  <si>
    <t>lavoratore notturno in Amiu (non alla guida di autoveicoli)</t>
  </si>
  <si>
    <t>FA in Xarelto</t>
  </si>
  <si>
    <t>Xarelto,Flecainide,congescor,triatec,</t>
  </si>
  <si>
    <t>45,7</t>
  </si>
  <si>
    <t>91</t>
  </si>
  <si>
    <t>79</t>
  </si>
  <si>
    <t>Maggiolo Giuseppe</t>
  </si>
  <si>
    <t>MGGGPP40C21D255B</t>
  </si>
  <si>
    <t>3489957862</t>
  </si>
  <si>
    <t>OSA severo (AHI 57)</t>
  </si>
  <si>
    <t>Esposito Salvatore</t>
  </si>
  <si>
    <t>SPSSVT78D22F839R</t>
  </si>
  <si>
    <t>3462197270</t>
  </si>
  <si>
    <t>risvegli notturni con cardiopalmo e russamento notturno</t>
  </si>
  <si>
    <t>ex fumatore (15 p/y) stop da 15 anni</t>
  </si>
  <si>
    <t>Gregorio Renato Celestino</t>
  </si>
  <si>
    <t>GRGRTC51E07D969P</t>
  </si>
  <si>
    <t>3927360460</t>
  </si>
  <si>
    <t>geriatra</t>
  </si>
  <si>
    <t>ex-fumatore (stop 1 anno fa circa, 25 p/y)</t>
  </si>
  <si>
    <t>3/4 di vino al giorno</t>
  </si>
  <si>
    <t>BPCO (non in trattamento inalatorio, ultima spirometria 8 anni fa)</t>
  </si>
  <si>
    <t>bisoprololo 1.25 mg 1 c ore 8, pantoprazolo 20 mg 1 c ore 8, ramipril 10 mg 1 c ore 8, torvast 20 mg 1 c ore 21, cardioASA 100 mg 1 c ore 12, sertralina 50 mg 1 ore 8</t>
  </si>
  <si>
    <t>la moglie riferisce roncopatia ed episodi di roncopatia notturna</t>
  </si>
  <si>
    <t>si, il paziente lamenta dispnea per sforzi anche lievi</t>
  </si>
  <si>
    <t>si, riferite allergia ad acari della polvere e pollini</t>
  </si>
  <si>
    <t>si, 1-2 volte/notte</t>
  </si>
  <si>
    <t>31,25</t>
  </si>
  <si>
    <t>al torace MV diffusamente ridotto non rumori patologici aggiunti.</t>
  </si>
  <si>
    <t>Masala Davide</t>
  </si>
  <si>
    <t>MSLDVD86R10D969M</t>
  </si>
  <si>
    <t>3491506146</t>
  </si>
  <si>
    <t>ex fumatore (8 p/y circa, stop 7 anni fa)</t>
  </si>
  <si>
    <t>nel 2014 settoplastica nasale</t>
  </si>
  <si>
    <t>riferite roncopatia e apnee notturne</t>
  </si>
  <si>
    <t>si, 2-3 volte/notte</t>
  </si>
  <si>
    <t>39,1</t>
  </si>
  <si>
    <t>al torace MV normotrasmesso, non rumori patologici aggiunti. Attività cardiaca valida, ritmica, pause libere da soffi.</t>
  </si>
  <si>
    <t>si consiglia esecuzione di monitoraggio cardiorespiratorio notturno.</t>
  </si>
  <si>
    <t>Concas Marco</t>
  </si>
  <si>
    <t>CNCMRC81E21D969X</t>
  </si>
  <si>
    <t>3478232882</t>
  </si>
  <si>
    <t>ex fumatore (stop 14 anni fa; 4 p/y)</t>
  </si>
  <si>
    <t>favismo, allergia ad augmentin ed ibuprofene</t>
  </si>
  <si>
    <t>Nel 2018 settoplastica + FESS + adenoidectomia; nel 2019 tonsillectomia bilaterale + faringoplastica BSP con fili barbered</t>
  </si>
  <si>
    <t>in visione PSG (2021): AHI 19, ODI 22.5, t90= 4.7%, evidenza di componente posizionale)</t>
  </si>
  <si>
    <t>il paziente lamenta sonno non ristoratore con stanchezza mattutina, riferisce importante roncopatia ed episodi di apnea notturna</t>
  </si>
  <si>
    <t>si, secca</t>
  </si>
  <si>
    <t>24,22</t>
  </si>
  <si>
    <t>si consiglia esecuzione di nuovo monitoraggio cardiorespiratorio notturno.</t>
  </si>
  <si>
    <t>Rahaman Habibur</t>
  </si>
  <si>
    <t>RHMHBR00T01Z249X</t>
  </si>
  <si>
    <t>3493105139</t>
  </si>
  <si>
    <t>sospette apnee del sonno</t>
  </si>
  <si>
    <t>Arinit</t>
  </si>
  <si>
    <t>si, stagionali</t>
  </si>
  <si>
    <t>Filippone Ines</t>
  </si>
  <si>
    <t>FLPNSI63C71D969L</t>
  </si>
  <si>
    <t>3381987716</t>
  </si>
  <si>
    <t>cuoca presso Istituto per anziani; fumatrice attiva (dal 1997, 25 p/y circa)</t>
  </si>
  <si>
    <t>fumatrice attiva (dal 1997, 25 p/y circa)</t>
  </si>
  <si>
    <t>bentelan</t>
  </si>
  <si>
    <t>no (in programma controllo EE)</t>
  </si>
  <si>
    <t>/</t>
  </si>
  <si>
    <t>olmesartan, dicloreum, arlevertan, amlodipina</t>
  </si>
  <si>
    <t>riferiti episodi di apnea da parte del marito; riferisce sonno non ristoratore</t>
  </si>
  <si>
    <t>si (da circa 1 settimana)</t>
  </si>
  <si>
    <t>al torace MV ubiquitario, non grossolani rumori patologici aggiunti. Attività cardiaca valida, ritmica, non soffi. Minima succulenza declive.</t>
  </si>
  <si>
    <t>astensione completa dal fumo sdi sigaretta, utile esecuzione di spirometria semplice. Utile monitoraggio cardio respiratorio notturno.</t>
  </si>
  <si>
    <t>Borelli Edoardo</t>
  </si>
  <si>
    <t>BRLDRD51H20D969Q</t>
  </si>
  <si>
    <t>3400719738</t>
  </si>
  <si>
    <t>ex lieve fumatore (3 p/y); stop 30 anni fa</t>
  </si>
  <si>
    <t>Xarelto, Keppra</t>
  </si>
  <si>
    <t>buone condizioni generali</t>
  </si>
  <si>
    <t>De Cantellis Gabriella</t>
  </si>
  <si>
    <t>DCNGRL57S50D969N</t>
  </si>
  <si>
    <t>3404759231</t>
  </si>
  <si>
    <t>in passato parrucchiera, badante; mai fumatrice</t>
  </si>
  <si>
    <t>ipotiroidismo</t>
  </si>
  <si>
    <t>in visione saturimetria nottuna (21,03,23): desaturazioni fasiche organitte in cluster, anche su desaturazioni toniche (ODI 33,2, t90 = 13,9%, SpO2 min 67, base 94.3); EGA art. aa (21/03/23): pH 7,42, pO2 81,1, pCO2 42,1, HCO3 27,1;</t>
  </si>
  <si>
    <t>nebivololo,lixiana, eutirox, lasix, plaunac 1/2 c da 20 mg</t>
  </si>
  <si>
    <t>in passato: tonsillectomia, ernioplastica, termoablazione, safenectomia</t>
  </si>
  <si>
    <t>si, per sforzi anche lievi</t>
  </si>
  <si>
    <t>si, almeno 3 volte/notte</t>
  </si>
  <si>
    <t>48,33</t>
  </si>
  <si>
    <t>al torace MV diffusamente ridotto, non grossolani rumori patologici aggiunti. Attività cardiaca valida, aritmica, pause mal valutabili.</t>
  </si>
  <si>
    <t>si consiglia esecuzione di monitoraggio cardio-respiratorio notturno.</t>
  </si>
  <si>
    <t>Giambarresi Gaetanina</t>
  </si>
  <si>
    <t>GMBGNN64B45I824K</t>
  </si>
  <si>
    <t>3246232802</t>
  </si>
  <si>
    <t>collega otorino</t>
  </si>
  <si>
    <t>ex fumatrice (20 p/y)</t>
  </si>
  <si>
    <t>tapazole, laventair</t>
  </si>
  <si>
    <t>Baldacci Massimiliano</t>
  </si>
  <si>
    <t>BLDMSM92D01D969F</t>
  </si>
  <si>
    <t>3491265325</t>
  </si>
  <si>
    <t>sospette apnee del sonno in nota roncopatia</t>
  </si>
  <si>
    <t>programmatore</t>
  </si>
  <si>
    <t>ex lieve fumatore (4 p/y)</t>
  </si>
  <si>
    <t>FANS</t>
  </si>
  <si>
    <t>Ciccarelli Ugo</t>
  </si>
  <si>
    <t>CCCGUO65M25D969W</t>
  </si>
  <si>
    <t>3489402887</t>
  </si>
  <si>
    <t>imprenditore in ambito metalmeccanico; fumatore attivo, al momento di sigarette elettroniche (30 p/y circa)</t>
  </si>
  <si>
    <t>fumatore attivo, al momento di sigarette elettroniche (30 p/y circa)</t>
  </si>
  <si>
    <t>istamina</t>
  </si>
  <si>
    <t>nessuno</t>
  </si>
  <si>
    <t>citalopram 10 gtt al mattino e xanax 20 gtt al mattino e alla sera, atorvastina, lucen 40 mg</t>
  </si>
  <si>
    <t>riferiti episodi di apnea e roncopatia notturna, riferita impostante stanchezza diurna; turbinectomia (nel 2021)</t>
  </si>
  <si>
    <t>28,95</t>
  </si>
  <si>
    <t>al torace MV ubiquitario, non rumori patologici aggiunti. Attività cardiaca valida, ritmica, pause libere da soffi. Non edemi declivi.</t>
  </si>
  <si>
    <t>Fenu Claudio</t>
  </si>
  <si>
    <t>FNECLD90A23B354T</t>
  </si>
  <si>
    <t>3494069330</t>
  </si>
  <si>
    <t>fumatore (40 p/y), attualmente sigaretta elettronica</t>
  </si>
  <si>
    <t>verosimili a pollini</t>
  </si>
  <si>
    <t>si (secca al mattino)</t>
  </si>
  <si>
    <t>si, stagionale</t>
  </si>
  <si>
    <t>45</t>
  </si>
  <si>
    <t>Pendola Monica Irma</t>
  </si>
  <si>
    <t>3929137834</t>
  </si>
  <si>
    <t>sospette apnee del sonno,</t>
  </si>
  <si>
    <t>augmentin</t>
  </si>
  <si>
    <t>si, grave</t>
  </si>
  <si>
    <t>cardicor, metformina, atorvastatina, glyxambi</t>
  </si>
  <si>
    <t>Fulle Enrico</t>
  </si>
  <si>
    <t>FLLNRC01D02D969M</t>
  </si>
  <si>
    <t>3421955135</t>
  </si>
  <si>
    <t>sonno non riposante,riferito russamento</t>
  </si>
  <si>
    <t>fumatore attivo (4 p/y)</t>
  </si>
  <si>
    <t>nel weekend</t>
  </si>
  <si>
    <t>22</t>
  </si>
  <si>
    <t>Barsenas Amelia</t>
  </si>
  <si>
    <t>_x000D_
BRSMJS72C60Z504C</t>
  </si>
  <si>
    <t>3489285633</t>
  </si>
  <si>
    <t>sospette apnee del sonno in riferito russamento notturno</t>
  </si>
  <si>
    <t>operaia</t>
  </si>
  <si>
    <t>amlodipina,pantoprazolo, duloxetina</t>
  </si>
  <si>
    <t>Repetti Luca</t>
  </si>
  <si>
    <t>RPTLCU70D25D969H</t>
  </si>
  <si>
    <t>3476961263</t>
  </si>
  <si>
    <t>neurologia</t>
  </si>
  <si>
    <t>sensibilizzazione a pollini (parietaria)</t>
  </si>
  <si>
    <t>zirtec</t>
  </si>
  <si>
    <t>si, rinite allegica</t>
  </si>
  <si>
    <t>Michelotti Laura</t>
  </si>
  <si>
    <t>MCHLRA61E68G273B</t>
  </si>
  <si>
    <t>3280285731</t>
  </si>
  <si>
    <t>si nelperiodo primaverile</t>
  </si>
  <si>
    <t>Coronati Luigi</t>
  </si>
  <si>
    <t>CRNLGU67M06G942X</t>
  </si>
  <si>
    <t>3470677670</t>
  </si>
  <si>
    <t>Valutazione OSA, pregressa indicazione a CPAP mai eseguita dal paziente.</t>
  </si>
  <si>
    <t>pneumologa curante</t>
  </si>
  <si>
    <t>fumatore attivo, 10 sigarette al giorno da 30 anni</t>
  </si>
  <si>
    <t>2019 settoplastica e decorticazione turbinati inferiori.</t>
  </si>
  <si>
    <t>trittico, resilient, cymbalta</t>
  </si>
  <si>
    <t>RX torace (29/03/2023) eseguito per dolore puntorio fianco sinistro: Non lesioni pleuro parenchimali in atto, seni costo e cardiofrenici liberi._x000D_
PFR (11/2021): FVC 3,91 L (94%, FEV1 3,29 L (99%), IT 84</t>
  </si>
  <si>
    <t>si, espettorato bianco grigiastro</t>
  </si>
  <si>
    <t>cefalea a grappolo</t>
  </si>
  <si>
    <t>28,39</t>
  </si>
  <si>
    <t>Al torace mv presente in toto, non rumori patologici aggiunti. Attività cardiaca valida, ritmica, toni netti, pause apparentemente libere. Non edemi declivi.</t>
  </si>
  <si>
    <t>Indicazione a eseguire polisonnografia notturna.</t>
  </si>
  <si>
    <t>Piccazzo Alessia</t>
  </si>
  <si>
    <t>PCCLSS80E63D969N</t>
  </si>
  <si>
    <t>3393740075</t>
  </si>
  <si>
    <t>pneumologo curante</t>
  </si>
  <si>
    <t>ex fumatrice (circa 10 sigarette al giorno per 10 anni, ha smesso dal 2017)</t>
  </si>
  <si>
    <t>cane, gatte, acaro della polvere, nichel, kiwi, asparagi</t>
  </si>
  <si>
    <t>ossimetria notturna (04/2023): SatO2 media 91,4, T 90 29,9%, ODI 70,5, desaturazione media 87,3%, FC media 79,3._x000D_
PFR (04/2023): FVC 3,27 L (84%), FEV1 2,05 L (65%), IT 62,7, TLC 5,67 (107%), RV 2,00 (117%).</t>
  </si>
  <si>
    <t>revinty 184/22, ventolin al bisogno, glucophage, vit. D, pariet, gaviscon, kestine al bisogno</t>
  </si>
  <si>
    <t>41,81</t>
  </si>
  <si>
    <t>Al torace mv presente in toto, non rumori patologici aggiunti. ACV: ritmica, toni netti, pause apparentemente libere. Non edemi declivi.</t>
  </si>
  <si>
    <t>Utile eseguire polisonnogramma notturno.</t>
  </si>
  <si>
    <t>Sivori Ivano</t>
  </si>
  <si>
    <t>SVRVNI75C29D969J</t>
  </si>
  <si>
    <t>3391143457</t>
  </si>
  <si>
    <t>dispnea</t>
  </si>
  <si>
    <t>fumatore attivo 15-20 sigarette al giorno da 34 anni</t>
  </si>
  <si>
    <t>si, saltuariamente</t>
  </si>
  <si>
    <t>carbolithium 300, 1/4 di fl di farmaco non meglio specificato per disturbo bipolare</t>
  </si>
  <si>
    <t>52,83</t>
  </si>
  <si>
    <t>Al torace mv presente in toto, non rumori patologici aggiunti. ACV: toni parafonici, pause apparentemente libere._x000D_
Non edemi declivi.</t>
  </si>
  <si>
    <t>Utile effettuare polisonnografia notturna basale.</t>
  </si>
  <si>
    <t>Spazzafumo Lucilla</t>
  </si>
  <si>
    <t>SPZLLL52C52L424H</t>
  </si>
  <si>
    <t>3478016052</t>
  </si>
  <si>
    <t>pneumologia dal territorio</t>
  </si>
  <si>
    <t>ex fumatrice (40 p/y)</t>
  </si>
  <si>
    <t>ramipril, nebivololo, pantoprazolo</t>
  </si>
  <si>
    <t>Novello Gualtiero Antonio</t>
  </si>
  <si>
    <t>NVLGTR37T25D969U</t>
  </si>
  <si>
    <t>portuale (esposizione a polveri)</t>
  </si>
  <si>
    <t>Latoma Michele</t>
  </si>
  <si>
    <t>LTNMHL70P23D969H</t>
  </si>
  <si>
    <t>3289683991</t>
  </si>
  <si>
    <t>panettiere</t>
  </si>
  <si>
    <t>fumatore (5p/y)</t>
  </si>
  <si>
    <t>28,4</t>
  </si>
  <si>
    <t>Cannonero Stefano Giacomo</t>
  </si>
  <si>
    <t>3338953544</t>
  </si>
  <si>
    <t>saldatore</t>
  </si>
  <si>
    <t>15 p/y</t>
  </si>
  <si>
    <t>Di Chiara Patrizia</t>
  </si>
  <si>
    <t>DCHPRZ87C57B715D</t>
  </si>
  <si>
    <t>3279873800</t>
  </si>
  <si>
    <t>fumatrice attiva (attualmente 3-4 sigarette/die, dall'età di 18 anni)</t>
  </si>
  <si>
    <t>referto ORL (27/04/23): visita per ipoacusia sinistra e vertigini, dall'anamnesi riferiti disturbi del sonno e apnee notturne</t>
  </si>
  <si>
    <t>si (scale, salite)</t>
  </si>
  <si>
    <t>si, in primavera (mai eseguiti skin prick test)</t>
  </si>
  <si>
    <t>si, talvolta</t>
  </si>
  <si>
    <t>34,63</t>
  </si>
  <si>
    <t>al torace MV ubiquitario in assenza di rumori patologici aggiunti. Attività cardiaca valida, ritmica, pause libere da soffi. Non edemi declivi.</t>
  </si>
  <si>
    <t>si consiglia esecuzione di monitoraggio cardiorespiratorio notturno._x000D_
Utile calo ponderale e spirometria semplice.</t>
  </si>
  <si>
    <t>Bossi Renato</t>
  </si>
  <si>
    <t>BSSRNT66T08D969J</t>
  </si>
  <si>
    <t>3493818366</t>
  </si>
  <si>
    <t>tecnico di laboratorio; fumatore attivo (10 sigarette/die, da 35 anni)</t>
  </si>
  <si>
    <t>fumatore attivo (10 sigarette/die, da 35 anni)</t>
  </si>
  <si>
    <t>eutirox 175 mcg 1 c, duovent spray all'occorrenza</t>
  </si>
  <si>
    <t>si, scale e salite</t>
  </si>
  <si>
    <t>si, riferita allergia alle graminacee</t>
  </si>
  <si>
    <t>si, di rado</t>
  </si>
  <si>
    <t>26,2</t>
  </si>
  <si>
    <t>Catalano Olga</t>
  </si>
  <si>
    <t>CTLLGO47R54A077B</t>
  </si>
  <si>
    <t>3461073600</t>
  </si>
  <si>
    <t>rara</t>
  </si>
  <si>
    <t>Tassara Giovanna Paola</t>
  </si>
  <si>
    <t>TSSGNN46T53D969T</t>
  </si>
  <si>
    <t>010 808061</t>
  </si>
  <si>
    <t>ex fumatrice (50 p/y)</t>
  </si>
  <si>
    <t>Icardi Loredana</t>
  </si>
  <si>
    <t>CRDLDN68H42A145W</t>
  </si>
  <si>
    <t>3773714589</t>
  </si>
  <si>
    <t>prima visita</t>
  </si>
  <si>
    <t>Chirurgo bariatrico per adattamento a CPAP in OSA grave</t>
  </si>
  <si>
    <t>fumatrice attiva (35 sigarette al giorno da 8 anni)</t>
  </si>
  <si>
    <t>plaunazide</t>
  </si>
  <si>
    <t>36,51</t>
  </si>
  <si>
    <t>eupnoica a riposo e all'eloquio. Al torace mv presente in toto, non rumori patologici aggiunti. Attività cardiaca valida, ritmica, toni netti pause apparentemente libere. Non edemi declivi.</t>
  </si>
  <si>
    <t>Utile adattamento a CPAP.</t>
  </si>
  <si>
    <t>Bruno Maria</t>
  </si>
  <si>
    <t>BRNMRA74R44D969U</t>
  </si>
  <si>
    <t>3935350659</t>
  </si>
  <si>
    <t>ausiliaria del traffico</t>
  </si>
  <si>
    <t>fumatrice attiva (3 p/y)</t>
  </si>
  <si>
    <t>anfranil abilify</t>
  </si>
  <si>
    <t>Balbi Paolo</t>
  </si>
  <si>
    <t>BLBPLA67D03D969N</t>
  </si>
  <si>
    <t>3381977653</t>
  </si>
  <si>
    <t>sospetto apnee notturna</t>
  </si>
  <si>
    <t>zofenopril</t>
  </si>
  <si>
    <t>secca saltuariamente</t>
  </si>
  <si>
    <t>28,06</t>
  </si>
  <si>
    <t>Al torace mv presente in toto, non rumori patologici aggiunti. Toni cardiaci netti, pause apparentemente libere. Non edemi declivi.</t>
  </si>
  <si>
    <t>Utile esecuzione di polisonnografia basale</t>
  </si>
  <si>
    <t>Di Grandi Natala</t>
  </si>
  <si>
    <t>DGRNTL58T64F258N</t>
  </si>
  <si>
    <t>3400629436</t>
  </si>
  <si>
    <t>neurologo</t>
  </si>
  <si>
    <t>fumatrice attiva (12 sigarette die da 40 anni)</t>
  </si>
  <si>
    <t>esilgan, ramipril</t>
  </si>
  <si>
    <t>35,6</t>
  </si>
  <si>
    <t>Al torace mv presente in toto, qualche ronco sparso, parzialmente modificabile con colpi di tosse. Toni cardiaci parafonici, pause apparentemente libere. Non edemi declivi.</t>
  </si>
  <si>
    <t>Utile esecuzione di polisonnogramma notturno basale</t>
  </si>
  <si>
    <t>Montaldi Paolo</t>
  </si>
  <si>
    <t>MNTPLA63H05D969H</t>
  </si>
  <si>
    <t>3703650771</t>
  </si>
  <si>
    <t>OSA severo</t>
  </si>
  <si>
    <t>collega neurologo</t>
  </si>
  <si>
    <t>guardia giurata attualmente in sospensione</t>
  </si>
  <si>
    <t>fumatore attivo (circa 3 sigarette al giorno da 40)</t>
  </si>
  <si>
    <t>insulina, Norvasc, atorvastatina, lasix, cardioASA, esapent, zyloric, cardura, rolcontrol, gastroloc, omega 3, vit. D, ezetimibe, aldactone</t>
  </si>
  <si>
    <t>35,62</t>
  </si>
  <si>
    <t>Al torace mv ridotto in toto, non rumori patologici aggiunti. Toni cardiaci parafonici. Non edemi declivi.</t>
  </si>
  <si>
    <t>Serra Marco</t>
  </si>
  <si>
    <t>SRRMRC72E08D969B</t>
  </si>
  <si>
    <t>3534493298</t>
  </si>
  <si>
    <t>sospetto OSA in paziente obeso in valutazione per chirurgia bariatrica</t>
  </si>
  <si>
    <t>centro di dietologia</t>
  </si>
  <si>
    <t>idraulico</t>
  </si>
  <si>
    <t>si 3 grado</t>
  </si>
  <si>
    <t>Torchia Marina</t>
  </si>
  <si>
    <t>TRCMRN68T49D969A</t>
  </si>
  <si>
    <t>3533122508</t>
  </si>
  <si>
    <t>OSA grave neodia</t>
  </si>
  <si>
    <t>si, media</t>
  </si>
  <si>
    <t>Foster</t>
  </si>
  <si>
    <t>buone condizioni generaliu</t>
  </si>
  <si>
    <t>DELIU LUCIAN VASILE</t>
  </si>
  <si>
    <t>DLELNV83D28Z129V</t>
  </si>
  <si>
    <t>3203477611</t>
  </si>
  <si>
    <t>fumatore attivo (25 p/y)</t>
  </si>
  <si>
    <t>PARISI CRISTINA</t>
  </si>
  <si>
    <t>PRSCST78S48D969U</t>
  </si>
  <si>
    <t>347 0642612</t>
  </si>
  <si>
    <t>chirurgo bariatrico (Dott.ssa Bertolani)</t>
  </si>
  <si>
    <t>cuoca</t>
  </si>
  <si>
    <t>6 p/y</t>
  </si>
  <si>
    <t>lansoprazolo/pantoprazolo</t>
  </si>
  <si>
    <t>ASMA in trattamento con Foster 100/22 2 puff x2vv7die</t>
  </si>
  <si>
    <t>Foster 100/22 2 puff x2vv7die</t>
  </si>
  <si>
    <t>EGBE KOKOMA AGUEBOR</t>
  </si>
  <si>
    <t>GBKGBR80B02Z335J</t>
  </si>
  <si>
    <t>3297687296</t>
  </si>
  <si>
    <t>da otorinolaringoiatra</t>
  </si>
  <si>
    <t>collaboratore domestico</t>
  </si>
  <si>
    <t>96 %</t>
  </si>
  <si>
    <t>Esecuzione MCR notturno programmato in data 24 Ottobre 2023 ore 10:30 si presenterà per consegna kit che dovrà riportare il mattino seguente entro le ore 8:00</t>
  </si>
  <si>
    <t>Vaccari Giorgio</t>
  </si>
  <si>
    <t>VCCGRG71C09D969C</t>
  </si>
  <si>
    <t>3471780625</t>
  </si>
  <si>
    <t>impiegato in trasporti</t>
  </si>
  <si>
    <t>attivo (15 sig/die)</t>
  </si>
  <si>
    <t>acari</t>
  </si>
  <si>
    <t>moderati</t>
  </si>
  <si>
    <t>produttiva e purulenta</t>
  </si>
  <si>
    <t>per sforzi moderati-intensi (salita)</t>
  </si>
  <si>
    <t>3 vv/notte</t>
  </si>
  <si>
    <t>24,98</t>
  </si>
  <si>
    <t>vigile, eupnoico a riposo e all'eloquio</t>
  </si>
  <si>
    <t>-Riduzione e cessazione abitudine tabagica_x000D_
-monitoraggio cardio-respiratorio notturno</t>
  </si>
  <si>
    <t>Bagnasco natale</t>
  </si>
  <si>
    <t>BGNNTL54L25M123R</t>
  </si>
  <si>
    <t>3336740247</t>
  </si>
  <si>
    <t>sospette OSAS in russamento e sonnolenza diurna</t>
  </si>
  <si>
    <t>contadino</t>
  </si>
  <si>
    <t>moderati in tp con lucen</t>
  </si>
  <si>
    <t>Lucen 40 mg, zenzeril 2 cp+1+1 cp, cardioasa, deltacortene 25 mg ¼ cp (da terminare 08.07 per algie polso sn, sinovite)</t>
  </si>
  <si>
    <t>Pregressa litiasi renale, colecistectomia, episodi sincopali, MRGE</t>
  </si>
  <si>
    <t>4 vv/notte</t>
  </si>
  <si>
    <t>27,78</t>
  </si>
  <si>
    <t>vigile, eupnoico a riposo ed all'eloquio. Al torace MV</t>
  </si>
  <si>
    <t>-calo ponderale_x000D_
-Monitoraggio cardio-respiratorio notturno</t>
  </si>
  <si>
    <t>TIRABOSCHI PATRIZIA</t>
  </si>
  <si>
    <t>TRBPRZ57A47D969Q</t>
  </si>
  <si>
    <t>3404159596</t>
  </si>
  <si>
    <t>OSAS dopo interruzione di utilizzo CPAP da circa 1 anno e mezzo.</t>
  </si>
  <si>
    <t>proprio MMG</t>
  </si>
  <si>
    <t>ex-impiegata</t>
  </si>
  <si>
    <t>fumatrice attiva (50 p/y)</t>
  </si>
  <si>
    <t>Graminacee</t>
  </si>
  <si>
    <t>si, obesità media</t>
  </si>
  <si>
    <t>plaumazide, plavix</t>
  </si>
  <si>
    <t>si, produttiva</t>
  </si>
  <si>
    <t>si, rinite allergica</t>
  </si>
  <si>
    <t>si, 2-3 vv/notte</t>
  </si>
  <si>
    <t>16, sonnolenza anomala</t>
  </si>
  <si>
    <t>52 bpm R</t>
  </si>
  <si>
    <t>Persano Manuel</t>
  </si>
  <si>
    <t>PRSMNL78H24F965R</t>
  </si>
  <si>
    <t>3493271514</t>
  </si>
  <si>
    <t>apnee del sonno di grado molto grave (AHI 89,9)</t>
  </si>
  <si>
    <t>medico di medicina generale</t>
  </si>
  <si>
    <t>elettricista</t>
  </si>
  <si>
    <t>ex fumatore (20 p/y)</t>
  </si>
  <si>
    <t>non in visione polisonnografia eseguita a Ottobre 2022 che evidenziava OSA grave con AHI 89</t>
  </si>
  <si>
    <t>olpress, amlodipina</t>
  </si>
  <si>
    <t>34,7</t>
  </si>
  <si>
    <t>DUARTE SOL ERWIN JOSE</t>
  </si>
  <si>
    <t>DRTRNJ72R16Z605Y</t>
  </si>
  <si>
    <t>3472569645</t>
  </si>
  <si>
    <t>sospette OSAS</t>
  </si>
  <si>
    <t>muratore</t>
  </si>
  <si>
    <t>si, grado lieve</t>
  </si>
  <si>
    <t>amlodipina</t>
  </si>
  <si>
    <t>si, per sforzi moderati</t>
  </si>
  <si>
    <t>15, sonnolenza diurna patologica</t>
  </si>
  <si>
    <t>Al torace MV presente in toto, ridotta escursione toracica per adipe addominale, no rumori patologici aggiunti. No edemi declivi.</t>
  </si>
  <si>
    <t>Risulta programmato, c/o ambulatorio neurofisiopatologia il 03,10,2023 polisonnogramma notturno.</t>
  </si>
  <si>
    <t>Ferrari Claudio</t>
  </si>
  <si>
    <t>FRRCLD43E23G197F</t>
  </si>
  <si>
    <t>3476624259  3482821090</t>
  </si>
  <si>
    <t>sospette apnee del sonno in paziente con recente ictus ischemico (in passato eseguito MCR che evidenziava AHI 34)</t>
  </si>
  <si>
    <t>ex impiegato</t>
  </si>
  <si>
    <t>Recente ictus ischemico a Maggio 2023 in FA di nuova diagnosi.</t>
  </si>
  <si>
    <t>Eparina 6000x2,</t>
  </si>
  <si>
    <t>CUNEO CATERINA</t>
  </si>
  <si>
    <t>CNUCRN57E52D969R</t>
  </si>
  <si>
    <t>3473171594</t>
  </si>
  <si>
    <t>fumatrice attiva, 52 p/y</t>
  </si>
  <si>
    <t>si, obesità grave</t>
  </si>
  <si>
    <t>bivis, bisoprololo, clopidogrel, pantoprazolo al bisogno, eutirox, metformina, cardioasa, ezetimibe, atorvastatina.</t>
  </si>
  <si>
    <t>si, a sforzi lievi</t>
  </si>
  <si>
    <t>si, 1 vv/notte</t>
  </si>
  <si>
    <t>si, sporadicamente</t>
  </si>
  <si>
    <t>46</t>
  </si>
  <si>
    <t>94%</t>
  </si>
  <si>
    <t>67 bpm R</t>
  </si>
  <si>
    <t>Luna Enciso Ana Marcia</t>
  </si>
  <si>
    <t>LNNNRC89M69Z611S</t>
  </si>
  <si>
    <t>3478805652</t>
  </si>
  <si>
    <t>disoccupata</t>
  </si>
  <si>
    <t>gamberi (prurito al volto)</t>
  </si>
  <si>
    <t>aripiprazolo, fluoxetina, delorazepam, ferrograd, zolpidem</t>
  </si>
  <si>
    <t>63,63</t>
  </si>
  <si>
    <t>eupnoica a riposo e all'eloquio. Al torace mv presente in toto, non rumori patologici aggiunti. Toni cardiaci netti, pause apparentemente libere. Non edemi declivi.</t>
  </si>
  <si>
    <t>Utile monitoraggio cardio respiratorio notturno basale.</t>
  </si>
  <si>
    <t>Lasisi Muyiwa Gift</t>
  </si>
  <si>
    <t>LSSMWG81C60Z335Y</t>
  </si>
  <si>
    <t>3293675418</t>
  </si>
  <si>
    <t>sospetto apnee notturne e russamento</t>
  </si>
  <si>
    <t>medico pneumologo</t>
  </si>
  <si>
    <t>attualmente riferisce di non lavorare per inabilità alla mansione dopo encefalite subacuta da cmv</t>
  </si>
  <si>
    <t>Ex fumatrice (ha smesso 2 anni fa, fumava 20 sigarette die per 15 anni)</t>
  </si>
  <si>
    <t>Riferita allergia ad acaro della polvere</t>
  </si>
  <si>
    <t>Valsartan, Lobivon, Norvasc, kanrenol, pantorc, lasix, symtuza, cardioasa</t>
  </si>
  <si>
    <t>si con espettorato biancastro soprattutto al mattino</t>
  </si>
  <si>
    <t>45,72</t>
  </si>
  <si>
    <t>Eupnoica a riposo e all'eloquio. Al torace mv presente in toto, non rumori patologici aggiunti. Toni cardiaci parafonici, pause apparentemente libere. Lieve succulenza declive.</t>
  </si>
  <si>
    <t>Utile esecuzione di monitoraggio cardio respiratorio notturno</t>
  </si>
  <si>
    <t>DI BERNARDO DORIANA</t>
  </si>
  <si>
    <t>DBRDRN68S46G273P</t>
  </si>
  <si>
    <t>3394042235</t>
  </si>
  <si>
    <t>tecnico radiologo</t>
  </si>
  <si>
    <t>si, per sforzi intensi</t>
  </si>
  <si>
    <t>si, 3-4 vv/notte</t>
  </si>
  <si>
    <t>si, lieve peggioramento.</t>
  </si>
  <si>
    <t>13, sonnolenza anomala</t>
  </si>
  <si>
    <t>IYAMU FLORENCE</t>
  </si>
  <si>
    <t>YMIFRN83R69Z335E</t>
  </si>
  <si>
    <t>3510454732</t>
  </si>
  <si>
    <t>Dipnea</t>
  </si>
  <si>
    <t>dal MMG</t>
  </si>
  <si>
    <t>colf</t>
  </si>
  <si>
    <t>lobidiur 5/25, anti H2 saltuario</t>
  </si>
  <si>
    <t>35.29</t>
  </si>
  <si>
    <t>MV presente, qualche gemito  in-espiratorio parzialmente modificabile con la tosse</t>
  </si>
  <si>
    <t>si prescrive polisonnografia e pirometria semplice</t>
  </si>
  <si>
    <t>ACARO MARTINEZ_x000D_
MARY DEL CARMEN</t>
  </si>
  <si>
    <t>CRMMYD77C44Z605S</t>
  </si>
  <si>
    <t>3396553152</t>
  </si>
  <si>
    <t>Risvegli notturni e roncopatia da circa 2 anni</t>
  </si>
  <si>
    <t>da ORL di Pontedecimo (dott.ssa Gaggero)</t>
  </si>
  <si>
    <t>Casalinga, corso per OS</t>
  </si>
  <si>
    <t>non nota esemi 6 mesi fa</t>
  </si>
  <si>
    <t>non porta in visione</t>
  </si>
  <si>
    <t>integratori : ferro, magnesio e potassio._x000D_
Assume 1 vertiserc al bisogno per crisi parossistiche vertiginose 2-3 /mese  vertiginose da circa 3 anni</t>
  </si>
  <si>
    <t>qualche colpo di tosse notturna con espettorazione di scarso muco giallastro</t>
  </si>
  <si>
    <t>3/notte</t>
  </si>
  <si>
    <t>sensazione di ostruzione</t>
  </si>
  <si>
    <t>si, con fatica nell'apprendimento</t>
  </si>
  <si>
    <t>costante</t>
  </si>
  <si>
    <t>24.24</t>
  </si>
  <si>
    <t>62R</t>
  </si>
  <si>
    <t>Vigile orientata eupnoica a riposo e nell'eloquio. ACV valida ritmica normofrequente, non edemi declivi</t>
  </si>
  <si>
    <t>BISSO Antonella</t>
  </si>
  <si>
    <t>BSSNNL60P64H212V</t>
  </si>
  <si>
    <t>3403351940 (sorella)_x000D_
3391261057 (paziente)_x000D_
Struttura LaVilla (Camogli): 3494389659</t>
  </si>
  <si>
    <t>Sospetta OSAS e roncopatia</t>
  </si>
  <si>
    <t>Dal medico di medicina genererale</t>
  </si>
  <si>
    <t>ex cassiera, ex operatrice sanitaria</t>
  </si>
  <si>
    <t>si in terapia dal 2000</t>
  </si>
  <si>
    <t>possibile(non sa riferire)</t>
  </si>
  <si>
    <t>non noto</t>
  </si>
  <si>
    <t>si, Classe II</t>
  </si>
  <si>
    <t>Porta in visione EE</t>
  </si>
  <si>
    <t>negli ultimi 15 gg tosse secca ha assunto sedativi e mucolitici con parziale beneficio</t>
  </si>
  <si>
    <t>non presenti al momento, in passato risvegli per s.gambe senza riposo</t>
  </si>
  <si>
    <t>per sforzo moderati</t>
  </si>
  <si>
    <t>saltuarie</t>
  </si>
  <si>
    <t>35.99</t>
  </si>
  <si>
    <t>Vigile eupnoica a riposo e nell'eloqiuio, rari colpi di tosse senza secrezione</t>
  </si>
  <si>
    <t>TALIERCIO Giulia</t>
  </si>
  <si>
    <t>TLRGLI91H44D969Y</t>
  </si>
  <si>
    <t>3409298778</t>
  </si>
  <si>
    <t>risvegli frequenti notturni</t>
  </si>
  <si>
    <t>mmg</t>
  </si>
  <si>
    <t>amministrativo in Università</t>
  </si>
  <si>
    <t>8 p/yrs smesso da circa un anni</t>
  </si>
  <si>
    <t>ibuprofene con edema della glottide e ricovero, pesche arachidi con reazione anafilattica con prescrizione di adrenalina</t>
  </si>
  <si>
    <t>episodi di cardiopamo in passato</t>
  </si>
  <si>
    <t>presenti in passato migiorati da inizio di dieta</t>
  </si>
  <si>
    <t>rinite allergica e congiuntivite stagionale</t>
  </si>
  <si>
    <t>2-3/notte</t>
  </si>
  <si>
    <t>2-3 /settimana</t>
  </si>
  <si>
    <t>41.1</t>
  </si>
  <si>
    <t>Cazzulini Claudia</t>
  </si>
  <si>
    <t>CZZCLD74S52D969A</t>
  </si>
  <si>
    <t>3402558091</t>
  </si>
  <si>
    <t>sospetta</t>
  </si>
  <si>
    <t>87</t>
  </si>
  <si>
    <t>eupnoica a riposo e all'eloquio, al torace mv normotrasmesso in toto, non apprezzabili rumori patologici</t>
  </si>
  <si>
    <t>utile monitoraggio cardiorespiratorio notturno, programmato per il</t>
  </si>
  <si>
    <t>MENDOZA CEDENO MARIA DEL CARMEN</t>
  </si>
  <si>
    <t>MNDMDL81C59Z605Q</t>
  </si>
  <si>
    <t>3488748263</t>
  </si>
  <si>
    <t>sospette OSA</t>
  </si>
  <si>
    <t>saxenda</t>
  </si>
  <si>
    <t>eupnoica a riposo e all'eloquio. Al torace mv presente in toto, non apprezzabili rumori patologici aggiunti</t>
  </si>
  <si>
    <t>utile polisonnogramma notturno</t>
  </si>
  <si>
    <t>IORIO MARIATERESA</t>
  </si>
  <si>
    <t>RIOMTR67P44I693R</t>
  </si>
  <si>
    <t>3939266995</t>
  </si>
  <si>
    <t>SOSPETTE OSAS</t>
  </si>
  <si>
    <t>si,in terapia</t>
  </si>
  <si>
    <t>saltuario cadiopalmo con gli sforzi</t>
  </si>
  <si>
    <t>si, II</t>
  </si>
  <si>
    <t>porta in visione RX torace</t>
  </si>
  <si>
    <t>non al momento, riacutizzazioni nei mesi autunnali con sibili con accessi parossistici con scarso escreato.</t>
  </si>
  <si>
    <t>per sforzi lievi-moderati</t>
  </si>
  <si>
    <t>senso di oppressionein clinostatismo supina</t>
  </si>
  <si>
    <t>possibile insonnia</t>
  </si>
  <si>
    <t>2</t>
  </si>
  <si>
    <t>Si consiglia prick test,</t>
  </si>
  <si>
    <t>Mulè Rosaria</t>
  </si>
  <si>
    <t>MLURSR59B60B429X</t>
  </si>
  <si>
    <t>3496944170</t>
  </si>
  <si>
    <t>prescrizione CPAP</t>
  </si>
  <si>
    <t>centro auxologico</t>
  </si>
  <si>
    <t>ricovero presso centro auxologico (13.7.2023): polisonnogramma con AHI 20.9, ODI 19.4, SPO2 media 84% SPO2 54%. Prescrivevano CPAP a 12 cmH2O</t>
  </si>
  <si>
    <t>olpress, cardura</t>
  </si>
  <si>
    <t>eupnoica a riposo e all'eloquio, al torace mv normotrasmesso in toto, non apprezzabili rumori patologici aggiunti.</t>
  </si>
  <si>
    <t>si prescrive CPAP a 12 cm H2O, con maschera nasale. _x000D_
Prossimo controllo tra 6 mesi</t>
  </si>
  <si>
    <t>Scarfò Fabio</t>
  </si>
  <si>
    <t>SCRFBA68D27D969X</t>
  </si>
  <si>
    <t>3488255618</t>
  </si>
  <si>
    <t>artigiano (vernici)</t>
  </si>
  <si>
    <t>ex fumatore</t>
  </si>
  <si>
    <t>sospetta allergia ad acari</t>
  </si>
  <si>
    <t>ipertrigliceridemia</t>
  </si>
  <si>
    <t>Pariet, Fulcosupral</t>
  </si>
  <si>
    <t>Colecistectomia circa 10 anni fa</t>
  </si>
  <si>
    <t>si circa una volta una volta la settimana</t>
  </si>
  <si>
    <t>si in esposizione a polvere</t>
  </si>
  <si>
    <t>Vigile, orientato, eupnoico a riposo ed all'eloquio. Al torace MV normotrasmesso non rumori patologici aggiunti.</t>
  </si>
  <si>
    <t>sospetto OSA , si consiglia polisonnografia notturna.</t>
  </si>
  <si>
    <t>Risso Luca</t>
  </si>
  <si>
    <t>RSSLCU91D10D969A</t>
  </si>
  <si>
    <t>3534599472</t>
  </si>
  <si>
    <t>pneumologia territoriale</t>
  </si>
  <si>
    <t>pavimentista</t>
  </si>
  <si>
    <t>si (25 p/y)</t>
  </si>
  <si>
    <t>antibiotico non specificato</t>
  </si>
  <si>
    <t>si, con catarro giallo scuro</t>
  </si>
  <si>
    <t>eupnoico a riposo e all'eloquio, al torace mv normotrasmesso in toto, non apprezzabili rumori patologici aggiunti.</t>
  </si>
  <si>
    <t>polisonnogramma notturno</t>
  </si>
  <si>
    <t>Marchese Paolo Matteo</t>
  </si>
  <si>
    <t>MRCPMT73D27D969H</t>
  </si>
  <si>
    <t>3240566513</t>
  </si>
  <si>
    <t>vigilante</t>
  </si>
  <si>
    <t>ex fumatore (10 p/y)</t>
  </si>
  <si>
    <t>Storia di vertigini in follow-up dagli otorini</t>
  </si>
  <si>
    <t>ramipril</t>
  </si>
  <si>
    <t>eupnoico a riposo e all'eloquio, alm torace mv normotrasmesso in toto, non apprezzabili rumori patologici aggiunti</t>
  </si>
  <si>
    <t>Perugi Roberto</t>
  </si>
  <si>
    <t>PRGRRT63H03D969Q</t>
  </si>
  <si>
    <t>3482619645</t>
  </si>
  <si>
    <t>apnee notturne</t>
  </si>
  <si>
    <t>fumatore attivo (20 p/y)</t>
  </si>
  <si>
    <t>parietaria, epitelio di gatto, acari della polvere, lattice</t>
  </si>
  <si>
    <t>asma grave (seguito da pneumologia territoriale)</t>
  </si>
  <si>
    <t>PFR (11.10.2023):FVC 77%(3.67L), FEV1 61%(2.24L), IT 61</t>
  </si>
  <si>
    <t>montelukast, bisoprololo, domperidone, spiriva, epatoril, foster, pantoprazolo, xyzal, mepolizumab</t>
  </si>
  <si>
    <t>polisonnogramma notturno (20.9.2023): sindrome della apnee notturne di grado moderato, AHI 17, associata a significative variazioni ossiemoglobiniche, in quadro di importante roncopatia con prevalenza posizionale.</t>
  </si>
  <si>
    <t>no (due pregressi interventi per poliposi nasale 2007, 2019)</t>
  </si>
  <si>
    <t>eupnoico a riposo e all'eloquio. Al torace mv normotrasmesso in toto, non apprezzabili rumori patologici aggiunti.</t>
  </si>
  <si>
    <t>adattamento a CPAP;_x000D_
astensione dal fumo di sigaretta;_x000D_
proseguire la terapia per l'asma bronchiale.</t>
  </si>
  <si>
    <t>Fichera Venera</t>
  </si>
  <si>
    <t>FCHVNR59L57D969H</t>
  </si>
  <si>
    <t>3392459408</t>
  </si>
  <si>
    <t>iniata da Orl Sestri per sospette OSA</t>
  </si>
  <si>
    <t>acari (stanutazioni mai eseguito prick)</t>
  </si>
  <si>
    <t>deviazione settale  sx  con completa obliterazione  della fossa sx ipertrofia dei turbinati bilat, Muller retrovelare collasso anteroposteriore completo</t>
  </si>
  <si>
    <t>Visita ORL del 19/10_x000D_
 RX torace del 19.10.23:</t>
  </si>
  <si>
    <t>citalopram, riopan</t>
  </si>
  <si>
    <t>appendicectomia, tonsillectomia, polipo uterino ragade anale, emorroidectomia, colecistectomia.</t>
  </si>
  <si>
    <t>prevalentemente notturna e nei mesi freddi</t>
  </si>
  <si>
    <t>saltuario</t>
  </si>
  <si>
    <t>Longo Nunziatina</t>
  </si>
  <si>
    <t>LNGNZT64E65D969D</t>
  </si>
  <si>
    <t>3492895026</t>
  </si>
  <si>
    <t>paziente affetta da sclerosi sistemica (seguita da reumatologia, già programmata spirometria annuale)</t>
  </si>
  <si>
    <t>palexia, flexiban, cardioasa, olmesartandilzene, citalopram, foster 200/6</t>
  </si>
  <si>
    <t>staurimetria notturna (11.10.2023): desaturazione di grado moderato.</t>
  </si>
  <si>
    <t>nel periodo primaverile</t>
  </si>
  <si>
    <t>si (2-3 volte)</t>
  </si>
  <si>
    <t>eupnoica a riposo e all'eloquio, al torace mv normotrasmesso in toto, non apprezzabili rumori patologici aggiunti</t>
  </si>
  <si>
    <t>monitoraggio cardiorespiratorio notturno</t>
  </si>
  <si>
    <t>BONATI MARIO</t>
  </si>
  <si>
    <t>BNTMRA46E13D969A</t>
  </si>
  <si>
    <t>3478258238</t>
  </si>
  <si>
    <t>ex fumatore (30 p/y)</t>
  </si>
  <si>
    <t>synapsine, PPI, sequacor, duoplavin, rosumibe, cardiosideral</t>
  </si>
  <si>
    <t>eupnoico a riposo e all'eloquio; al torace non apprezzabili rumori patologici aggiunti</t>
  </si>
  <si>
    <t>sospetto OSA._x000D_
Si consiglia:_x000D_
polisonnogramma notturno.</t>
  </si>
  <si>
    <t>MONEPI MARCO</t>
  </si>
  <si>
    <t>MNPMRC54E19D969Z</t>
  </si>
  <si>
    <t>3314104867</t>
  </si>
  <si>
    <t>paracetamolo</t>
  </si>
  <si>
    <t>pantoprazolo, metoprololo, cardioasa, rosumibe</t>
  </si>
  <si>
    <t>MEGNA FRANCESCO NICOLINO</t>
  </si>
  <si>
    <t>MGNFNC57B21D969O</t>
  </si>
  <si>
    <t>3395730114</t>
  </si>
  <si>
    <t>sospette</t>
  </si>
  <si>
    <t>nel  4/02/2014 intervento chirurgico di settoplastica nasale e uvulopalatofaringoplastica. Riferisce cattiva igiene del sonno._x000D_
Riferisce famigliarità per asma e pregressi episodi asmatiformi.</t>
  </si>
  <si>
    <t>olmesartan, zilmet</t>
  </si>
  <si>
    <t>PSG eseguita in neurologia: AHI 14.1, ODI 16.0, T90 0.3, possibile sottostima degli eventi per poco tempo trascorso in supino.</t>
  </si>
  <si>
    <t>si (1 volta)</t>
  </si>
  <si>
    <t>Mallampati 3/4; al torace mv normotrasmesso in toto, non apprezzabili rumori patologici aggiunti.</t>
  </si>
  <si>
    <t>prick test;_x000D_
adattamento a CPAP;_x000D_
spirometria semplice ed eventuale metacolina se spirometria nella norma.</t>
  </si>
  <si>
    <t>Gandus Sergio</t>
  </si>
  <si>
    <t>GNDSRG53R08D969F</t>
  </si>
  <si>
    <t>360628798</t>
  </si>
  <si>
    <t>rivalutazione ad un anno da esecuzione polisonnografia sotto suggerimento pneumologico (c/o Asl 3)</t>
  </si>
  <si>
    <t>MMG e pneumologo</t>
  </si>
  <si>
    <t>50 p/y al momento 10/die</t>
  </si>
  <si>
    <t>vino saltuariamente</t>
  </si>
  <si>
    <t>probabile BPCO seguito da dott.ssa Serra</t>
  </si>
  <si>
    <t>si ipotiroidismo in terapia</t>
  </si>
  <si>
    <t>pregressa MCR del .. Prec v. neurologiche</t>
  </si>
  <si>
    <t>al mattino con escreato bianco-giallastro</t>
  </si>
  <si>
    <t>dispnea per sforzi moderati-intensi</t>
  </si>
  <si>
    <t>GANADU GIUSEPPINA</t>
  </si>
  <si>
    <t>GNDGPP53E54A606Y</t>
  </si>
  <si>
    <t>368447547</t>
  </si>
  <si>
    <t>tosse persistente</t>
  </si>
  <si>
    <t>ex impiegata</t>
  </si>
  <si>
    <t>acari della polvere, nocciolo, parietaria</t>
  </si>
  <si>
    <t>foster 100/6 al bisogno, lobivon</t>
  </si>
  <si>
    <t>si (2 volte )</t>
  </si>
  <si>
    <t>eupnoica a riposo e all'eloquio. Al torace mv lievemente ridotto in toto, non apprezzabili rumori patologici aggiunti.</t>
  </si>
  <si>
    <t>QUEZADA SANMARTIN NARCISA DE JESUS</t>
  </si>
  <si>
    <t>QZDNCS63D54Z605K</t>
  </si>
  <si>
    <t>3337659318</t>
  </si>
  <si>
    <t>si, sindrome di brugada</t>
  </si>
  <si>
    <t>polisonnogramma notturno (21.9.2023): AHI 25, ODI 25.8, presente componente posizionale</t>
  </si>
  <si>
    <t>triatec</t>
  </si>
  <si>
    <t>a volte</t>
  </si>
  <si>
    <t>si (2 volte)</t>
  </si>
  <si>
    <t>eupnoica a riposo e all'eloquio. Al torace mv normotrasmesso in toto, non apprezzabili rumori patologici aggiunti.</t>
  </si>
  <si>
    <t>si consiglia adattamento a CPAP</t>
  </si>
  <si>
    <t>Dieci Fabrizio</t>
  </si>
  <si>
    <t>DCIFRZ70P18D969B</t>
  </si>
  <si>
    <t>3384154571</t>
  </si>
  <si>
    <t>fumatore attivo (15 p/y)</t>
  </si>
  <si>
    <t>parietaria, olivo, acari, graminacee</t>
  </si>
  <si>
    <t>zyrtec</t>
  </si>
  <si>
    <t>Polisonnogramma basale (21.9.2023): AHI 30, presente componente posizionale;_x000D_
adattamento a CPAP(26.10.2023): CPAP con pressione 9 con maschera simplus taglia L</t>
  </si>
  <si>
    <t>sì, 2-3 volte a notte</t>
  </si>
  <si>
    <t>sì, qualche volta</t>
  </si>
  <si>
    <t>si consiglia CPAP con pressione 9 con maschera simplus taglia L</t>
  </si>
  <si>
    <t>Patrone Andrea</t>
  </si>
  <si>
    <t>PTRNDR48T10D969V</t>
  </si>
  <si>
    <t>3336208721</t>
  </si>
  <si>
    <t>riferita interstiziopatia</t>
  </si>
  <si>
    <t>TC torace(10.2.2023): rinforzo dell'interstizio polmonare più rappresentata al lobo medio, lingula e ai lobi inferiori ove si apprezzano manifestazioni fibrodisventilatorie. Bronchiolectasie da trazione e micronoduli confluenti tipo albero in fiore.</t>
  </si>
  <si>
    <t>lobivon, zyloric, coverlam, totalip, lasix, compendium</t>
  </si>
  <si>
    <t>eupnoico a riposo e all'eloquio, al torace mv normotrasmesso in toto, non apprezzabili rumori patologici aggiunti</t>
  </si>
  <si>
    <t>polisonnogramma notturno;_x000D_
spirometria globale con DLCO;_x000D_
TC torace di controllo;_x000D_
Prossima visita pneumologica dopo aver effettuato gli accertamenti richiesti</t>
  </si>
  <si>
    <t>CAMISOTTO ANDREA</t>
  </si>
  <si>
    <t>CMMNDR71P15D969C</t>
  </si>
  <si>
    <t>3939318894</t>
  </si>
  <si>
    <t>manutentore</t>
  </si>
  <si>
    <t>RX TORACE (20.10.2023):_x000D_
Non lesioni p.p a focolaio in atto._x000D_
Seni costo e cardiofrenici liberi._x000D_
Non slargamenti mediastinici._x000D_
Tenue sfumatura in sede bibasale del disegno polmonare da modesto interessamento interstiziale._x000D_
FCV: nei limiti.</t>
  </si>
  <si>
    <t>si, in risoluzione</t>
  </si>
  <si>
    <t>eupnoico a riposo e all'eloquio</t>
  </si>
  <si>
    <t>Mondello Agata</t>
  </si>
  <si>
    <t>MNDGTA70L59B354X</t>
  </si>
  <si>
    <t>3476421707</t>
  </si>
  <si>
    <t>neurologi</t>
  </si>
  <si>
    <t>aulin, tachipirina, pollini</t>
  </si>
  <si>
    <t>revinty, nexium rilaten, pentacol triatec, eutirox</t>
  </si>
  <si>
    <t>eupnopica a risposo e alle'loquio, al torace mv normotrasmesso in toto, non apprezzabili rumori patologici aggiunti</t>
  </si>
  <si>
    <t>Bardanelli francesco</t>
  </si>
  <si>
    <t>BRDFNC72E31D969D</t>
  </si>
  <si>
    <t>3488738213</t>
  </si>
  <si>
    <t>MMG dopo esecuzione per via privata di monitoraggio cardio respiratorio notturno</t>
  </si>
  <si>
    <t>sì, fumatore attivo, 50 P/Y</t>
  </si>
  <si>
    <t>durante i pasti</t>
  </si>
  <si>
    <t>pregresso IC di turbinati e per cisti buccali e IC al menisco; stato d'ansia</t>
  </si>
  <si>
    <t>entumin, lamictal</t>
  </si>
  <si>
    <t>sì spesso, a volte stizzosa a volte produttiva</t>
  </si>
  <si>
    <t>3-4 a notte</t>
  </si>
  <si>
    <t>sì, percepito</t>
  </si>
  <si>
    <t>sì, anche al risveglio (talvo</t>
  </si>
  <si>
    <t>Al torace MV lievemente ridotto, non apparenti rumori patologici aggiunti. ACV valida, ritmica. Toni netti, pause apparentmente libere.</t>
  </si>
  <si>
    <t>-Adattamento a CPAP_x000D_
-Spirometria basale_x000D_
-Visita pneumologica di controllo ad esami svolti.</t>
  </si>
  <si>
    <t>Canepa Adelaide</t>
  </si>
  <si>
    <t>CNPDLD68C51D969L</t>
  </si>
  <si>
    <t>3938289488</t>
  </si>
  <si>
    <t>inviata da dott.ssa Daneri dopo esecuzione di saturimetria notturna suggestiva di possibile OSA</t>
  </si>
  <si>
    <t>assitente alla famiglia</t>
  </si>
  <si>
    <t>attiva di circa 4/die  per circa 20 p/y</t>
  </si>
  <si>
    <t>saltuario cardiopalmo</t>
  </si>
  <si>
    <t>di prima classe</t>
  </si>
  <si>
    <t>si con ernia iatale</t>
  </si>
  <si>
    <t>si soilito non presente (da tre giorni ha tosse con escreato biancastro) nega febbre</t>
  </si>
  <si>
    <t>2-4/notte</t>
  </si>
  <si>
    <t>lievemente peggiorata negli ultimi 3 giorni, di solito per sforzi moderati. Ad agosto per sforzi lievi.</t>
  </si>
  <si>
    <t>Tocco Roberto</t>
  </si>
  <si>
    <t>TCCRRT68R07D969I</t>
  </si>
  <si>
    <t>3922761122</t>
  </si>
  <si>
    <t>parietaria, pollini, acari della polvere, epitelio del gatto</t>
  </si>
  <si>
    <t>saturimetria (10/10/2023): quadro di desaturazione lieve.</t>
  </si>
  <si>
    <t>aerius al bisogno</t>
  </si>
  <si>
    <t>eupnoico a riposo e alle'loquio, al toracem mv normotramesso in toto, non apprezzabili rumori patologici aggiunti</t>
  </si>
  <si>
    <t>monitoraggio cardiorespiratorio notturno programmato per il</t>
  </si>
  <si>
    <t>Miguez Miriam Guadalupe</t>
  </si>
  <si>
    <t>MGZMMG73L42Z605N</t>
  </si>
  <si>
    <t>3478472223</t>
  </si>
  <si>
    <t>Sospetta OSA</t>
  </si>
  <si>
    <t>Clinica ORL</t>
  </si>
  <si>
    <t>Acari e fulcro</t>
  </si>
  <si>
    <t>LES diagnosticato 7 anni fa</t>
  </si>
  <si>
    <t>Glialia, Coumadin, Atorvastatina, Brintellix, colecalciferolo, omega3</t>
  </si>
  <si>
    <t>occasionalmente, non produttiva</t>
  </si>
  <si>
    <t>sì, 3-4 volte a notte</t>
  </si>
  <si>
    <t>Eupnoica a riposo e all'eloquio. ACV valida, ritmica; toni netti, pause apparentemente libere. Al torace, MV normotrasmesso su tutto l'ambito; non rumori patologici aggiunti</t>
  </si>
  <si>
    <t>Si consiglia:Adattamento a CPAP</t>
  </si>
  <si>
    <t>Parodi Tatiana</t>
  </si>
  <si>
    <t>PRDTTN66P51D969X</t>
  </si>
  <si>
    <t>3476400669</t>
  </si>
  <si>
    <t>fumatrice attiva (30 p/y)</t>
  </si>
  <si>
    <t>varie intolleranze</t>
  </si>
  <si>
    <t>daparox, olpress</t>
  </si>
  <si>
    <t>polisonnogramma notturno: AHI 16.2, indice russamento 57.2, T90 29, ODI 16.2</t>
  </si>
  <si>
    <t>eupnoica a riposo e all'eloquio</t>
  </si>
  <si>
    <t>PESCIALLO GIOVANNI BATTISTA</t>
  </si>
  <si>
    <t>PSCGNN67C11D969O</t>
  </si>
  <si>
    <t>3534077012</t>
  </si>
  <si>
    <t>OSA di grado grave</t>
  </si>
  <si>
    <t>infermiere</t>
  </si>
  <si>
    <t>capecitabina, semaglutide</t>
  </si>
  <si>
    <t>polisonnogramma (22.8.2023): AHI 50.7, ODI 50.4, T90 3.8</t>
  </si>
  <si>
    <t>eupnoico a riposo e all'eloquio, Mv ridotto in toto, non franchi rumori patologici aggiunti .</t>
  </si>
  <si>
    <t>adattamento a CPAP programmato per il 12/3/2024 alle ore 9:30</t>
  </si>
  <si>
    <t>BRUZZO ENRICA</t>
  </si>
  <si>
    <t>BRZNRC70S47D969I</t>
  </si>
  <si>
    <t>3471649283</t>
  </si>
  <si>
    <t>reumatologo</t>
  </si>
  <si>
    <t>pizzaiola</t>
  </si>
  <si>
    <t>ex fumatrice (15 p/y)</t>
  </si>
  <si>
    <t>nickel</t>
  </si>
  <si>
    <t>attualmente vellicchio</t>
  </si>
  <si>
    <t>dispnea per sforzi lievi-moderati (una rampa di scale)</t>
  </si>
  <si>
    <t>Eupnoica a riposo e all'eloquio, al torace MV ridotto in toto, non franchi rumori aggiunti</t>
  </si>
  <si>
    <t>monitoraggio cardiorespiratorio</t>
  </si>
  <si>
    <t>Vasirani Carlo</t>
  </si>
  <si>
    <t>VSRCRL57C15B490M</t>
  </si>
  <si>
    <t>3335768153</t>
  </si>
  <si>
    <t>consulente finanziario</t>
  </si>
  <si>
    <t>sì, lievemente</t>
  </si>
  <si>
    <t>Gotta</t>
  </si>
  <si>
    <t>Litio, zyloric</t>
  </si>
  <si>
    <t>RX costale 18/10: frattura scomposta quinta costa e infrazione sesta costa sinistra. Ricontrollo 13/11: frattura costale sesta e settima costa.</t>
  </si>
  <si>
    <t>Sì, talvolta stizzosa o poco produttiva con muco di colore trasparente</t>
  </si>
  <si>
    <t>Negati dal pz. La moglie riferisce episodi ripetuti di apnea e risvegli con sensazione di fame d'aria</t>
  </si>
  <si>
    <t>Presente in passato, adesso riferita in parte regredita</t>
  </si>
  <si>
    <t>24 (riferito di recente cambio di peso)</t>
  </si>
  <si>
    <t>Eupnoico a riposo e all'eloquio. ACV valida, ritmica. Toni netti, pause apparentemente libere. Al torace MV normotrasmesso su tutto l'ambito, non apparenti rumori patologici aggiunti.</t>
  </si>
  <si>
    <t>-Si conferma il sospetto diagnostico di OSA, per cui è indicata l'esecuzione di monitoraggio cardiorespiratorio notturno_x000D_
-Importante il riposo funzionale considerato il quadro di fratture costali sx.</t>
  </si>
  <si>
    <t>Serra Alberto</t>
  </si>
  <si>
    <t>SRRLRT72H09D969B</t>
  </si>
  <si>
    <t>346/3539911</t>
  </si>
  <si>
    <t>tassista</t>
  </si>
  <si>
    <t>parietaria, pollini, peli gatto, peli cane</t>
  </si>
  <si>
    <t>Bivis, ruvastatine+ezetimibe, Lucen, duoresp</t>
  </si>
  <si>
    <t>si (2volte)</t>
  </si>
  <si>
    <t>monitoraggio cardiorespiratorio notturno, programmato per il 27.12.2023 alle ore 9:30</t>
  </si>
  <si>
    <t>Romano Daniela</t>
  </si>
  <si>
    <t>RMNDNL69P49A326U</t>
  </si>
  <si>
    <t>3391872389</t>
  </si>
  <si>
    <t>fumatrice attiva (50 p/y))</t>
  </si>
  <si>
    <t>sospetta BPCO</t>
  </si>
  <si>
    <t>tareg, lodoz, almodipina, rosuvastatine</t>
  </si>
  <si>
    <t>57</t>
  </si>
  <si>
    <t>monitoraggio cardiorespiratorio notturno;_x000D_
consulenza nutrizionistica;_x000D_
spirometria semplice.</t>
  </si>
  <si>
    <t>Bongiovanni Stefania</t>
  </si>
  <si>
    <t>BNGSFN72S41D969C</t>
  </si>
  <si>
    <t>3497503364</t>
  </si>
  <si>
    <t>operatrice di ditta pulizie in una scuola</t>
  </si>
  <si>
    <t>no. COVID-19 nel 2020 trattato a domicilio con cortisone e antibiotico ed eparina.</t>
  </si>
  <si>
    <t>VISITA ORL 98/23: all'esame obbiettivo in rinoscopia anteriore: rinite vasomotoria, congestione nasofaringea, restringimento palato molle appoggio ugola palato molle</t>
  </si>
  <si>
    <t>Sertralina 150, Xanax 0,5 RP, Halcion 250 mcg, Lyrica</t>
  </si>
  <si>
    <t>4-5 volte a settimana. Riferita importante roncopatia e talvolta apnea</t>
  </si>
  <si>
    <t>secchezza vie aeree nasali con sensazione di ostruzione nasale ricorrente</t>
  </si>
  <si>
    <t>non di frequente</t>
  </si>
  <si>
    <t>peggiorata dopo il COVID</t>
  </si>
  <si>
    <t>qualche volta</t>
  </si>
  <si>
    <t>89</t>
  </si>
  <si>
    <t>Eupnoica a riposo e all'eloquio. ACV valida, ritmica. Toni netti, pause apparentemente libere. Al torace,MV normotrasmesso su tutto l'ambito, non rumori patologici aggiunti</t>
  </si>
  <si>
    <t>-La paziente è attesa in data 12/12 alle ore 9.00</t>
  </si>
  <si>
    <t>Carandente Dario</t>
  </si>
  <si>
    <t>CRNDRA95T01F839L</t>
  </si>
  <si>
    <t>3318963254</t>
  </si>
  <si>
    <t>Adattamento a CPAP</t>
  </si>
  <si>
    <t>Tecnico informatico</t>
  </si>
  <si>
    <t>acaro della polvere</t>
  </si>
  <si>
    <t>Polisonnogramma notturno del 22.11.2023</t>
  </si>
  <si>
    <t>si, secca, estemporanea.</t>
  </si>
  <si>
    <t>51.42</t>
  </si>
  <si>
    <t>Eupnoico a riposo e all'eloquio, non segni di cianosi periferica. Al torace MV presente in toto, non franchi rumori patologici aggiunti.</t>
  </si>
  <si>
    <t>Necessario adattamento a CPAP.</t>
  </si>
  <si>
    <t>Fornaca Giuseppina</t>
  </si>
  <si>
    <t>FRNGPP62P41C621N</t>
  </si>
  <si>
    <t>3492948776</t>
  </si>
  <si>
    <t>nostri ambulatori</t>
  </si>
  <si>
    <t>ex badante</t>
  </si>
  <si>
    <t>tp antipertensiva, FANS al bisogno per algie</t>
  </si>
  <si>
    <t>sì, parecche volte. Riferito da partner di letto roncopatia e sensazione di apnea</t>
  </si>
  <si>
    <t>riferita rinite persistente con ostruzione nasale persistente senza rinorrea</t>
  </si>
  <si>
    <t>1-2 volte a notte</t>
  </si>
  <si>
    <t>Eupnoica a riposo, lievemente dispnoica all'eloquio. ACV valida, ritmica. Toni netti, pause apparntemente libere. Al torace, MV lievemente diffusamente ridotto, non apparenti rumori patologici aggiunti</t>
  </si>
  <si>
    <t>-Utile calo ponderale_x000D_
-Valutazione ORL_x000D_
-Si consegna in data odierna polisonnigrafo per esecuzione di monitoraggio cardiorespiratorio notturno. Restituire il dispositivo domani entro le ore 8.30</t>
  </si>
  <si>
    <t>Jara Norberto Arturo Alfondo</t>
  </si>
  <si>
    <t>JRNRRL63B06Z611M</t>
  </si>
  <si>
    <t>3491577152</t>
  </si>
  <si>
    <t>ex fumatore (stop nel 2019, 11 P/Y)</t>
  </si>
  <si>
    <t>pollini, parietaria, acari della polvere</t>
  </si>
  <si>
    <t>Lansoprazolo, valsartan, adenuric</t>
  </si>
  <si>
    <t>Effettuata</t>
  </si>
  <si>
    <t>riferita importante roncopatia e pause respiratorie durante il sonno</t>
  </si>
  <si>
    <t>sì, presenti</t>
  </si>
  <si>
    <t>presente qualche turba</t>
  </si>
  <si>
    <t>solo negli ultimi giorni</t>
  </si>
  <si>
    <t>Eupnoico a riposo e all'eloquio. ACV valida, ritmica. Toni lievemente parafonici, pause apparentemente libere. Al torace, MV lievemente ridotto e aspro su tutto l'ambito, non rumori patologici aggiunti.</t>
  </si>
  <si>
    <t>-Calo ponderale</t>
  </si>
  <si>
    <t>Achille Francesco</t>
  </si>
  <si>
    <t>CHLFNC62C25A669S</t>
  </si>
  <si>
    <t>3401015165</t>
  </si>
  <si>
    <t>OSA confermata di grado severo (AHI 71,3)</t>
  </si>
  <si>
    <t>Farmacista</t>
  </si>
  <si>
    <t>Pregressa SCA con posizionamento di 2 stent</t>
  </si>
  <si>
    <t>lopresan, giant, colecomb, cardioASA</t>
  </si>
  <si>
    <t>Senso di vellichio in gola e tosse persistente da circa 6 mesi. Assunto già mucolitico, aerosol tp, FANS ed antibiotico tp senza beneficio. Effettuato monitoraggio cardiorespiratorio notturno con adattamento con beneficio con P 11,5 cm H2O</t>
  </si>
  <si>
    <t>sì, presente da 6 mesi circa. A volte produttiva, catarro di colore biancastro</t>
  </si>
  <si>
    <t>2-3 volte a notte</t>
  </si>
  <si>
    <t>presente qualche minima turba</t>
  </si>
  <si>
    <t>Eupnoico a riposo e all'eloquio. ACV valida, ritmica.</t>
  </si>
  <si>
    <t>Paziente con OSA confermata di grado severo. Iter diagnostico-terapeutico presso Neurofisiopatologia di questo nosocomio (H87). Si consiglia_x000D_
-Visita ORL per sospetto di post-nasal drip e valutazione per tosse persistente_x000D_
-Calo ponderale_x000D_
-Visita pnuemoe</t>
  </si>
  <si>
    <t>Zanghi Giuseppe</t>
  </si>
  <si>
    <t>ZNGGPP48C06G687C</t>
  </si>
  <si>
    <t>3409052256 (pz), 3466918868 (figlia)</t>
  </si>
  <si>
    <t>ex fumatore (stop circa 1 anno fa, 60 P/Y)</t>
  </si>
  <si>
    <t>mdc iodato</t>
  </si>
  <si>
    <t>si, riferiti 2 episodi di stemi</t>
  </si>
  <si>
    <t>EGA del 18/12: pH 7,41 pO2 55,9 pCO2 52,6 sO2 91,8% Glu 196 HCO3- 34 Lac 0,9; ioni in ordine._x000D_
-Persi circa 15 kg in un anno.</t>
  </si>
  <si>
    <t>Lucen, Lasitone, bisoprololo 5 mg, blopress, forxiga, cardioASA, atorvastatina, insulina, Tavor, Trimbow 2 puff 2 volte/die</t>
  </si>
  <si>
    <t>a riposo 0,25 L/min, sotto sforzo 2L/min, di notte 0,5 L/min</t>
  </si>
  <si>
    <t>Riferite 5 cadute negli ultimi 20 giorni. Ricovero ad agosto 23 per acidoi respiratoria, IRA su IRC in riacutizzazione di BPCO e polmonite, ADK precedentemente</t>
  </si>
  <si>
    <t>Negli ultimi giorni presente.</t>
  </si>
  <si>
    <t>non riferiti. Presente in passato roncopatia e risvegli notturni con sonnolenza diurna</t>
  </si>
  <si>
    <t>talvolta presente</t>
  </si>
  <si>
    <t>sì. Presente inoltre da qualche giorno raucedine.</t>
  </si>
  <si>
    <t>3-4 volte a notte</t>
  </si>
  <si>
    <t>122</t>
  </si>
  <si>
    <t>Eupnoico a riposo e all'eloquio. ACV valida, ritmica. Toni netti, pause apparentemente libere. Presenti edemi declivi</t>
  </si>
  <si>
    <t>BPCO in OTLT con lieve ipercapnia all'EGA con possile episodio di scompenso cardiaco. _x000D_
Si consiglia: esecuzione di valutazione cardiologica urgente per tachicardia ed episodi di dolore toracico recidivante   -possibile avviare prednisone 25 mg 1 cp per</t>
  </si>
  <si>
    <t>Lo Piccolo Giuseppina</t>
  </si>
  <si>
    <t>LPCGPP66A55L049V</t>
  </si>
  <si>
    <t>3494546956</t>
  </si>
  <si>
    <t>Prima visita</t>
  </si>
  <si>
    <t>Azienda di Pulizie</t>
  </si>
  <si>
    <t>Fumatrice attiva (Un pacchetto/die- da circa 50 anni) sigaretta elettronica.</t>
  </si>
  <si>
    <t>Dermatophagoides</t>
  </si>
  <si>
    <t>Ipertensione Arteriosa</t>
  </si>
  <si>
    <t>PFR (25.08.22): FVC 2.71 (118%), FEV1 2.02 (103%), IT 77, TLC 5.42 (130%), RV 2.71 (166%). DLCO 55%._x000D_
RX torace (06.22): noduli sclero-calcifico in follow up ambulatoriale.</t>
  </si>
  <si>
    <t>Foster 100/6, due erogazioni, mattina e sera, Cetirizina 5 mg, CardioASA, Nebivolo 5 mg, Pantoprazolo 20 mg, Furosemide 25 mg, Olmesartan/Amlodipina, Eutirx 175 e 150 mcg.</t>
  </si>
  <si>
    <t>Effettuato MCR notturno (30.10.23):  AHI 29, ODI 29,1, spO2 media 92%, t90% 3.1%, AHI supino:AHI non supino: 2.24:1._x000D_
Presente componente posizionale.</t>
  </si>
  <si>
    <t>Tosse stizzosa durante la notte e durante lo sforzo</t>
  </si>
  <si>
    <t>Per sforzi lievi-moderati</t>
  </si>
  <si>
    <t>Riferisce ostruzione nasale e scolo nasale anteriore, soprattutto la mattina</t>
  </si>
  <si>
    <t>Talvolta presente</t>
  </si>
  <si>
    <t>Una volta per notte</t>
  </si>
  <si>
    <t>si, qualche minima turba</t>
  </si>
  <si>
    <t>spO2 95% in aa</t>
  </si>
  <si>
    <t>90 bpm R</t>
  </si>
  <si>
    <t>Paziente eupnoica a riposo e all'eloquio. Al torace, MV presente in toto, apprezzabili rari fischi basali. Non segni di cianosi periferica. Attività cardiaca valida e ritmica, toni netti, pause apparentemente libere.</t>
  </si>
  <si>
    <t>Si consiglia:_x000D_
-Astensione dal fumo di sigaretta;_x000D_
-Calo Ponderale;_x000D_
-Adattamento a CPAP._x000D_
Si consegna alla paziente indicazioni per terapia posizionale.</t>
  </si>
  <si>
    <t>Nicoletta Alessandro</t>
  </si>
  <si>
    <t>NCLLSN82R02C621L</t>
  </si>
  <si>
    <t>3284014457</t>
  </si>
  <si>
    <t>per sospetta OSAS</t>
  </si>
  <si>
    <t>inviato da neurofisiopatologia, dopo esuggerimento endocrioogico</t>
  </si>
  <si>
    <t>ipoti</t>
  </si>
  <si>
    <t>porta in visione lettera dimissione</t>
  </si>
  <si>
    <t>…</t>
  </si>
  <si>
    <t>5-6  con senso di fame d'aria</t>
  </si>
  <si>
    <t>per sforzi moderati, dorme bocconi</t>
  </si>
  <si>
    <t>5/notte (con incontinenza notturna)</t>
  </si>
  <si>
    <t>Stradella Angelo</t>
  </si>
  <si>
    <t>STRNGL51A02D969T</t>
  </si>
  <si>
    <t>3400765136 pz, 3408982099 figlio</t>
  </si>
  <si>
    <t>dimissione protetta</t>
  </si>
  <si>
    <t>Ex vigile urbano</t>
  </si>
  <si>
    <t>un sorso di superalcolico alla sera</t>
  </si>
  <si>
    <t>losartan, nebivololo, eliquis, duloxetina, pantoprazolo.</t>
  </si>
  <si>
    <t>Porta in visione lettera di dimissione del PS del giorno 04.01.2024: eccadeva in PS per riferita sonnolenza con cadute recidivanti , diversi traumatismi.</t>
  </si>
  <si>
    <t>dispnea per sforzi lievi-moderati (cìsalire pochi gradini).</t>
  </si>
  <si>
    <t>Al torace MV ridotto in toto, non franchi rumori patologici aggiunti.</t>
  </si>
  <si>
    <t>Giovinazzo Mario</t>
  </si>
  <si>
    <t>GVNMRA64M21C271Z</t>
  </si>
  <si>
    <t>3283813549</t>
  </si>
  <si>
    <t>gestore di ristorante</t>
  </si>
  <si>
    <t>riferiti risvegli per sensazione di fame d'aria. Riferito da partner di letto roncopatia e possibile apnea.</t>
  </si>
  <si>
    <t>presenti ogni tanto.</t>
  </si>
  <si>
    <t>1 volta a notte</t>
  </si>
  <si>
    <t>Eupnoico a riposo</t>
  </si>
  <si>
    <t>Sospetta OSA. _x000D_
Il paziente è atteso in data alle ore per esecuzione di monitoraggio cardiorespiratorio notturno.</t>
  </si>
  <si>
    <t>Capraro Giorgio</t>
  </si>
  <si>
    <t>CPRGRG60R09D969N</t>
  </si>
  <si>
    <t>3287670788</t>
  </si>
  <si>
    <t>Controllo in CPAP (CPAP p 8 cmH2O maschera Eson tg L )</t>
  </si>
  <si>
    <t>Informatico</t>
  </si>
  <si>
    <t>In passato. Attualmente riferisce miglioramento della sintomatologia con correzione dietetica.</t>
  </si>
  <si>
    <t>nel 1997 ricovero a Verona per dispnea e verosimile riscontro TC di micronodularità polmonare per cui si poneva sospetto di sarcoidosi (non confermata da biopsie; nessuna documentazione in visione).</t>
  </si>
  <si>
    <t>due interventi per condroma in passato. nel 1990 incidente stradale con trauma facciale e ricostruzione chirurgica</t>
  </si>
  <si>
    <t>Seloken 1/2 cp , Plaunac 20 mg, 1 cp.</t>
  </si>
  <si>
    <t>Paziente già in trattamento con CPAP, si effettua lo scarico dati degli ultimi 2 mesi. Tempoi utilizzo 100%, giorni con utilizzo maggiore di 4 h (83%). Paziente non ha mai effettuato cambio maschera.</t>
  </si>
  <si>
    <t>Riferisce tosse stizzosa, non produttiva, nel corso della giornata. Nega correlazione con la postura e con l'alimentazione.</t>
  </si>
  <si>
    <t>Non riferite dall'utilizzo della CPAP</t>
  </si>
  <si>
    <t>Riferita per sforzi moderati.</t>
  </si>
  <si>
    <t>Riferisce rinorrea. Nega starnutazioni o sintomi oculari.</t>
  </si>
  <si>
    <t>1-3 volte a notte (solo quando saltuariamente si sveglia)</t>
  </si>
  <si>
    <t>Raramente.</t>
  </si>
  <si>
    <t>31,7</t>
  </si>
  <si>
    <t>68 R</t>
  </si>
  <si>
    <t>Paziente vigile, orientato, collaborante, eupnoico a riposo e all'eloquio. Non segni di cianosi periferica. Al torace, MV presente in toto, non apprezzabili rumori patologici aggiunti.</t>
  </si>
  <si>
    <t>Mussucco Michele</t>
  </si>
  <si>
    <t>MSSMHL79M05D969O</t>
  </si>
  <si>
    <t>3494909495</t>
  </si>
  <si>
    <t>Inviato dal PS</t>
  </si>
  <si>
    <t>lavoro in cantiere,  riferita esposizione a polveri di cemento e additivi. IC per stenosi del piloro a 10 gg, appendicetomia, IC per CA ginocchio sx e dx.</t>
  </si>
  <si>
    <t>Saltuariamente</t>
  </si>
  <si>
    <t>In data 27/01 accedeva in PS per insorgenza di dispea e tosse con espettorazione, non purulenta, di muco di colore chiaro, con iperpiressia. All'EGA non segni di insufficienza respiratoria. All'RX segno di addensamento basale sx. Avviata terpia con</t>
  </si>
  <si>
    <t>Foster 100/6 al bisogno. Una volta al giorno.</t>
  </si>
  <si>
    <t>Augmentin e claritromicina e aerosolterapia per dieci giorni. Riferisce supporto di ossigeno.</t>
  </si>
  <si>
    <t>Raramente</t>
  </si>
  <si>
    <t>Riferisce dispnea per sforzi moderati.</t>
  </si>
  <si>
    <t>Riferisce sintomi oculo-rinitici.</t>
  </si>
  <si>
    <t>Si (1 per notte)</t>
  </si>
  <si>
    <t>Si, lieve</t>
  </si>
  <si>
    <t>96% in aa</t>
  </si>
  <si>
    <t>61 bpm</t>
  </si>
  <si>
    <t>Paziente eupnoico all'eloquio e a ripos, non segni di cianosi periferica, al torace, MV presente, leggermente ridotto, non apprezzbaili rumori patologici aggiuntivi. Attività cardiaca valida e ritmica, toni netti, pause libere da soffi.</t>
  </si>
  <si>
    <t>-Eseguire una spirometria semplice.</t>
  </si>
  <si>
    <t>Parrini Marco</t>
  </si>
  <si>
    <t>PRRMRC60D22D969A</t>
  </si>
  <si>
    <t>3383033442</t>
  </si>
  <si>
    <t>Prima visita per sospetto Apnee</t>
  </si>
  <si>
    <t>Ottico ortometrista (nega esposizione professionale a polveri fibrosanti)</t>
  </si>
  <si>
    <t>Due bicchieri di vino alla sera</t>
  </si>
  <si>
    <t>Riferisce negli ultimi 15 anni episodi di cardiopalmo con riscontro di tachiFA, cardiovertite elettrica.</t>
  </si>
  <si>
    <t>Riferisce di avere in corso esami di accertamento per distiroidismi.</t>
  </si>
  <si>
    <t>Nega pregressi respiratori di rilievo</t>
  </si>
  <si>
    <t>IC per devuazuibe du setto nasale</t>
  </si>
  <si>
    <t>Lobivon al mattino, Olmesartan.</t>
  </si>
  <si>
    <t>Riferisce frequente faringodinia con tosse secca. Riferisce anche presenza di espettorazione a carattere non purulento.</t>
  </si>
  <si>
    <t>Nega risvegli, ma la moglie riferische choking e episodi di russamento.</t>
  </si>
  <si>
    <t>paziente vigile, collaborante, orientato. Paziente eupnoico a riposo, e all'eloquio, non segni di cianosi perifica. Al torace, MV presente in toto, nno apprezzbaili rumori patolgoici aggiuntii. Attività cardiaca valida e ritmica, toni netti pause libere.</t>
  </si>
  <si>
    <t>-Visita otorinolaringoiatrica</t>
  </si>
  <si>
    <t>Fabbri Tiziana</t>
  </si>
  <si>
    <t>FBBTZN72R68D969Q</t>
  </si>
  <si>
    <t>3394082488</t>
  </si>
  <si>
    <t>Prima visita per sospette OSA</t>
  </si>
  <si>
    <t>Operatrice ecologica. Riferisce esposizione proefesisonale a polveri e inalanti.</t>
  </si>
  <si>
    <t>Si (in passato precedenti trattamenti con omeoprazolo)</t>
  </si>
  <si>
    <t>nega pregressi pneumologici. Riferisce IC del turbinati.</t>
  </si>
  <si>
    <t>Tibocina 2,5 mg e Zolpidem per dormire.</t>
  </si>
  <si>
    <t>Riferisce tosse secca.</t>
  </si>
  <si>
    <t>Riferisce frequenti risvegli, con choking (almeno due risvegli per notte)</t>
  </si>
  <si>
    <t>Riferisce comparsa di dispnea non correlata agli sforzi, più frequentemente di notte.</t>
  </si>
  <si>
    <t>Riferisce lieve turbe della memoria.</t>
  </si>
  <si>
    <t>Paziente eupnoica a riposo e all'eloquio, non segni di cianosi perfierica, al torace, MV presente in toto, non apprezzabili rumori patolgoici aggiunti. Attività cardiaca valida e ritmica, toni netti, pause libere. Non edemi declivi.</t>
  </si>
  <si>
    <t>Sospetta OSA. SI consiglia di eseguire un monitoraggio caridorespiratorio notturno in data</t>
  </si>
  <si>
    <t>Yang Mei Mei</t>
  </si>
  <si>
    <t>YNGMME71L59Z210K</t>
  </si>
  <si>
    <t>3409666189</t>
  </si>
  <si>
    <t>Otorinolaringoiatra</t>
  </si>
  <si>
    <t>Ristoratrice</t>
  </si>
  <si>
    <t>leggermente aumentato ma entro i limiti della norma</t>
  </si>
  <si>
    <t>si (trattato con sintomatici)</t>
  </si>
  <si>
    <t>Visita otorino (22/01/24)Riferisce russamento, con deviazione del setto nasale, ipertrofia dei tubinati</t>
  </si>
  <si>
    <t>IC per Anessiectomia totale (2023)</t>
  </si>
  <si>
    <t>Eutirox, duaviva</t>
  </si>
  <si>
    <t>già eseguita monitoraggiocardio respiratorio in data 21/12/23 da ripetere per mal posizionamento del sondino naso cannula. Tuttavia, l'analisi della spO2 ha eveidenziato in lieve quantita variazioni ossiemoglobiniche, siggestive di una sindrome delle apne</t>
  </si>
  <si>
    <t>Riferisce frequenti rivegli.</t>
  </si>
  <si>
    <t>riferisce dispnea per sforzi moderati (salire le scale). Marcia in piano conservata</t>
  </si>
  <si>
    <t>presenti, tratta con sintomatici.</t>
  </si>
  <si>
    <t>1 a notte</t>
  </si>
  <si>
    <t>no, ma riferisce acufeni a destra</t>
  </si>
  <si>
    <t>26,4</t>
  </si>
  <si>
    <t>58</t>
  </si>
  <si>
    <t>Paziente eupnoica a riposo e all'eloquio, non segni di cianosi periferica. Al torace, MV presente, non apprezzabili rumoti patologici aggiunti. Attività cardiaca valida e ritmica, toni parafoni,m pause apparentemente libere.</t>
  </si>
  <si>
    <t>-Paziente con sospetta OSA</t>
  </si>
  <si>
    <t>Paoloni Alessio</t>
  </si>
  <si>
    <t>PLNLSS85S19D969C</t>
  </si>
  <si>
    <t>3494083200</t>
  </si>
  <si>
    <t>ORL (Dr.Barbieri)</t>
  </si>
  <si>
    <t>educatore</t>
  </si>
  <si>
    <t>acari, parietaria, epitelio di gatto</t>
  </si>
  <si>
    <t>Effettuata nostra valutazione a febbraio 20 in cui si confermava il sospetto di apnee ostruttive del sonno e si programmava MCR che non veniva eseguito a causa della pandemia da SarS-CoV-2. Eseguita valutazione ORL 02/02 us: ipetrofia tonsillare, deviazio</t>
  </si>
  <si>
    <t>circa 2 volte a settimana risvegli improvvisi notturni. Riferito da partner di letto roncopatia e momenti di pausa respiratoria</t>
  </si>
  <si>
    <t>rinorrea anteriore in quadro di rinosinusite</t>
  </si>
  <si>
    <t>episodi di pirosi post prandiale</t>
  </si>
  <si>
    <t>Eupnoico a riposo e all'eloquio. Si programma monitoraggio cardiorespiratorio notturno</t>
  </si>
  <si>
    <t>Pinna Anna</t>
  </si>
  <si>
    <t>PNNNNA35B54C511H</t>
  </si>
  <si>
    <t>010216580-3471193312</t>
  </si>
  <si>
    <t>Ex-casalinga,</t>
  </si>
  <si>
    <t>Saltuaria in passato (3 al giorno al massimo)</t>
  </si>
  <si>
    <t>pregresso adenoK (operato circa 20 anni fa), erni inguinale dx, steatosi epatica, flebectasue e teleangectasie degli arti inferiori. Ateromasia carotidea bilaterale, ipovisus in glaucome bilaterale, pregressa infezione delle vie urinarie da E.Coli, IRC</t>
  </si>
  <si>
    <t>Pantoprazolo 40 mg, Cardirene 75 mg, olmesartan 20 mg, Cardiosideral 1 cp, Daflon 1 co/die,m Xanax 6 gtt, Lotada 1 gtt per occhio, Dibase 10.000 6 gtt 1 vv/settimana.</t>
  </si>
  <si>
    <t>EE (12/02/24): crea 1,65 (eGFR 28), urea 112, acido urico 7,8, fosforo 5,0, ferro 20, WBC 7,31 cell/microL, Hb 8,90 g/dL, PLT 406.000 cell/microL, PTH 157.</t>
  </si>
  <si>
    <t>Riferisce lieve dispnea per sforzi moderati (salire le scale)</t>
  </si>
  <si>
    <t>Lieve turbe della memoria</t>
  </si>
  <si>
    <t>20,8</t>
  </si>
  <si>
    <t>69 R</t>
  </si>
  <si>
    <t>paziente eupnoica a ripsoo e all'eloqui, non segni di cianosi periferica. Al torace, MV presente in toto, non apprezzabili rumroi patologici aggiunti. Attività cardiaca valida e ritmica, toni netti, pause apparentemente libere. Assenti edemi declivi.</t>
  </si>
  <si>
    <t>Paziente con sospetta OSA. Si ocnsiglia: esecuzione di monitoraggio cardiorespiratorio notturno.</t>
  </si>
  <si>
    <t>MHADHEBI MOUFIDA</t>
  </si>
  <si>
    <t>MHDMFD62H63Z352T</t>
  </si>
  <si>
    <t>3202469421</t>
  </si>
  <si>
    <t>Neurologo</t>
  </si>
  <si>
    <t>Domestica</t>
  </si>
  <si>
    <t>MCR (30/01/2024): tracciato ha evidenziato una sindorme delle apnee ostruttive di grado moderato, con roncopatia a componente prevalentemente posizionale. Si consiglia calo ponderale, visita ORL e adattamento a CPAP. AHI: 27</t>
  </si>
  <si>
    <t>Plaunac 20 mg, Foster 100/6 mcg 1 inalazione mattina e sera</t>
  </si>
  <si>
    <t>Riferisce tosse produttiva, con espettorazione di colore chiaro, a carattere non purulento.</t>
  </si>
  <si>
    <t>Riferisce diversi risvegli per notte, sia per russamento, sia per accessi di dispnea.</t>
  </si>
  <si>
    <t>Riferisce dispnea per sforzi moderati (salire la scale/fare una salita)</t>
  </si>
  <si>
    <t>talvolta, 1 volta per notte</t>
  </si>
  <si>
    <t>Riferisce lievi difficoltà</t>
  </si>
  <si>
    <t>Si riferisce cefalea al risveglio.</t>
  </si>
  <si>
    <t>33,75</t>
  </si>
  <si>
    <t>Paziente eupnoica a riposo e all'eloquio, non segni di cianosi periferica. Al torace, MV ridotto in toto, non apprezzabili rumori patologici aggiunti. Attività cardiaca valida e ritmica, toni netti, pause libere.</t>
  </si>
  <si>
    <t>Si consiglia: Calo ponderale, adattamento a CPAP</t>
  </si>
  <si>
    <t>Pin Enrico Eugenio</t>
  </si>
  <si>
    <t>PNINCG50D15D969O</t>
  </si>
  <si>
    <t>3400644684</t>
  </si>
  <si>
    <t>ex fumatore (stop circa 30 anni fa, 15 P/Y)</t>
  </si>
  <si>
    <t>allopurinolo, repentina</t>
  </si>
  <si>
    <t>No. Riferito episodio di chocking. Riferita roncopatia da partner di letto con concomitante pausa respiratoria occasionale</t>
  </si>
  <si>
    <t>Eupnoico a riposo e all'eloquio. ACV valida, ritmica. Toni netti, pause apparentemente libere. Al torace MV normotrasmesso su tutto l'ambito, non rumori patologici aggiunti.</t>
  </si>
  <si>
    <t>Sospetta OSA. Si programma monitoraggio</t>
  </si>
  <si>
    <t>Laginestra Ivan Esteban</t>
  </si>
  <si>
    <t>LGNVST95C23Z604P</t>
  </si>
  <si>
    <t>3791940587</t>
  </si>
  <si>
    <t>Ex guardia armata, impresa familiare di gesso (contatto con polveri)</t>
  </si>
  <si>
    <t>Saltuario fumatore di sigarette. Riferisc e consumo di cannabis</t>
  </si>
  <si>
    <t>Mai indagati, prevista visita.</t>
  </si>
  <si>
    <t>talvolta, trattato con Ppi al bisogno.</t>
  </si>
  <si>
    <t>Anti-ipertensivo non specificato che assume al bisogno.</t>
  </si>
  <si>
    <t>Riferisce di aver eseguito monitoraggio cardiorespiratorio in passato con riscontro di sd delle apnee ostruttive del sonno</t>
  </si>
  <si>
    <t>Riferisce tosse secca con sensazione di vellichio in gola.</t>
  </si>
  <si>
    <t>Riferisce risvegli per dispnea con difficoltà all'eloquio al momento del risveglio. Riferisce peggioramento di questi eventi (3-4 risvegli). Riferisce frequente russamento</t>
  </si>
  <si>
    <t>Riferisce dispnea per sforzi moderati (fare le scale, fare una salita). Martcia in piano conservata</t>
  </si>
  <si>
    <t>3-4 volte per notte</t>
  </si>
  <si>
    <t>Molta difficoltà a ricordare le cose.</t>
  </si>
  <si>
    <t>Talvolta, con sonno poco ristoratore.</t>
  </si>
  <si>
    <t>36,7</t>
  </si>
  <si>
    <t>Paziente eupnoico a riposo e all'eloquio, non segni di cianosi periferica. Al torace, MV ridotto in toto, non apprezzabili rumori. Attività cardiaca valida e ritmica, toni Netti, apprezzabile soffio sistolico (2/6) maggiormente apprezzabile su focolaio a</t>
  </si>
  <si>
    <t>-Si consiglia MRC notturno</t>
  </si>
  <si>
    <t>Giannoni Sara</t>
  </si>
  <si>
    <t>GNNSRA99B44D969M</t>
  </si>
  <si>
    <t>3400664320</t>
  </si>
  <si>
    <t>Specialista otorino e allergologo.</t>
  </si>
  <si>
    <t>Studentessa, tecnico in azienda di centraline elettriche (nega esposizione professionale).</t>
  </si>
  <si>
    <t>Visita Allergologica ( 20/12/24): Ostruzioine nasale persistente ed aperiodica. Recenti risvegli notturni per apnee. Reazione avversa ad ANANAS. ACT 25/25. Avviata terapia con Foster 100/6 mcg 2 inalazioni al bisogno, loratadina 10 mg 1 cp alla sera. Ryal</t>
  </si>
  <si>
    <t>Foster 100/6 mcg al bisogno, Loratadina 10 mg, Ryaltris spray.</t>
  </si>
  <si>
    <t>Visita otorino (non visione): presente un crollo del palato molle, anche in condizioni di veglia.</t>
  </si>
  <si>
    <t>La paziente stessa riferisce di andare in apnea durante la notte, riferiti episodi di choking. Nega Russamento.</t>
  </si>
  <si>
    <t>Riferisce rara dispnea per sfrozi moderati (salire le scale/fare una salita).</t>
  </si>
  <si>
    <t>Riferisce ostruzione nasale ricorrente (in trattamento con ryaltris)</t>
  </si>
  <si>
    <t>25,3</t>
  </si>
  <si>
    <t>Paziente eupnoiuca a riposo e all'eloquio, non segni di cianosi periferica. Malampati 4. Al torace, MV presente in toto, non apprezzabili rumori patologici aggiunti. Attività cardiaca valida, ritmica, tachifrequente, pause apparentemente libere.</t>
  </si>
  <si>
    <t>Si cosiglia: monitoraggio cardiorespiratorio notturno, da eseguire in data:</t>
  </si>
  <si>
    <t>Pangay Zambrano Jamel Del Rosario</t>
  </si>
  <si>
    <t>PNGJLD73D65Z605Q</t>
  </si>
  <si>
    <t>3394761048</t>
  </si>
  <si>
    <t>Anemia emolitica; gastrite</t>
  </si>
  <si>
    <t>sì, con difficoltà nell'espettorazione</t>
  </si>
  <si>
    <t>sì, più volte durante la notte. Riferisce anche roncopatia</t>
  </si>
  <si>
    <t>Eupnoica a riposo e all'eloquio</t>
  </si>
  <si>
    <t>Forte sospetta OSA. Si programma monitoraggio cardiorespiratorio notturno.</t>
  </si>
  <si>
    <t>Ferrando Maria Elena</t>
  </si>
  <si>
    <t>FRRMLN79E48D969U</t>
  </si>
  <si>
    <t>3404638951</t>
  </si>
  <si>
    <t>Impiegata (Nega esposizione professionale ad inalanti)</t>
  </si>
  <si>
    <t>Saltuaria</t>
  </si>
  <si>
    <t>Riferisce allergia alla tachipirina (ipepiressia e rash cutaneo)</t>
  </si>
  <si>
    <t>Intolleranza glucidica</t>
  </si>
  <si>
    <t>Si (in corso di regime di dimagrimento)</t>
  </si>
  <si>
    <t>Si, in trattamento con Ppi</t>
  </si>
  <si>
    <t>Tonsillectomia in infanzia.</t>
  </si>
  <si>
    <t>Visita Cardiologica (17/05/23): Ritmo sinusale, morfologia nei limiti, toni netti, pause libere. EE (03/01/24): EBC 8,75, EOS 300, HB 13,8, glu 92, crea 0,52, ionogramma nella norma.</t>
  </si>
  <si>
    <t>Tirosint 150 mcg, Lobidiur 12.5/5 mg, Metformina 500 mg 3 vv/die, Zuglimet, Liraglutide, Pantoprazolo, atorvastina 40 mg, coverlan.</t>
  </si>
  <si>
    <t>Riferisce diversi risvegli, nega chocking,nega sonno ristoratore. Riferita roncopatia.</t>
  </si>
  <si>
    <t>Riferisce dispnea per sforzi moderati (salire le scale/fare una salita). Marcia in piano conservato.</t>
  </si>
  <si>
    <t>2 volte per notte.</t>
  </si>
  <si>
    <t>A volte</t>
  </si>
  <si>
    <t>Paziente eupnoica a riposo e all'eloquio, non segni di cianosi periferica. Al torace, MV presente, diffusamente ridotto, non apprezzabili rumori patologici aggiunti. Attività cardiaca valida e ritmica, toni netti, pause apparentemente libere da soffi.</t>
  </si>
  <si>
    <t>Meloni Vincenzo</t>
  </si>
  <si>
    <t>MLNVCN56P23B354L</t>
  </si>
  <si>
    <t>3496788906</t>
  </si>
  <si>
    <t>Ex fumatore (25 packs/yera, stop circa 20 anni fa)</t>
  </si>
  <si>
    <t>Ketoprofene.</t>
  </si>
  <si>
    <t>SI, con presenza di ulcera gastrica (per cui ha eseguito IC).</t>
  </si>
  <si>
    <t>Programmata PFR il maggio 2024. Saturimetria notturna (14,02,24): Esame negativo per insufficienza respiratoria notturna, &gt;T90% 4,8%.  ODI: 27, si apprezzano numerose desaturazioni fasiche, organizzate in cluster. Quadro fortemente sospetto per OSA.</t>
  </si>
  <si>
    <t>olpress, omoprazen, spirofur</t>
  </si>
  <si>
    <t>Frequenti risvegli,soprattutto per tachicardia. Riferito sonno non riposante. Riferita importante roncopatia</t>
  </si>
  <si>
    <t>Riferisce dispnea per sforzi lievi, moderati. Marcia in piano parzialmente conservata.</t>
  </si>
  <si>
    <t>1-2 volte per notte</t>
  </si>
  <si>
    <t>No, ma frequente durante il giorno.</t>
  </si>
  <si>
    <t>Paziente eupnoico a riposo e all'eloquio, non segni di cianosi periferica. Al torace, MV presente in toto, non apprezzabili rumori patologici aggiunti. Attività Cardiaca valida e ritmica, toni netti, pause apparentemente libere.</t>
  </si>
  <si>
    <t>Galastro Massimiliano</t>
  </si>
  <si>
    <t>GLSMSM72S02D969F</t>
  </si>
  <si>
    <t>3455646380</t>
  </si>
  <si>
    <t>Impiegato all'interno dell'area portuale (rfierita esposizione professionale a carbone)</t>
  </si>
  <si>
    <t>Fumatore attivo (attualmente elettroniche, start a 16 anni, 30 packs/year)</t>
  </si>
  <si>
    <t>leggermente elevato</t>
  </si>
  <si>
    <t>Talvolta, soprattutto post prandiale (trattato con sitnomatici).</t>
  </si>
  <si>
    <t>Olpress 20 mg</t>
  </si>
  <si>
    <t>Riferisce frequente roncopatia e risvegli per chocking.  Riferisce sonno ristoratore.</t>
  </si>
  <si>
    <t>Riferisce dispnea per sforzi intensi (salita, fare una scala)</t>
  </si>
  <si>
    <t>25,56</t>
  </si>
  <si>
    <t>Paziente eupnoico a riposo e all'eloquio, non segni di cianosi periferiche. Al tprace, MV presente, diffusamente ridotto, non apprezzabili rumori patologici aggiunti. Attività cardiaca valida e ritmica, toni netti, pause libere da soffi.</t>
  </si>
  <si>
    <t>Si consiglia:_x000D_
Ese</t>
  </si>
  <si>
    <t>Sgambelluri Domenico</t>
  </si>
  <si>
    <t>SGMDNC60H07I725U</t>
  </si>
  <si>
    <t>3383756293</t>
  </si>
  <si>
    <t>Operaio (riferita esposizione professionali a polveri)</t>
  </si>
  <si>
    <t>Fumatore (circa 4-5 al giorno, precedentemente 15 sigarette/die), avvio a 12 anni, 25 packs/year)</t>
  </si>
  <si>
    <t>FA, per cui ha eseguito ablazione del focolaio (2019), sempre eseguiti controlli cardiologici.</t>
  </si>
  <si>
    <t>Ipotiroidismo a seguito di radioablazione con il radioiodio (seguito da centro di Pisa).</t>
  </si>
  <si>
    <t>Si, in trattamento con</t>
  </si>
  <si>
    <t>Calcolosi della colecisti, Intervento per escissioen di formazioni poliposiche coliche</t>
  </si>
  <si>
    <t>Visita otorino (13,02,24): Presenza dui residui adenoidei stabili, baselingua marcatamente ipertrofica e simmetrica (probabile collasso durante apnee), vallecola esplorabile con piccolo pailloma, Collasso marcato rcircolare muller retrovelare e muller or:</t>
  </si>
  <si>
    <t>Bivis 20/5 mg, Pantoprazolo 40 mg.</t>
  </si>
  <si>
    <t>Rara</t>
  </si>
  <si>
    <t>Nega risvegli per sintomatologia repsiratoria. Riferita roncopatia. Non sempre sonno ristoratore</t>
  </si>
  <si>
    <t>Dispnea per sforzi moderati (salire le scale/fare una salita)</t>
  </si>
  <si>
    <t>Non tutte le notte</t>
  </si>
  <si>
    <t>Paziente euonoico a ripsoo e all'eloquio, non segni di cianosi periferica, al torace, MV presente, leggermente ridotto i ntoto, non apprezzabili rumori patologici aggiunti. Attività cardiaca valida e ritmica, toni netti, pause libere.</t>
  </si>
  <si>
    <t>Arado Francesco</t>
  </si>
  <si>
    <t>RDAFNC74E30D969U</t>
  </si>
  <si>
    <t>3394605727</t>
  </si>
  <si>
    <t>Cameriere (nega esposizione professionali ad inalanti e polveri)</t>
  </si>
  <si>
    <t>Fumatore attivo (17 packs/year)</t>
  </si>
  <si>
    <t>Remeron 30 mg, Solia 400 mg</t>
  </si>
  <si>
    <t>Riferisce frequente tosse produttiva, con espettorazione di muco chiaro.</t>
  </si>
  <si>
    <t>Riferisce roncopatia e frequenti risvegli durante la notte.  Nega chocking. Sonno non sempre ristoratore.</t>
  </si>
  <si>
    <t>Riferita dispnea per sforzi Moderati (salire le scale/Fra euna salita). Marcia in piano conservata</t>
  </si>
  <si>
    <t>Frequenti sintomi rinitici con ostruzione e strarnutazione.</t>
  </si>
  <si>
    <t>1 volta per notte</t>
  </si>
  <si>
    <t>Lieve turbe della memoria.</t>
  </si>
  <si>
    <t>24,4</t>
  </si>
  <si>
    <t>Paziente eupnoico a riposo oe all'eloquio, non segni di cianosi periferica. Al torace, MV presente in toto, non apprezzabili rumori paotlogici aggiunti. Attività cardiaca valida e ritmica, toni netti, pause apparentemente libere da soffi.</t>
  </si>
  <si>
    <t>-Valutazione otorinolaringoiatrica;  -Monitoraggio cardiorespira</t>
  </si>
  <si>
    <t>Verduci Daniele</t>
  </si>
  <si>
    <t>VRDDNL87R05D969K</t>
  </si>
  <si>
    <t>3408706678</t>
  </si>
  <si>
    <t>responsabile ditta materiali plastici (riferita esposizione a polveri)</t>
  </si>
  <si>
    <t>intolleranza ad augmentin (ipotensione e manif. Gastrointestinali)</t>
  </si>
  <si>
    <t>Effettuata visita ORL 15/02 (referto non in visione): riferita possibile ipertrofia dei turibinati. Si consiglia rinoff a cicli di 21 giorni.   -Nel 2010 intervento di settoplastica</t>
  </si>
  <si>
    <t>muta</t>
  </si>
  <si>
    <t>riferiti 2 episodi nell'ultimo anno con sensazione di affanno e di soffocamento. Riferito da partner di letto roncopatia associata a pausa respiratoria</t>
  </si>
  <si>
    <t>ostruzione nasale ricorrente</t>
  </si>
  <si>
    <t>Forte sospetto di OSA. Si programma monitoraggio cardiorespiratorio notturno. Il paziente è atteso</t>
  </si>
  <si>
    <t>Marcenaro Maria</t>
  </si>
  <si>
    <t>MRCMRA40A68F965K</t>
  </si>
  <si>
    <t>3287134258 (figlio)</t>
  </si>
  <si>
    <t>Neurofisiologo</t>
  </si>
  <si>
    <t>Ex commessa, casalinga.</t>
  </si>
  <si>
    <t>si (portatrice di PM).</t>
  </si>
  <si>
    <t>si, FA</t>
  </si>
  <si>
    <t>no (in trattamento con Ppi).</t>
  </si>
  <si>
    <t>Paziente in OLTT domiciliare (non chiaro il contesto di prescrizione).</t>
  </si>
  <si>
    <t>Ricovero presso villa Scassi (dimessa a fine gennaio 2024) con diagnosi di polmonite. Eseguita una TC con riscontro di addensamento flogisticov LSS e addensamento atelettasico basale con versamento pleurico (non in visione).</t>
  </si>
  <si>
    <t>Quetiapina, lansoprazolo 30 mg, Furosemide 25 mg, ramipril 5 mg, flunox,  lixiana 60 mg</t>
  </si>
  <si>
    <t>OTLT domiciliare CN3L/min (giorno e notte)</t>
  </si>
  <si>
    <t>Riferiti frequenti risvegli, Riferisce roncopatia.</t>
  </si>
  <si>
    <t>Riferita dispnea per sforzi lievi (marcia in piano)</t>
  </si>
  <si>
    <t>Paziente euopnoica riposo e all'eloquio, non segni di cianosi periferica. Al torace, impirtante cifoscoliosi, MV ridotto in toto, apprezzabili rari ronchi incostanti. Alttività cardiaca valida e aritmica, in nota FA, toni paronific, pause mal valutabili.</t>
  </si>
  <si>
    <t>Setti Oreste Antonio</t>
  </si>
  <si>
    <t>STTRTN55S07D122Q</t>
  </si>
  <si>
    <t>3389647681/3391179038 (moglie)</t>
  </si>
  <si>
    <t>Prima vista</t>
  </si>
  <si>
    <t>Biologo (nega esposizione professionale a polveri fibrosanti)</t>
  </si>
  <si>
    <t>MCR notturno (06/24): Sd delle apnee ostruttive di grado grave (ahi 40), ODI 35,5, t90 1.1%, si segnala roncopatia. Non valutabile componente posizionale.</t>
  </si>
  <si>
    <t>Madopar, integratori vitaminici, rivastigmina. IC per seminoma (2010), basalioma, Morbo di Pakinson</t>
  </si>
  <si>
    <t>Riferita tosse con secrezione di muco chiaro a carattere non purulento</t>
  </si>
  <si>
    <t>Riferita roncopatia. Nega risvegli. Nega chocking. Nega sonno ristoratore.</t>
  </si>
  <si>
    <t>Nega dispnea per sfrozi moderati (salire le scale),</t>
  </si>
  <si>
    <t>1 volta per notte.</t>
  </si>
  <si>
    <t>21,56</t>
  </si>
  <si>
    <t>Paziente eupnoico a riposo, e all'eloquiio, non segni di cianosi periferica, non segni cianosi periferica. Al torace, MV presente, lievemente ridotto alle base, apprezzabili fini crepitazioni in base destra.  Edemi declivi assenti.</t>
  </si>
  <si>
    <t>Paziente con OSA grave. Si consiglia: Adattamento con CPAP da eseguire in data:</t>
  </si>
  <si>
    <t>Demiri Fatjon</t>
  </si>
  <si>
    <t>DMRFJN87L21Z100U</t>
  </si>
  <si>
    <t>3287844177</t>
  </si>
  <si>
    <t>Scavatorista (riferitoa esposizione professionale a polveri)</t>
  </si>
  <si>
    <t>Fumatore attivo (25 packs/year)</t>
  </si>
  <si>
    <t>Riferita, nega assunzione di farmaci</t>
  </si>
  <si>
    <t>Nega terapia domiciliare abituale</t>
  </si>
  <si>
    <t>Riferisce roncopatia e riferite apnee durante la notte. Riferiti frequenti risvegli notturni, anche per sintomatologia respiratoria. Nega sonno ristoratore.</t>
  </si>
  <si>
    <t>Riferita dispnea per sforzi moderati (salire le scale/fare una salita). Marcia in piano conservata</t>
  </si>
  <si>
    <t>3 volte per notte</t>
  </si>
  <si>
    <t>lieve turbe della memoria.</t>
  </si>
  <si>
    <t>35,5</t>
  </si>
  <si>
    <t>Paziente eupnoico a riposo e all'eloquio, no nsegni di cianosi periferica. Al torace, MV ridotto in toto, non apprezzabili rumori. Attività cardiaca valida e ritmica, toni netti, pause libere</t>
  </si>
  <si>
    <t>-Riduzione dell'abitudine tabagica</t>
  </si>
  <si>
    <t>Russo Giovanni</t>
  </si>
  <si>
    <t>RSSGNN50P12D969U</t>
  </si>
  <si>
    <t>3472907795 (moglie)</t>
  </si>
  <si>
    <t>Ex fumatore (stop nel 1980, 15 P/Y)</t>
  </si>
  <si>
    <t>Riferiti pregressi ricoveri circa 4 anni fa per polmonite e per pleurite, trattato con apparente beneficio.</t>
  </si>
  <si>
    <t>pregressa intervento di chirurgia prostatica per IPB in follow-up.</t>
  </si>
  <si>
    <t>pantoprazolo, atorvastatina, amlodipina, candesartan, unipril, cardioASA, Dimetilfumarato, dapaglifozin, metformina, insulina Novorapid e Toujeo</t>
  </si>
  <si>
    <t>occasionalmente, tendenzialmente secca</t>
  </si>
  <si>
    <t>Riferito da partner di letto presenza di importanti pause  respiratorie durante il sonno</t>
  </si>
  <si>
    <t>possibile iniziale deficit</t>
  </si>
  <si>
    <t>Eupnoico a riposo e all'eloquio.</t>
  </si>
  <si>
    <t>Sospetta OSA. Si programma monitoraggio cardiorespiratorio notturno. Si consiglia:   -RX torace di controllo   -Calo ponderlae</t>
  </si>
  <si>
    <t>De Luca Manuela</t>
  </si>
  <si>
    <t>DLCMNL82H48D969W</t>
  </si>
  <si>
    <t>3405458900</t>
  </si>
  <si>
    <t>operatrice in ditta di pulizie</t>
  </si>
  <si>
    <t>Fumatrice attiva (25 P/Y)</t>
  </si>
  <si>
    <t>raro consumo di alcool</t>
  </si>
  <si>
    <t>allergia a nichel, metallo</t>
  </si>
  <si>
    <t>Flexiban, Depakin 300 1 cp la sera, Fevarin 50 mg 2 cp, Pregabalin 75 mg, Foster 100/6 mcg 1 la mattina e 1 la sera. Xanax gtt al bisogno</t>
  </si>
  <si>
    <t>presente talvolta con espettorazione trasparente</t>
  </si>
  <si>
    <t>Riferito da partner di letto episodi di sensazione di pausa respiratoria con improvviso "sblocco"</t>
  </si>
  <si>
    <t>lievemente presente</t>
  </si>
  <si>
    <t>Rinorrea anteriore con occasionale ostruzione nasale</t>
  </si>
  <si>
    <t>Presenti episodi</t>
  </si>
  <si>
    <t>Raramente qualche episodio</t>
  </si>
  <si>
    <t>Riferito qualche episodio di "lapsus"</t>
  </si>
  <si>
    <t>Forte sospetto di OSA.   Possibile assumere Gaviscon o Riopan se presente episodio compatibile con MRGE</t>
  </si>
  <si>
    <t>Valla Guido</t>
  </si>
  <si>
    <t>VLLGDU68B06D969R</t>
  </si>
  <si>
    <t>Impiegato (nega esposizione a polveri fibrosanti)</t>
  </si>
  <si>
    <t>Bicchiere di vino al giorno</t>
  </si>
  <si>
    <t>Si, in trattamento (esofagite atipica)</t>
  </si>
  <si>
    <t>Nega pregressi pneumologici di rilievo</t>
  </si>
  <si>
    <t>Polisonnogramma notturno (24/1/24): Presenza di apnee e ipopnee a prevalente carattere ostruttivo (AHI 25), che si presentano esclusivamente in posizione supina. Presente componente posizionale. T90%:0%. Visita otorinolaringoiatrica (26/2/24): deviazione</t>
  </si>
  <si>
    <t>Levopraid gocce, Mesalazina 500 mg, Deflux Plus</t>
  </si>
  <si>
    <t>Riferito un risveglio durante la notte. Rarissimo chocking. Riferita roncopatia</t>
  </si>
  <si>
    <t>Riferito lieve dispnea per sforzi moderati (fare una salita/fare le scale)</t>
  </si>
  <si>
    <t>No (in trattamento)</t>
  </si>
  <si>
    <t>Lieve turbe delle memoria</t>
  </si>
  <si>
    <t>Al torace, MV presente, non apprezzabili rumori patologici aggiunti. Assenti edemi declivi</t>
  </si>
  <si>
    <t>Paziente con OSA di grado moderato presente componente posizionale.</t>
  </si>
  <si>
    <t>Ameri Luca</t>
  </si>
  <si>
    <t>MRALCU75P19D969O</t>
  </si>
  <si>
    <t>3488103717</t>
  </si>
  <si>
    <t>possibile comparsa in periodi di stress</t>
  </si>
  <si>
    <t>presente in sospetto di MRGE</t>
  </si>
  <si>
    <t>Non riferiti episodi di risveglio se non all'addormentamento con sensazione di acidità di stomaco. Riferito da partner di letto presenza di roncopatia associata a episodi di pausa respiratoria</t>
  </si>
  <si>
    <t>sporadica ostruzione narice sx</t>
  </si>
  <si>
    <t>Riferiti episodi a periodi per cui ha effettuato in passato ciclo di PPI</t>
  </si>
  <si>
    <t>Presente 1 episodio abbastanza di frequente</t>
  </si>
  <si>
    <t>comparsa solo in fase postprandiale</t>
  </si>
  <si>
    <t>Eupnoico a riposo e all'eloquio. Al torace MV normotrasmesso su tutto l'ambito, non rumori patologici aggiunti</t>
  </si>
  <si>
    <t>Di Nunno Giuseppina</t>
  </si>
  <si>
    <t>Ex fumatrice (stop a dicembre), 22 packs/years.</t>
  </si>
  <si>
    <t>Si, in trattamento con Ppi (in passato ulcera esofagea).</t>
  </si>
  <si>
    <t>La paziente aveva già eseguito accertamenti nel 2022. Al basale, riscontro di OSA di grado moderato (AHI 21,8), con successiva prescrizione di CPAP a pressione fissa di 10 cmH20 con correzione degli eventi (AHI all'adattamento 1,8). Non presente chiara co</t>
  </si>
  <si>
    <t>Metformina 500 mg, Vytorin 10+10 mg, Ozempic 1 mg 1vv/settimana; esomeprazolo 40 mg, venlafaxina 75 mg.</t>
  </si>
  <si>
    <t>Talvolta tosse stizzose.</t>
  </si>
  <si>
    <t>Riferisce frequenti risvegli, riferita presenza di apnea da parte della figlia.</t>
  </si>
  <si>
    <t>Riferisce lieve dispnea per sforzi moderati (fare una salita, fare una scala). Marcia in piano conservata</t>
  </si>
  <si>
    <t>1-2</t>
  </si>
  <si>
    <t>Frandina Angelo</t>
  </si>
  <si>
    <t>FRNNGL62C11I026I</t>
  </si>
  <si>
    <t>3479905431</t>
  </si>
  <si>
    <t>muratura</t>
  </si>
  <si>
    <t>ex fumatore (stop 15 anni fa, 15 P/Y)</t>
  </si>
  <si>
    <t>allergia a pollini</t>
  </si>
  <si>
    <t>simvastatina, ramipril</t>
  </si>
  <si>
    <t>solamente invernale pauciproduttiva</t>
  </si>
  <si>
    <t>Eupnoico a riposo e all'eloquio. Al torace</t>
  </si>
  <si>
    <t>Sospetta OSA. Si programma monitoraggio cardiorespiratorio notturno. Il paziente è attesa in data alle ore per esecuzione dell'esame</t>
  </si>
  <si>
    <t>Pasquali Costantino</t>
  </si>
  <si>
    <t>PSQCTN52C16D351D</t>
  </si>
  <si>
    <t>3396002970</t>
  </si>
  <si>
    <t>Medico Cutante</t>
  </si>
  <si>
    <t>Ex fumatore (stop 30 anni fa, 22 packs/y)</t>
  </si>
  <si>
    <t>a pasto</t>
  </si>
  <si>
    <t>Si (in trattamento con Ppi)</t>
  </si>
  <si>
    <t>RM encefalo (27,03,24): Minimi segni di pasinusopatia flogistica. Restanti reperti completamenti negativi.</t>
  </si>
  <si>
    <t>Gibiter 160/4,5 mcg 1 inalazione alla sera, Atimos al bisogno, Metforal 500 mg, Chilechomb 20/10 mg, Pantorc 40 mg, Deltacortene all'occorrenza (in corso di crisi asmatica), Zanipril 20/10 mg.</t>
  </si>
  <si>
    <t>Si, spesso non produttiva.</t>
  </si>
  <si>
    <t>Riferito sonno poco ristoratore e insonnia. Riferita roncopatia e frequenti risvegli. Riferiti episodi di choking</t>
  </si>
  <si>
    <t>Dispnea per sfrozi moderati (fare le scale /fare una salita)</t>
  </si>
  <si>
    <t>Paziente eupnoico a riposo e all'eloquio, non segni di cianosi periferica. Al torace, MV fortemente ridotto, aprezzabili rari fischi espiratori. Attività cardiaca valida e ritmica, toni parafonici, pause mal valutabili.</t>
  </si>
  <si>
    <t>-Assumere Gibeter 160/4.5 mcg 1 inalazione mattina esera</t>
  </si>
  <si>
    <t>GRASSO Cristian</t>
  </si>
  <si>
    <t>GRSCST77M17D969G</t>
  </si>
  <si>
    <t>3756276956</t>
  </si>
  <si>
    <t>distrubi del sonno</t>
  </si>
  <si>
    <t>riparazioni navali</t>
  </si>
  <si>
    <t>fumatore attivo</t>
  </si>
  <si>
    <t>si, in trattamento</t>
  </si>
  <si>
    <t>metformina,</t>
  </si>
  <si>
    <t>attualmente si</t>
  </si>
  <si>
    <t>5,6 volte a notte</t>
  </si>
  <si>
    <t>Paziente eunpoico a riposo e all'eloquio</t>
  </si>
  <si>
    <t>Importane sonolenza notturna in paziente con distrubi del sonno. SI  esegue polisonnogramma notturno . Si consegna lostrumento in data odierna.</t>
  </si>
  <si>
    <t>Tataru Profira</t>
  </si>
  <si>
    <t>TTRPFR67T58Z129M</t>
  </si>
  <si>
    <t>3293880061</t>
  </si>
  <si>
    <t>Cardiologo</t>
  </si>
  <si>
    <t>Caregiver</t>
  </si>
  <si>
    <t>Holter cardiaco (18/04/2023): RS durante la registrazione. Numerosi battiti ectopici ventricolari singoli, polimorfi, talora in coppie anche polimorfe ed a spiradico andamento trigemino. Numerosi battiti ectopici sopraventricoolari singoli, talora in cop</t>
  </si>
  <si>
    <t>Zantipress 30 mg, 1 cp/die, Pantoprazolo 40 mg 1 cp/die, Aplactin 40 mg 1\ cp/die, Dibase 25 gtt alla settimana</t>
  </si>
  <si>
    <t>La paziente riferisce episodi di chocking, con sensazione di chiusura di gola nel momento in cui va a dormire. Riferiti dal partner di letto episodi di apneea e roncopatia. Riferisce sonno non ristoratore con diversi risvegli.</t>
  </si>
  <si>
    <t>No, loieve in corrispondenza di sforzi importanti</t>
  </si>
  <si>
    <t>4-5</t>
  </si>
  <si>
    <t>Si, associata anche a giramenti di testa</t>
  </si>
  <si>
    <t>Paziente eupnoica a riposo e all'eloquio, non segni di cianosi periferica. Al torace, MV presente in toto, non apprezzabili grossolani rumori patologici aggiunti.</t>
  </si>
  <si>
    <t>Macrì Sergio</t>
  </si>
  <si>
    <t>MCRSRG77C05D969X</t>
  </si>
  <si>
    <t>3473233667</t>
  </si>
  <si>
    <t>portuale (riferita esposizione professionali a polveri e fumi)</t>
  </si>
  <si>
    <t>Fumatore attivo (1 pacchetto/die, avvio circa 30 anni fa)</t>
  </si>
  <si>
    <t>Riferita allergia ad acari</t>
  </si>
  <si>
    <t>Rinazina al bisogno</t>
  </si>
  <si>
    <t>Riferiti diversi risvegli durante la notte, riferiti episodi di chocking. Riferita roncopatia. Sonno non ristoratore.</t>
  </si>
  <si>
    <t>Lieve dispnea per sforzi moderati</t>
  </si>
  <si>
    <t>27,4</t>
  </si>
  <si>
    <t>Paziente eupnoico a riposo e all'eloquio, non segni di cianos iperiferica. Al torace, MV presente, non apprezzabili rumori aggiunti.  Attività cardiaca valida e ritmica, toni netti, pause libere.</t>
  </si>
  <si>
    <t>Punta Davide</t>
  </si>
  <si>
    <t>PNTDVD88D17D969T</t>
  </si>
  <si>
    <t>3408250926</t>
  </si>
  <si>
    <t>Impigato (nega esposizione a polveri fibrosanti)</t>
  </si>
  <si>
    <t>Paracetamolo. Riferisce allergia ad acari</t>
  </si>
  <si>
    <t>Riferisce frequenti tonsilliti. Riferito IC per adenoidectomia</t>
  </si>
  <si>
    <t>Riferisce raro choking e frequente roncopatia. Riferisce sonno non ristoratore. Riferisce presenza di risvegli</t>
  </si>
  <si>
    <t>Lieve dispnea per sforzi moderati (far le scale/fare la salita). Marcia in piano conservato</t>
  </si>
  <si>
    <t>Riferisce turbe della memoria.</t>
  </si>
  <si>
    <t>30,6</t>
  </si>
  <si>
    <t>Paziente eupnoico a riposo e all'eloquio, no nsegni di cianosi periferica.  Al torace, MV presente in toto, non apprezzabili grossolani rumori patologici aggiunti. Attività cardiaca valida e ritmica, toni netti, paus libere da soffi.</t>
  </si>
  <si>
    <t>Barile Stefania</t>
  </si>
  <si>
    <t>BRLSFN71E71D969U</t>
  </si>
  <si>
    <t>3938894672</t>
  </si>
  <si>
    <t>Prima visita in paziente con precedente diagnosi di OSA</t>
  </si>
  <si>
    <t>Chirurgia Bariatrica</t>
  </si>
  <si>
    <t>kiwi, parietaria.</t>
  </si>
  <si>
    <t>Rinite allergica</t>
  </si>
  <si>
    <t>Lobidiur</t>
  </si>
  <si>
    <t>Nega risvegli, ma riferita necessità di molte ore di sonno. Riferita abbondante roncopatia.</t>
  </si>
  <si>
    <t>Riferita dispnea per sforzi moderat (fare la scale).</t>
  </si>
  <si>
    <t>Sporadico</t>
  </si>
  <si>
    <t>46.67</t>
  </si>
  <si>
    <t>Paziente eupnoica a riposo e all'eloquio. Non segni di cianosi periferica.</t>
  </si>
  <si>
    <t>Paziente con OSA di grado Grave</t>
  </si>
  <si>
    <t>Sobrino Pierluigi</t>
  </si>
  <si>
    <t>SBRPLG64E22D969C</t>
  </si>
  <si>
    <t>3402506416</t>
  </si>
  <si>
    <t>Prima visita in paziente con familiarità per malattie degenerative dell'encefalo ed apnee notturne.</t>
  </si>
  <si>
    <t>Neurologia Asl3 (dr.ssa Folis). Già in programma Tc cerebrale con mdc.</t>
  </si>
  <si>
    <t>Impiegato bancario</t>
  </si>
  <si>
    <t>Un bicchiere di vino ai pasti.</t>
  </si>
  <si>
    <t>No; familiarità per iperglicemia paterna.</t>
  </si>
  <si>
    <t>Si di grado lieve</t>
  </si>
  <si>
    <t>Sintomi da MRGE sporadici trattati con antiacido al bisogno.</t>
  </si>
  <si>
    <t>Aerius, Foster 100/6 mcg, triatec, lobivon. Maloxx al bisogno.</t>
  </si>
  <si>
    <t>No.</t>
  </si>
  <si>
    <t>Presente in periodo pollinico in paziente allergico.</t>
  </si>
  <si>
    <t>Non risvegli notturni per dispnea.</t>
  </si>
  <si>
    <t>Presente affanno sotto sforzo per sforzi moderati-intensi.</t>
  </si>
  <si>
    <t>Non dispnea a riposo, marcia in piano conservata.</t>
  </si>
  <si>
    <t>Sintomi oculorinitici prevalentemente oculari, talvolta presente starnutazione e rinorrea anteriore.</t>
  </si>
  <si>
    <t>Presente, 2-3 volte in media a notte.</t>
  </si>
  <si>
    <t>Riduzione della memoria a breve termine.</t>
  </si>
  <si>
    <t>Non cefalea mattutina.</t>
  </si>
  <si>
    <t>32.05 kg/m2</t>
  </si>
  <si>
    <t>94% in aria ambiente.</t>
  </si>
  <si>
    <t>75 bpm R.</t>
  </si>
  <si>
    <t>Al torace, Mv presente, alcuni ronchi sparsi, non ulteriori rumori aptologici.</t>
  </si>
  <si>
    <t>- calo ponderale - polisonnogramma notturno in data</t>
  </si>
  <si>
    <t>Bianchi Elisabetta</t>
  </si>
  <si>
    <t>BNCLBT70S47D969T</t>
  </si>
  <si>
    <t>3393650586</t>
  </si>
  <si>
    <t>Bicchiere di vino alla sera.</t>
  </si>
  <si>
    <t>-MCR notturno (26/04/2021): Sindrome delle apnee notturne del sonno di grado elevato (AHI 41,9), assoaciate a variazioni ossiemoglobinica. T90: 5,1%. Presente una componente posizionale (AHI supino: non supino: 4,64:1</t>
  </si>
  <si>
    <t>Livial</t>
  </si>
  <si>
    <t>Riferiti diversi risvegli per notte (almeno 1 volta ogni due ore), riferiti episodi di choking e di soffocamento. Riferita roncopatia e sonno non ristoratore.</t>
  </si>
  <si>
    <t>Riferita frequente sensazione di ostruzione nasale.</t>
  </si>
  <si>
    <t>ogni 2 ore</t>
  </si>
  <si>
    <t>Riferite turbe importanti</t>
  </si>
  <si>
    <t>Riferito senso di cerchio alla testa</t>
  </si>
  <si>
    <t>31,1</t>
  </si>
  <si>
    <t>Paziente eupnoica a riposo e all'eloquio, non segni di cianosi periferica. Al torace, MV presente in toto, non apprezzabili grossolani rumori patologici aggiunti. ACV valida e ritmica,toni netti, pause libere.</t>
  </si>
  <si>
    <t>Paziente affetta da OSA di grado grave</t>
  </si>
  <si>
    <t>Ribola Daniele</t>
  </si>
  <si>
    <t>RBLDNL76L18D969P</t>
  </si>
  <si>
    <t>3477248024</t>
  </si>
  <si>
    <t>Collega otorino</t>
  </si>
  <si>
    <t>Impiegato (nega esposizione professionale a fumi e polveri)</t>
  </si>
  <si>
    <t>ex fumatore (stop 2009, 5 p/Y)</t>
  </si>
  <si>
    <t>antiipertensivo, deltacrotene 25 mg per recidive di uveite occhio dx, adlimumab per la psoriasi e artrite psoriasica, omeoprazen</t>
  </si>
  <si>
    <t>Riferita roncopatia. Riferito sonno non ristoratore. Riferiti rari episodi di chocking.</t>
  </si>
  <si>
    <t>Riferita dispnea per sforzi moderati (fare una scala/fare una salita). Marcia in piano conservata</t>
  </si>
  <si>
    <t>Riferita ostruzione di una sola narice.</t>
  </si>
  <si>
    <t>Paziente eupnoico a riposo e all'eloquio. Non segni di cianosi periferica. Al torace, MV presente in toto, non apprezzabili grossolani rumori patologici aggiunti. ACV valida e ritmica, toni netti, pause lbere.</t>
  </si>
  <si>
    <t>Sospetta OSA. Si consiglia monitoraggio cardiorespiratorio notturno in data:ç</t>
  </si>
  <si>
    <t>Giusto Giuseppe</t>
  </si>
  <si>
    <t>GSTGPP74H15G568L</t>
  </si>
  <si>
    <t>3386877882</t>
  </si>
  <si>
    <t>Collega Cardiologo</t>
  </si>
  <si>
    <t>Lavoro su navi da crociera (nega esposizione professionale a polveri o fumi)</t>
  </si>
  <si>
    <t>Ex fumatore occasionale.</t>
  </si>
  <si>
    <t>Nega precedenti pneumologici di rilievo.</t>
  </si>
  <si>
    <t>Eutirox 100 mcg, Lobivon 5 mg, Olmesartan 10 mg, Adalctazide</t>
  </si>
  <si>
    <t>Riferita da parte del partner di letto comparsa di apnee notturne. Il paziente riferisce roncopatia, ma non chiari risvegli per chocking.</t>
  </si>
  <si>
    <t>Riferita dispnea per sforzi moderati (fare una scala/fare una salita).</t>
  </si>
  <si>
    <t>Riferita nel periodo primaverile sensazione di ostruzione nasale, prurito nasale, rinorrea.</t>
  </si>
  <si>
    <t>Riferite importanti difficoltà.</t>
  </si>
  <si>
    <t>37,98</t>
  </si>
  <si>
    <t>Paziente eupnoico a riposo e all'eloquio,non segni di cianosi periferica. Al torace, MV presente in toto, non apprezzabili grossolani rumori patologici aggiunti.</t>
  </si>
  <si>
    <t>Paziente affetto da sospetta OSA. Si consiglia: mop</t>
  </si>
  <si>
    <t>Cellini Alessandro</t>
  </si>
  <si>
    <t>CLLLSN78A04D969M</t>
  </si>
  <si>
    <t>3454768774</t>
  </si>
  <si>
    <t>Panettiere</t>
  </si>
  <si>
    <t>Riferita sintomatologia allergica.  Riferita esecuzione di SPT negativi. Riferita deviazione del setto nasale.</t>
  </si>
  <si>
    <t>pantoprazolo, plaunac, Norvasc, CardioASA, Rosuvastatna, Ezetimibe</t>
  </si>
  <si>
    <t>Riferiti diversi risvegli durante la notte, con sonno non ristoratore. Riferito dal partner di letto, comparsa di apnee durante la notte. Riferita roncopatia. Nega chiari episodi di chocking.</t>
  </si>
  <si>
    <t>Si riferita dispnea per sforzi moderati (marcia in piano conservata)</t>
  </si>
  <si>
    <t>Paziente eupnoico a riposo e all'eloquio. Non segni di cianosi periferica. Al torace, MV presente in toto, non apprezzabili grossolani rumori patologici aggiunti. ACV valida e ritmica, toni netti, pause libere.</t>
  </si>
  <si>
    <t>Sospetta OSA. SI consiglia monitoraggio cardiorespiratorio notturno in data:</t>
  </si>
  <si>
    <t>Valentini Maurizio</t>
  </si>
  <si>
    <t>VLNMRZ54P17D969T</t>
  </si>
  <si>
    <t>3491584901</t>
  </si>
  <si>
    <t>Medico curante dopo esecuzione di MCR</t>
  </si>
  <si>
    <t>Ex-bancario (nega esposizione professionale a polveri fibrosanti)</t>
  </si>
  <si>
    <t>ex Saltuario fumatore</t>
  </si>
  <si>
    <t>rinite  e deviazione del setto nasale, per cui è in attesa di intervento chirurgico.</t>
  </si>
  <si>
    <t>-MCR notturno (03.24): Apnee ostruttive del sonno di grado grave (AHI 49), associata a variazioni ossiemoglobiniche, in quadro di roncopatia.T90% 17%._x000D_
-Visita otorino: il paziente è candidabile all'intervebto di settoplastica. In tale occasione verrà ese</t>
  </si>
  <si>
    <t>Peridopril</t>
  </si>
  <si>
    <t>Tosse</t>
  </si>
  <si>
    <t>Riferiti diversi risvegli per la notte. Nega chiari episodi di choking. Riferita roncopatia.</t>
  </si>
  <si>
    <t>Riferita sintomatologia rinitica.</t>
  </si>
  <si>
    <t>Talvolta, con sensazione di pesantezza.</t>
  </si>
  <si>
    <t>Paziente eupnoico a riposo e all'eloquio, non segni di cianosi periferica. Al torace, MV presente in toto, non apprezzabili grossolani rumori patologici aggiunti. ACV valida e ritmica, toni netti, pause libere.</t>
  </si>
  <si>
    <t>Si consiglia adattamento a CPAP.</t>
  </si>
  <si>
    <t>Portunato Patrizia</t>
  </si>
  <si>
    <t>PRTPRZ62L58E463X</t>
  </si>
  <si>
    <t>3471432810</t>
  </si>
  <si>
    <t>Ex fumatrice (stop 30 anni fa, 10 packs/y)</t>
  </si>
  <si>
    <t>EE (16/04/20249: crea 0.59, glicemia 89, Hb 35, funzionalità epatica nella norma, colesterolo 209, Hb 13,9 g/dL, PLT 223.000 cell/microL, WBC 6320 cell/microL</t>
  </si>
  <si>
    <t>Nebivololo 5 mg 1/2 cp, Esomeprazolo, Probactiol plus, metarelax, olmesartan-amlodipina, Ezetimibe atorvastatina, motilex, gastrotuss e gaviscon, biorinil spray nasale.</t>
  </si>
  <si>
    <t>riferita frequente tosse stizzosa, attribuibile a reflusso</t>
  </si>
  <si>
    <t>Riferita roncopatia. Riferita comparsa di apnee da parte del partner di letto. Riferito sonno non ristoratore.</t>
  </si>
  <si>
    <t>Rifeta dispnea per sfrozi moderati (fare le scale, fare una salita).</t>
  </si>
  <si>
    <t>Riferita ostruzione nasale per cui assume terapia topica</t>
  </si>
  <si>
    <t>Riferiti, in trattamento.</t>
  </si>
  <si>
    <t>4-5 per notte</t>
  </si>
  <si>
    <t>Riferita</t>
  </si>
  <si>
    <t>Paziente eupnoico a riposo e all'eloquio, non segni di cianosi periferica. Al torace, MV presente in toto, non apprezzabili grossolani rumori patologi aggiunti.</t>
  </si>
  <si>
    <t>Sospetta Osa. Si consiglia: monitoraggio cardiorespiratoro notturno, da eseguire in data:</t>
  </si>
  <si>
    <t>Arnaù Carini Massimo</t>
  </si>
  <si>
    <t>RNCMSM65E30D969Q</t>
  </si>
  <si>
    <t>3338534837</t>
  </si>
  <si>
    <t>prima visita in sospette OSA</t>
  </si>
  <si>
    <t>Osp. Le Molinette Torino</t>
  </si>
  <si>
    <t>Impiegato presso osp. Galliera</t>
  </si>
  <si>
    <t>Ex fumatore 40 p/Y</t>
  </si>
  <si>
    <t>tachicardai parossistica</t>
  </si>
  <si>
    <t>Si in terapia con statina</t>
  </si>
  <si>
    <t>BPCO ed enfisema alla TC del 29.01.2024 con moderato incremento dell'interstizio alle basi ed enfisema centrolobulare a bolle confluenti; qualche bronchiectasia.</t>
  </si>
  <si>
    <t>Broncoscopia 23.04.24: non si identificano significative anomalie della alte vie aeree lieve asimmetria piano glottico sul piano assiale, CCVV mobili, areap iperemica della Cv destra, trache acon decorso ad S calibro conservato e carena in asse.</t>
  </si>
  <si>
    <t>isoptin 120 mg x2, clopidogrel 75 mg, ezetimibe 10 mg, cardioASA 10 mg, congescor 20 mg. Trimbow 172+5+9 mcg 2x2.</t>
  </si>
  <si>
    <t>EGA in aria ambiente 23.04.24 pH 7.45 pO2 78, pCo2 34, satO2 97.3%, HCO3 23.6.</t>
  </si>
  <si>
    <t>APR sd. Crouzon, IPT, dislipidemia, timectomia in età pediatrica, IC per craniostenois a 8 anni, sospetta miopatia, tachicardia parossistica, cifoscoliosi, atrofia n. ottico sn. Pregressa aritenoidopessia e tracheostomia (chiusa nel 1989). A 15 anni larin</t>
  </si>
  <si>
    <t>rari accessi di tosse.</t>
  </si>
  <si>
    <t>Presente in media 1 volta/notte</t>
  </si>
  <si>
    <t>raramente presente.</t>
  </si>
  <si>
    <t>25.4 kg/m2</t>
  </si>
  <si>
    <t>60 bpm</t>
  </si>
  <si>
    <t>Nawazish Rubina</t>
  </si>
  <si>
    <t>NWZRBN79C51Z236X</t>
  </si>
  <si>
    <t>3891753895</t>
  </si>
  <si>
    <t>sospetta OSA</t>
  </si>
  <si>
    <t>collega pneumologa</t>
  </si>
  <si>
    <t>polvere</t>
  </si>
  <si>
    <t>vasculopatia cerebrale cronica,</t>
  </si>
  <si>
    <t>zantipride, cardioASA, aplactin, lercadip, gradient, revinty 184 mcg, cerchio, montelukast</t>
  </si>
  <si>
    <t>in visione valutazione pneumologica del 15/05 per asma bronchiale</t>
  </si>
  <si>
    <t>37,11</t>
  </si>
  <si>
    <t>al torace MV conservato su tutti i campi, non rumori patologici aggiunti.</t>
  </si>
  <si>
    <t>sospetta OSA. Si programma MRC basale da effettuare in data 26/08/24 alle ore 11 (riconsegnare l'apparecchio il giorno seguente entro le ore 8).</t>
  </si>
  <si>
    <t>Gavilanes Vinueza Camilo Bernardino</t>
  </si>
  <si>
    <t>GVLCLB72T14Z605N</t>
  </si>
  <si>
    <t>3489239059</t>
  </si>
  <si>
    <t>Imprese di pulizie (riferita esposizione professionale a polveri e inalanti).</t>
  </si>
  <si>
    <t>Ex fumatore (15 anni fa, 2 packs/y)</t>
  </si>
  <si>
    <t>Riferite frequenti riniti durante l'anno. Nega precedenti pneumologici di rilievo.</t>
  </si>
  <si>
    <t>Riferita frequente tosse secca.</t>
  </si>
  <si>
    <t>Riferit aimportante roncopatia. Riferita comparsa di apnea durante la notte da parte del compagno di letto. Nega franco choking. Nega sonno ristoratore.</t>
  </si>
  <si>
    <t>Riferita rinite frequente e verosimile congiuntivite allergica all'esposizione pollinea.</t>
  </si>
  <si>
    <t>Talvolte</t>
  </si>
  <si>
    <t>2-3 volte per notte</t>
  </si>
  <si>
    <t>29,37</t>
  </si>
  <si>
    <t>Paziente eupnoico a riposo e all'eloquio. Non segni di cianosi perifica. Al torace, MV diffusamente ridotto in toto, non apprezzabili grossolani rumori patologici aggiunti.</t>
  </si>
  <si>
    <t>Paziente con sospetta OSA. Si consiglia esecuzione di monitoraggio cardio respiratorio notturno</t>
  </si>
  <si>
    <t>Di Muoio Paolo</t>
  </si>
  <si>
    <t>DMIPLA55A25I422L</t>
  </si>
  <si>
    <t>3478849178</t>
  </si>
  <si>
    <t>Ex fumatore (stop 1998, 25 packs/y).</t>
  </si>
  <si>
    <t>Un bicchiere di vino a pasto</t>
  </si>
  <si>
    <t>Intolleranza all'eritromicina e voltaren crema (prurito). Riferita allergopatia a pollini e polvere.</t>
  </si>
  <si>
    <t>Cardiopatia ischemica (1998)</t>
  </si>
  <si>
    <t>Si, ipertiroidismo</t>
  </si>
  <si>
    <t>Riferita esecuzione di PFR nel corso della vista risultato nella norma.</t>
  </si>
  <si>
    <t>Pantoprazolo, atenololo 100mg, Ezetimibe/atorvastina, cardiASA, collirio per glaucoma, sequacor, Metformina, cosetix per psioriasi, Trulicity.</t>
  </si>
  <si>
    <t>Solo associata ad episodi bronchitici.</t>
  </si>
  <si>
    <t>Riferiti risvegli durante la notte e difficoltà all'addomrentamento. Riferiti episodi di choking. Riferita comparsa di apnea e roncopatia durante la notte.</t>
  </si>
  <si>
    <t>Riferita sintomatologia di ostruzione nasale, previsto intervento per ostruzione dei canali lacrimale.</t>
  </si>
  <si>
    <t>24,8</t>
  </si>
  <si>
    <t>Paziente euponoico a riposo e all'eloquio, non segni di cianosi periferica. Al torace, MV presente in toto, non apprezzabili grossolani rumori patologici aggiunti. ACV vlaida e ritmica, toni netti, pause libere.</t>
  </si>
  <si>
    <t>Cardiaciotto Claudio</t>
  </si>
  <si>
    <t>CRDCLD79L23D969Y</t>
  </si>
  <si>
    <t>3483186036</t>
  </si>
  <si>
    <t>Meccanico (riferita esposizione professionale e gas e inquinanti)</t>
  </si>
  <si>
    <t>Fumatore attivo (3 sigarette/die, inizio ai 15 anni di età)</t>
  </si>
  <si>
    <t>intervento di settoplastica e RF turb gfaringoplastica laterale. Prima di tale intervento aveva eseguito MCR notturno con AHI 20, AHI supino 33. Post ricovero piuttosto complesso con perdita di 20 kg.</t>
  </si>
  <si>
    <t>Nega franchi risvegli dopo l'intervento, nega chocking. Vengono riferite persitenza delle apnee da parte della moglie. Persistenza della sintomatologia anche dopo l'intervento chirurgico</t>
  </si>
  <si>
    <t>No, dopo intervento</t>
  </si>
  <si>
    <t>Si (in trattamento con antiacidi)</t>
  </si>
  <si>
    <t>24,9</t>
  </si>
  <si>
    <t>Paziente eupnoico a riposo e all'eloquio, non segni di cianosi periferica. Al torace, MV presente in toto, non apprezzabili grossolani rumori patologici aggiunti.</t>
  </si>
  <si>
    <t>Dasso Giovanni</t>
  </si>
  <si>
    <t>DSSGNN67D27E488I</t>
  </si>
  <si>
    <t>3331137255</t>
  </si>
  <si>
    <t>U.O di Gatroenterologia</t>
  </si>
  <si>
    <t>Magazziniere (riferita esposizione alla nebulizzazione laser e a polveri)</t>
  </si>
  <si>
    <t>Fumatore attivo (3 sigarette/die)</t>
  </si>
  <si>
    <t>Pregresso potus. Attualmente, nega consumo alcolico.</t>
  </si>
  <si>
    <t>Nega precedenti pneumologiche di rilievo.</t>
  </si>
  <si>
    <t>Recente ricovero in gastroenterologia per emorragia gastrica e posizionamento di TIPS a livello varici esofagea. Durante la degenza, riscontro di apnee del sonno.</t>
  </si>
  <si>
    <t>lasix 2 cp, luvion, pantoprazolo, trixteller, canrenone, citalopram, inderal (sospeso per indebolimento)</t>
  </si>
  <si>
    <t>Riferite comparsa di apnee durante il sonno. Nega choking. Presente roncopatia.</t>
  </si>
  <si>
    <t>Riferita dispnea per sforzi moderati (fare una salita/fare una scala)</t>
  </si>
  <si>
    <t>51,12</t>
  </si>
  <si>
    <t>Paziente eupnoico a riposo e all'eloquio, Non segni di cianosi periferica. Al torace, MV presente in toto, non apprezzabili rumori.</t>
  </si>
  <si>
    <t>Paziente con sospetta OSA. Eseguirà il monitoraggio cardiorespiratorio notturno stanotte.</t>
  </si>
  <si>
    <t>Rivas Martinez Jamie Alfredo</t>
  </si>
  <si>
    <t>RVSJLF78H14Z603C</t>
  </si>
  <si>
    <t>3400701092</t>
  </si>
  <si>
    <t>Tatuatore</t>
  </si>
  <si>
    <t>Riferisce oculorinite in periodo stagionale (mai eseguite prove allergologiche)</t>
  </si>
  <si>
    <t>Si in trammento di Ppi</t>
  </si>
  <si>
    <t>Pantoprazolo</t>
  </si>
  <si>
    <t>Riferisce moltissimi risvegli durante la notte. Riferisce importante roncopatia  (talvolta anche diurna), riferisce episodi di choking. Sonno Non ristoratore</t>
  </si>
  <si>
    <t>Riferisce talvolta episodi di dispnea anche durante il giorno a seguito di sforzi moderati (fare le scale/salite), marcia in piano conservata</t>
  </si>
  <si>
    <t>Sintomatologia stagionale.</t>
  </si>
  <si>
    <t>Si, in trattamento con PPI.</t>
  </si>
  <si>
    <t>Almeno 1 volta per notte</t>
  </si>
  <si>
    <t>Riferite lieve turbe della memoria</t>
  </si>
  <si>
    <t>Spessp</t>
  </si>
  <si>
    <t>25,34</t>
  </si>
  <si>
    <t>Paziente eupnoico a riposo e all'eloquio. Non segni di cianosi periferica. Al torace, MV presente in toto, non apprezzabbili grossolani rumori patologici aggiunti.</t>
  </si>
  <si>
    <t>Sospetta OSA.</t>
  </si>
  <si>
    <t>Mera Mendoza Carlos Adrian</t>
  </si>
  <si>
    <t>MRMCLS96D01Z605I</t>
  </si>
  <si>
    <t>3473089248</t>
  </si>
  <si>
    <t>Impiegato (nega esposizione professionale a polveri inorganiche)</t>
  </si>
  <si>
    <t>-MCR (30/05/2024): AHI 65, ODI 65,9, T90% 42,7%, saturazione media 89. Non evidenziabile componente posizionale.</t>
  </si>
  <si>
    <t>Riferita roncopatia, riferiti diversi risvegli durante la notte. Riferiti episodi di choking. Sonno non ristoratore.</t>
  </si>
  <si>
    <t>Riferita ostruzione nasale.</t>
  </si>
  <si>
    <t>1-2 per notte</t>
  </si>
  <si>
    <t>Molto spesso e intensa.</t>
  </si>
  <si>
    <t>30,19</t>
  </si>
  <si>
    <t>Paziente eupnoico a riposo e all'elo1uio. Non segni di cianosi periferica. Al torace, MV presente in toto, non apprezzabili grossolani rumori patologici aggiunti.</t>
  </si>
  <si>
    <t>Paziente con OSA.</t>
  </si>
  <si>
    <t>Calabrese Marco</t>
  </si>
  <si>
    <t>CLBMRC85D27D969J</t>
  </si>
  <si>
    <t>3335900749</t>
  </si>
  <si>
    <t>Impiegato (riferita esposizione professionale a polveri inotganiche)</t>
  </si>
  <si>
    <t>Nega pregressi pneumologici di rilievo.</t>
  </si>
  <si>
    <t>Riferite dalla moglie comparsa di apnee durante la notte. Riferita roncopatia. Riferiti diversi risvegli. Riferito sonno non ristoratore.</t>
  </si>
  <si>
    <t>Riferita saltuaria ostruzione nasale</t>
  </si>
  <si>
    <t>Almeno 1 volta per notte.</t>
  </si>
  <si>
    <t>25,66</t>
  </si>
  <si>
    <t>Paziente eupnoico a riposo e all'eloquio. Non segni di cianosi periferica. Al torace MV</t>
  </si>
  <si>
    <t>Paziente con Sospetta OSA. Si consiglia esecuzione di monitoraggio cardiorespiratorio  notturno, che il paziente eseguirà stanotte. Riporterà il macchinario entro domani mattina.</t>
  </si>
  <si>
    <t>ISLAM MUHAMMAD</t>
  </si>
  <si>
    <t>SLMMMM67T31Z236O</t>
  </si>
  <si>
    <t>3510823968</t>
  </si>
  <si>
    <t>Eruttazioni acide</t>
  </si>
  <si>
    <t>si, 2 volte per notte</t>
  </si>
  <si>
    <t>25.5</t>
  </si>
  <si>
    <t>Al torace MV presente in assenza di rumori aggiunti</t>
  </si>
  <si>
    <t>Paziente con sospetta OSAS. Necessario eseguire Polisonnogramma notturno</t>
  </si>
  <si>
    <t>ARAYA WOODHEAD HONORINA ELIZABETH</t>
  </si>
  <si>
    <t>RYWHRN79A42Z603J</t>
  </si>
  <si>
    <t>3272580981</t>
  </si>
  <si>
    <t>U.O. reumatologia osp. Gallino</t>
  </si>
  <si>
    <t>Ex modesta fumatrice (stop circa 6 anni fa).</t>
  </si>
  <si>
    <t>Ipotiroidismo in tp sostitutiva.</t>
  </si>
  <si>
    <t>Si di grado medio.</t>
  </si>
  <si>
    <t>Sintomi da MRGE controllati da terapia con PPI</t>
  </si>
  <si>
    <t>Eutirox 100 mcg 1 cp ore 7, Deltacortene 25 mg 1 cp a colazione, Myfenax 500 mg 1 cp ore 8 e 1 cp ore 20, Plaquenil 200 mg 1 cp ore 8, Atorvastatina 20 mg 1 cp ore 21, Dibase 10000, 10 gtt a pranzo.Acyclovir, bactrim a giorni aterni, pressafix, pantorc.</t>
  </si>
  <si>
    <t>Si, risvegli con sensazione choking e di pausa respiratoria.</t>
  </si>
  <si>
    <t>Si in media 5 volte/notte</t>
  </si>
  <si>
    <t>Presenti nel riportare alla memoria date e nomi</t>
  </si>
  <si>
    <t>Si presente quasi tutti i giorni</t>
  </si>
  <si>
    <t>36.85</t>
  </si>
  <si>
    <t>100 bpm R</t>
  </si>
  <si>
    <t>apiretica, eupnoica a riposo e all'eloquio in aria ambiente Al torace, MV presente, non apprezzabili rumori patologici aggiunti.</t>
  </si>
  <si>
    <t>Si programma monitroraggio cardiorespiratorio notturno presso i ns ambulatori; utile calo ponderale.</t>
  </si>
  <si>
    <t>Paolillo Michela</t>
  </si>
  <si>
    <t>PLLMHL51E43B429V</t>
  </si>
  <si>
    <t>3471142394</t>
  </si>
  <si>
    <t>pre-operatorio (adenocarcinoma del retto), intervento previsto per mese. Sonnolenza diurna e roncopatia riferita dal marito.</t>
  </si>
  <si>
    <t>Anestesista</t>
  </si>
  <si>
    <t>ex fumatrice (stop 1993, circa 10 sig/die per 27 anni)</t>
  </si>
  <si>
    <t>; diabete mellito tipo 2 in terapia orale; ipertesa in terapia; pregressa quadrantectomia per carcinoma mammario pT1b/G1/Nx Luminal A (Ki 67 5-10%).</t>
  </si>
  <si>
    <t>nebivololo, maoris, ranexa</t>
  </si>
  <si>
    <t>ECG: RS</t>
  </si>
  <si>
    <t>soprattutto a breve termine</t>
  </si>
  <si>
    <t>Bottiglieri Luigia</t>
  </si>
  <si>
    <t>BTTLGU55R57D969W</t>
  </si>
  <si>
    <t>3493201191</t>
  </si>
  <si>
    <t>Addetta alla ristorazione domestica e parrucchiera (riferita esposizione professionale a sostanze chimiche)</t>
  </si>
  <si>
    <t>ex fumatrice (stop 20-30 anni fa)</t>
  </si>
  <si>
    <t>Polmonite maggio 2024, trattata con aerosolterapia con Clenil e Breva e fluimucil e trattato con Ceftrixone e Levofloxavcina e deltacortene.</t>
  </si>
  <si>
    <t>TC torace (15/05/2024): residua addensamento flogistico al LM e LIS. Non evidenti nodulazioni focali di aspetto evolutivo. Regolare interstizio polmoanre, Non versamento. -PFR (22/07/2024): FVC 2,25 L (77%), FEV1 1,66 L (73%), It: 73, TLC 4,64 L (93%).</t>
  </si>
  <si>
    <t>Brimica 1 inalazione/mattina e sera, Olprezide, Entecavir.</t>
  </si>
  <si>
    <t>Ad esclusione del periodo della polmonite no.</t>
  </si>
  <si>
    <t>Riferito sonno non ristoratore. Riferita roncopatia. Nega franchi episodi di choking.</t>
  </si>
  <si>
    <t>Riferita dispnea per sforzi moderati (fare una scala/fare una salita), marcia in piano conservata.</t>
  </si>
  <si>
    <t>Riferita rinorrea anteriore.</t>
  </si>
  <si>
    <t>5-6</t>
  </si>
  <si>
    <t>46,87</t>
  </si>
  <si>
    <t>Paziente eupnoica a riposo e all'eloquio, non segni di cianosi periferica. Al torace,</t>
  </si>
  <si>
    <t>-Calo ponderale;  -Esecuzione di monitoraggio cardiorespiratorio notturno.</t>
  </si>
  <si>
    <t>Diani Mario</t>
  </si>
  <si>
    <t>DNIMRC73E11I480N</t>
  </si>
  <si>
    <t>3486562610</t>
  </si>
  <si>
    <t>Collega Neurologo</t>
  </si>
  <si>
    <t>Tecnico informatico (nega esposizioen professionale e polveri inorganiche)</t>
  </si>
  <si>
    <t>Riferita alleregia alla polvere</t>
  </si>
  <si>
    <t>Si in terapia con Ppi</t>
  </si>
  <si>
    <t>Riferita episodio di emoftoe circa 15 anni fa (indagini endoscopiche negative)</t>
  </si>
  <si>
    <t>Visita ORL (17/01/2024): deviazione settakle dx convessa con ipertrofia dei turbinati, post nasal drip, laringe in asse con leucoplachie cordali. Note di RGE. -MCR notturno (15/05/2024): AHI 98,5, ODI 98, T90%50%, indice di russamento 219, non presente co</t>
  </si>
  <si>
    <t>pantoprazolo 40 mg</t>
  </si>
  <si>
    <t>Riferiti alcuni rivegli durante la notte, riferita roncopatia. Raro episodio di chocking. Riferio sonno ristoratore</t>
  </si>
  <si>
    <t>Riferita sensazione di ostruzione nasale.</t>
  </si>
  <si>
    <t>23,51</t>
  </si>
  <si>
    <t>Paziente eupnoico a riposo e all'eloquio. Non segni di cianosi periferica. Al torace. MV presente in toto, non apprezzabili grossolani rumori patologici aggiunti</t>
  </si>
  <si>
    <t>-Adattamento a CPAP.</t>
  </si>
  <si>
    <t>Di Pinto Domenica</t>
  </si>
  <si>
    <t>DPNDNC66E71D969Z</t>
  </si>
  <si>
    <t>3479361987</t>
  </si>
  <si>
    <t>Impiegata (Nega esposizione professionale a polveri inorganiche)</t>
  </si>
  <si>
    <t>Talvolta riferita pensantezza di stomaco. (riferita presenza di ernia jatale).</t>
  </si>
  <si>
    <t>Carbolitium 300 mg due volte al giorno, Nebiloc 5 mg 1/2 cp al mattino, anticolesterolinico, eutirox da lunedì al sabto 152 mcg, domenica 150 mcg, Minians</t>
  </si>
  <si>
    <t>Riferiti diversi risvegli durante la notte, riferiti episodi di choking. Riferita roncopatia.Riferito sonno non ristoratore.</t>
  </si>
  <si>
    <t>Lieve dispnea per sforzi moderati (fare le scale/fare una salita), marcia in piano conseravata.</t>
  </si>
  <si>
    <t>Talvolta sensazione di ostruzione nasale (riferiti due IC per rimozione adenoidi)</t>
  </si>
  <si>
    <t>Paziente eupnoico a riposo e all'eloquio. Non segni di cianosi periferica. Al torace, MV</t>
  </si>
  <si>
    <t>-Calo ponderale; -Monitoraccio cardiorespiratorio notturno, si programma presso il nostro centro dei disturbi del sonno.</t>
  </si>
  <si>
    <t>Castelli Giuseppa</t>
  </si>
  <si>
    <t>CSTGPP42C56G384X</t>
  </si>
  <si>
    <t>3482211949</t>
  </si>
  <si>
    <t>Si, FA in NAO.</t>
  </si>
  <si>
    <t>Talvolta, in trattamento con Riopan</t>
  </si>
  <si>
    <t>Riferisce talvolta episodi di dispnea.</t>
  </si>
  <si>
    <t>IC per plastica uterina per presenza di due bocche uterine, tonsillectomie.</t>
  </si>
  <si>
    <t>Pradaxa 110 mg, Seloken 100 mg, Diuresic, Riopan 80 mg.</t>
  </si>
  <si>
    <t>Riferisce importante sonnolenza durante la giornata. Riferisce roncopatia. Riferito episodi di choking.</t>
  </si>
  <si>
    <t>Lieve dispnea per sforzi moderati (fare le sclae/fare una salita)</t>
  </si>
  <si>
    <t>Talvolta lamenta ostruzione nasale. Riferita frequente sinusite.</t>
  </si>
  <si>
    <t>Talvolta in trattamento con Ppi.</t>
  </si>
  <si>
    <t>1-2 volte per notte.</t>
  </si>
  <si>
    <t>28,8</t>
  </si>
  <si>
    <t>Paziente eupnoica a riposo e all'eloquio. Non segni di cianosi periferica. Al torace, MV presente in toto, non apprezzabili grossolani rumori patologici aggiunti. ACV valida e aritmica, toni</t>
  </si>
  <si>
    <t>Paziente con sospetta OSA.</t>
  </si>
  <si>
    <t>BAHAMONDES MATELUNA MARIO SEGUNDO</t>
  </si>
  <si>
    <t>BHMMSG39A07Z603G</t>
  </si>
  <si>
    <t>010-418790</t>
  </si>
  <si>
    <t>Medico di Medicina Generale</t>
  </si>
  <si>
    <t>Ex cuoco di bordo</t>
  </si>
  <si>
    <t>Ex forte fumatore (stop 1997).</t>
  </si>
  <si>
    <t>Pregressa SCA 1997 con angioplastica</t>
  </si>
  <si>
    <t>Si in terapia con pantoprazolo e riopan.</t>
  </si>
  <si>
    <t>Ecocardio 02.2023: Vs con rimodellamento concentrico, AS lievemente dilatato, lieve IM e Iao, lieve ectasia radice aortica e aorta ascendente. Evocolordoppler aaii maggio 2024: non TVP; ECG bradicardia sinusale, EAS.</t>
  </si>
  <si>
    <t>Inegy 10/10 mg/dl + Repatha 140 mg Q2W 1 iniezione sottocute ogni 2 settimane, Omega 3 1 cp /die, clopidogrel 75 mg, esomeprazolo 40 mg, congescor 5 mg, ramipril 10 mg, solosa 2 mg, quetiapina 150mg/die</t>
  </si>
  <si>
    <t>ectasia radice aortica e aorta ascendente. Evocolordoppler aaii maggio 2024: non TVP; ECG bradicardia sinusale, EAS.</t>
  </si>
  <si>
    <t>Si, prevalentemente secca.</t>
  </si>
  <si>
    <t>Si presente dispnea sia a riposo che sotto sfrozo, con pallore e sensazione di apnea, sia a riposo che per sforzi moderati o lievi, con caratetre accessionale.</t>
  </si>
  <si>
    <t>Si, in media 2-3 volte/notte.</t>
  </si>
  <si>
    <t>Si in iniziale deterioramento cognitivo in demenza vascolare (in terapia con quetiapina)</t>
  </si>
  <si>
    <t>Si presente</t>
  </si>
  <si>
    <t>15/24</t>
  </si>
  <si>
    <t>26.23 kg/m2</t>
  </si>
  <si>
    <t>92%</t>
  </si>
  <si>
    <t>65 bpm</t>
  </si>
  <si>
    <t>Apiretico, eupnoico a riposo e all'eloquio, al torace, apprezzabili crepitazioni secche ai campi medio-basali bilateralmente (sn &gt; dx). Lieve ippocratismo digitale.</t>
  </si>
  <si>
    <t>TC torace HR; spirometria globale con DLCO; utile monitoraggio ECG Holter; monitoraggio cardiorespiratorio notturno che si programma presso i ns ambulatori in data…</t>
  </si>
  <si>
    <t>Russo Stefano</t>
  </si>
  <si>
    <t>RSSSFN62A30G535J</t>
  </si>
  <si>
    <t>3930200140</t>
  </si>
  <si>
    <t>Collega pneumologo</t>
  </si>
  <si>
    <t>Camionista</t>
  </si>
  <si>
    <t>ex fumatore (stop 2012, 25 p/y)</t>
  </si>
  <si>
    <t>Distiroidismo in eutirox 175 mcg</t>
  </si>
  <si>
    <t>Visita ORL (03/2024): grave ipoacusia percettiva, valutaizone protesica, ipertrofia palato molle ed ugula. PFR (12,02,2024): FVC 91%, FEV1 89%, IT 98 &amp;, YLC 85%, RV 87%</t>
  </si>
  <si>
    <t>MCR notturno (10/05/2024):sindrome delle apnee notturne di grado moderato in quadro di importante roncopatia e componente posizionale. AHI 27,8, ODI 27,3, T90% 2,3%, AHI supino: non supino 1,82:1</t>
  </si>
  <si>
    <t>Eutirox 175 mcg, valsartan, competact, metformina a pranzo, atorvastatina, neodidro (vitamina D, ora sospesa, riprenderà ad ottobre)</t>
  </si>
  <si>
    <t>Riferiti molti risvegli. Riferita roncopatia. Riferiti episodi di choking.</t>
  </si>
  <si>
    <t>Riferita dispnea per sforizmo derati (fare una scala/fare una salita).</t>
  </si>
  <si>
    <t>Riferita ostruzione nasale al mattino, in assenza di rinorrea</t>
  </si>
  <si>
    <t>Paziente eupnoico a riposo e all'eloquio. Non segni di cianosi periferica. Al torace, MV presente in toto, non apprezzabili grossolani rumori patologici aggiunti.</t>
  </si>
  <si>
    <t>Paziente con OSA moderata. Si programma adatamento a CPAP</t>
  </si>
  <si>
    <t>BARAHONA GUTIERREZ ALEX JOSE</t>
  </si>
  <si>
    <t>BRHLJS80B29Z605X</t>
  </si>
  <si>
    <t>3988937735</t>
  </si>
  <si>
    <t>prima visita dopo esecuzione di MCR notturno</t>
  </si>
  <si>
    <t>U.O. Neurofisiopatologia di questo Istituto.</t>
  </si>
  <si>
    <t>Autista</t>
  </si>
  <si>
    <t>Si (272 mg/dl agli ultimi EE) in terapia dietologica.</t>
  </si>
  <si>
    <t>Si, non in terapia</t>
  </si>
  <si>
    <t>MCR 08.07.24: apnee ostruttive di grado severo (AHI 76), associata a  gravi variazioni ossiemoglobiniche (nadir 50%-valore medio 79%-t90 69%), in un quadro di importante  roncopatia. T90 69.8%, non componente posizionale.</t>
  </si>
  <si>
    <t>metformina 500 mg, Duotens, rinoclenil.</t>
  </si>
  <si>
    <t>Talvolta, secca</t>
  </si>
  <si>
    <t>SI per sforzi moderati</t>
  </si>
  <si>
    <t>Si non in terapia</t>
  </si>
  <si>
    <t>Presente in media 4 volte/notte</t>
  </si>
  <si>
    <t>34 kg/m2</t>
  </si>
  <si>
    <t>70 bpm R</t>
  </si>
  <si>
    <t>Apiretico, eupnoico a riposo e all'eloquio in aa, al torace MV presente, non rumori aggiunti.</t>
  </si>
  <si>
    <t>OSAS di grado grave con insufficienza respiratoria notturna.</t>
  </si>
  <si>
    <t>Onorato Davide</t>
  </si>
  <si>
    <t>NRTDVD83R31D969V</t>
  </si>
  <si>
    <t>3331848436</t>
  </si>
  <si>
    <t>specialista otorinolaringoiatra Villa Scassi, dove il paziente è seguito per stenosi nasale</t>
  </si>
  <si>
    <t>Libero professionista</t>
  </si>
  <si>
    <t>Si in terapia con pantoprazolo e gaviscon al bisogno</t>
  </si>
  <si>
    <t>Visita ORL 30.07.2024: in rinoscopia lieve deviazione settale ipertrofia dei turbinati inferiori maggiore a sinistra, non secrezioni patologiche. In orrofaringe mucose normotrofiche, motilità velelare e linguale conservate. Otoscopia CUE dx libero, MT ds</t>
  </si>
  <si>
    <t>pantoprazolo e gaviscon al bisogno, arinit spray nasale.</t>
  </si>
  <si>
    <t>indenne, a sn esostosi del CUE , MT integra. Già in programma TC massiccio facciale e panendoscopia.</t>
  </si>
  <si>
    <t>Non tosse</t>
  </si>
  <si>
    <t>Risvegli laboriosi, non risvegli per soffocamento, riferita tuttavia roncopatia</t>
  </si>
  <si>
    <t>Si in terapia al bisogno con Gaviscon</t>
  </si>
  <si>
    <t>Presenti lievi turbe della memoria a breve termine</t>
  </si>
  <si>
    <t>27.68 kg/m2</t>
  </si>
  <si>
    <t>Sospette OSA</t>
  </si>
  <si>
    <t>Silvestri Fabrizio</t>
  </si>
  <si>
    <t>3471460391</t>
  </si>
  <si>
    <t>ex fumatore (15 p/y)</t>
  </si>
  <si>
    <t>Giant, cardioaspirina</t>
  </si>
  <si>
    <t>talvolta secca</t>
  </si>
  <si>
    <t>si per sforzi medio-moderati</t>
  </si>
  <si>
    <t>Montanari Federico</t>
  </si>
  <si>
    <t>MNTFRC74S22D969V</t>
  </si>
  <si>
    <t>3480642340</t>
  </si>
  <si>
    <t>1 bicchiere ai pasti</t>
  </si>
  <si>
    <t>eupnoico a riposo e all'eloquio in aria ambiente. Non tachipnea.</t>
  </si>
  <si>
    <t>Polisonnogramma notturno programmato per il</t>
  </si>
  <si>
    <t>BONELLO WILLIAM</t>
  </si>
  <si>
    <t>BNLWLM83D14D969P</t>
  </si>
  <si>
    <t>3882405668</t>
  </si>
  <si>
    <t>apnee del sonno</t>
  </si>
  <si>
    <t>allergico a graminacee e acari della polvere</t>
  </si>
  <si>
    <t>polisonnografia 17/06/2024: La registrazione ha evidenziato una sindrome delle apnee ostruttive di grado severo (AHI 76), associata a  gravi variazioni ossiemoglobiniche (nadir 50%-valore medio 86%-t90 54%), in un quadro di roncopatia.</t>
  </si>
  <si>
    <t>si consigli adattamento a CPAP</t>
  </si>
  <si>
    <t>Barba Alfonso</t>
  </si>
  <si>
    <t>BRBLNS72B12G230C</t>
  </si>
  <si>
    <t>3339270392</t>
  </si>
  <si>
    <t>prima visita per sospette apnee del sonno</t>
  </si>
  <si>
    <t>operaio con esposizione professionale a smog ed inquinanti ambientali.</t>
  </si>
  <si>
    <t>Ex fumatore (circa 15 p/y), utilizza sigaretta elettronica.</t>
  </si>
  <si>
    <t>Riferisce allergia a pollini, non RAF</t>
  </si>
  <si>
    <t>Si in nota ernia hiatale in terapia con gaviscon al bisogno.</t>
  </si>
  <si>
    <t>Non nota, riferita esecuzione di spirometrie non sempre nella norma per visita di idoneità medicina del lavoro, attualmente non in terapia.</t>
  </si>
  <si>
    <t>Algie lombari in follow-up radiologico.</t>
  </si>
  <si>
    <t>Non assume terapia in cronico, ad eccezione di integrazione di vitamina D e gaviscon al bisogno.</t>
  </si>
  <si>
    <t>No dalla cessazione dell'abitudine tabagica</t>
  </si>
  <si>
    <t>Si risvegli con sensazione di choking.</t>
  </si>
  <si>
    <t>Si presente, in media 1 volta/notte</t>
  </si>
  <si>
    <t>Lievi turbe mnesiche e difficoltà a concentrarsi sulle attività quotidiane</t>
  </si>
  <si>
    <t>rari episodi</t>
  </si>
  <si>
    <t>25.83 kg/m2</t>
  </si>
  <si>
    <t>99%</t>
  </si>
  <si>
    <t>Apiretico, eupnoico a riposo e all'eloquio, buone condizioni mediche generali. Al torace, Mv presente, non rumopri patologici aggiunti.</t>
  </si>
  <si>
    <t>Sospette apnee del sonno. Si consiglia esecuzione di polisonnogramma notturno che si programma presso i ns ambulatori.</t>
  </si>
  <si>
    <t>VILLALVA MAFLA FABIAN MERQUIDES</t>
  </si>
  <si>
    <t>VLLFNM38S07Z605D</t>
  </si>
  <si>
    <t>3490640792</t>
  </si>
  <si>
    <t>OSAS non in trattamento</t>
  </si>
  <si>
    <t>omeprazolo, lasix, triatec,  simvastatina</t>
  </si>
  <si>
    <t>si secca</t>
  </si>
  <si>
    <t>SALAZAR QUISPE EDITH JAIDE</t>
  </si>
  <si>
    <t>SLZDHJ74E41Z611U</t>
  </si>
  <si>
    <t>3486873769</t>
  </si>
  <si>
    <t>neurofisiopatologia H87, presso cui eseguiva MCR notturno in data 28.03.2024 con eviodenza di sindrome delle apnee ostruttive di grado  moderato ( AHI 20), associata a variazioni ossiemoglobiniche (nadir 77%-valore medio 95%), in un quadro di roncopatia.</t>
  </si>
  <si>
    <t>MRGE, sd colon irritabile, cefalea, poliposi nasale in tp con biologico. Allergia a nichel cromo cobalto, lattice, silicone. Allergia ad anestetico.</t>
  </si>
  <si>
    <t>No, familiarità</t>
  </si>
  <si>
    <t>PFR aprile 2024 nei limiti della norma FVC 3.73, 128%, FEV1 2.66, 112%, IT 71.</t>
  </si>
  <si>
    <t>eutirox, pantorc 20 mg o 40 mg, codex, tachipirina e ibuprofene al bisogno. Dupixent ogni 2 sett per poliposi nasale, budesonide, relvar 92/22 mcg al bisogno.</t>
  </si>
  <si>
    <t>si riferiti risvegli con sensazione di choking e sensazione di vellichio faringeo</t>
  </si>
  <si>
    <t>Si, della memoria a breve termine.</t>
  </si>
  <si>
    <t>Si notturna, in programma valutazione presso centro cefalee.</t>
  </si>
  <si>
    <t>28.51 kg/m2, seguita da dietista</t>
  </si>
  <si>
    <t>73 bpm</t>
  </si>
  <si>
    <t>apiretica, eupnoica a riposo e all'eloquio in aa, al torace MV presente, non rumori patologici</t>
  </si>
  <si>
    <t>sd delle apnee del sonno di grado moderato associata ad imporatnte sonnolenza diurna.</t>
  </si>
  <si>
    <t>KAUR KIRANJEET</t>
  </si>
  <si>
    <t>KRAKNJ82D41Z222Y</t>
  </si>
  <si>
    <t>3511005775</t>
  </si>
  <si>
    <t>Due pregressi inteventi per cesarean section</t>
  </si>
  <si>
    <t>Riferita tachicardia</t>
  </si>
  <si>
    <t>Si di grado moderato</t>
  </si>
  <si>
    <t>Rx torace 08.10.2024 nella norma.</t>
  </si>
  <si>
    <t>No, utilizzo di ibuprofene al bisogno</t>
  </si>
  <si>
    <t>Si risvegli notturni  e sensazione di dispnea, sonnolenza diurna</t>
  </si>
  <si>
    <t>Si anche per sforzi lievi (agli ultimi EE anemia microcitica, Hb 9.6)</t>
  </si>
  <si>
    <t>A volte sensazione di confusione, talvolta cefalea franca</t>
  </si>
  <si>
    <t>39.13</t>
  </si>
  <si>
    <t>98% in aa</t>
  </si>
  <si>
    <t>75 bpm R</t>
  </si>
  <si>
    <t>apiretica, eupnoica a riposo in aa, leggermente tachipnoica all'eloquio. Al torace,MV presente, non rumori aggiunti.</t>
  </si>
  <si>
    <t>Sospette apnee del sonno.</t>
  </si>
  <si>
    <t>Torazza Alessandro</t>
  </si>
  <si>
    <t>TRZLSN89L04D969A</t>
  </si>
  <si>
    <t>3468165599</t>
  </si>
  <si>
    <t>UO Neurofisiopatologia presso cui eseguiva PSG notturno con riscontro di OSA severo (AHI 106) associato ad inusfficienza respiratoria notturna (t90: 79%) e roncopatia.</t>
  </si>
  <si>
    <t>No, familiarità paterna</t>
  </si>
  <si>
    <t>Lieve ipercolesterolemia, in dietoterapia</t>
  </si>
  <si>
    <t>Di grado medio</t>
  </si>
  <si>
    <t>In età pediatrica pregressa polmonite con versamento</t>
  </si>
  <si>
    <t>Non assume terapia in cronico</t>
  </si>
  <si>
    <t>Si, notturna</t>
  </si>
  <si>
    <t>Si risvegli con sensazione di mancanza d'aria</t>
  </si>
  <si>
    <t>Si per sforzi</t>
  </si>
  <si>
    <t>Si, in media 2 volte per notte</t>
  </si>
  <si>
    <t>Non particolari</t>
  </si>
  <si>
    <t>Apiretico, eupnoic, buone condizioni mediche generali.</t>
  </si>
  <si>
    <t>Apnee del sonno di grado severo associato ad insufficienza respirtaoria notturna.</t>
  </si>
  <si>
    <t>Borgo Waldo</t>
  </si>
  <si>
    <t>BRGWLD68H04D969F</t>
  </si>
  <si>
    <t>3473592103</t>
  </si>
  <si>
    <t>sospetto di OSAS</t>
  </si>
  <si>
    <t>Autista AMIU</t>
  </si>
  <si>
    <t>Fragola, banane</t>
  </si>
  <si>
    <t>Extrasistole</t>
  </si>
  <si>
    <t>olmesartan, levopride, cipralex</t>
  </si>
  <si>
    <t>OCHOA VELEZ ROBERTO DAVID</t>
  </si>
  <si>
    <t>CHVRRT81C15Z605C</t>
  </si>
  <si>
    <t>3496980441</t>
  </si>
  <si>
    <t>corante</t>
  </si>
  <si>
    <t>edilizia</t>
  </si>
  <si>
    <t>si, durante sforzo intenso</t>
  </si>
  <si>
    <t>254</t>
  </si>
  <si>
    <t>Eupnoica.</t>
  </si>
  <si>
    <t>polisonnogramma nottruno</t>
  </si>
  <si>
    <t>Cepau Francesco</t>
  </si>
  <si>
    <t>DPEFNC72R10D969I</t>
  </si>
  <si>
    <t>3476906868</t>
  </si>
  <si>
    <t>sindrome delle apnee ostruttive del sonno di grado lieve</t>
  </si>
  <si>
    <t>Docente</t>
  </si>
  <si>
    <t>Fumatore attivo (30 p/y)</t>
  </si>
  <si>
    <t>Si, due bicchieri a cena</t>
  </si>
  <si>
    <t>Polisonnogramma notturno 19/09/2024: sindrome delle apnee ostruttive del sonno di grado lieve (AHI 10), associata a variazione ossiemoglobiniche (nadir 80%, valore medio 93%) in quadro di roncopatia e di natura marcatamente posizionale supino.</t>
  </si>
  <si>
    <t>26,5</t>
  </si>
  <si>
    <t>Polacco Rachel</t>
  </si>
  <si>
    <t>PLCRHL83E59D969Q</t>
  </si>
  <si>
    <t>3491935019</t>
  </si>
  <si>
    <t>Impiegata</t>
  </si>
  <si>
    <t>Si (20 p/y)</t>
  </si>
  <si>
    <t>rimozione di cisti embrionaria purulenta nel collo</t>
  </si>
  <si>
    <t>litio resilient, paliperidone 3mg</t>
  </si>
  <si>
    <t>Si con espettorazione di catarro giallo</t>
  </si>
  <si>
    <t>rinite cronica in autunno, inverno</t>
  </si>
  <si>
    <t>Si 2 episodi a notte</t>
  </si>
  <si>
    <t>38,5</t>
  </si>
  <si>
    <t>Moresco Barbara</t>
  </si>
  <si>
    <t>MRSBBR63C53D969V</t>
  </si>
  <si>
    <t>3466135938</t>
  </si>
  <si>
    <t>Sospetto di apnee notturne</t>
  </si>
  <si>
    <t>Fumatrice attiva (da qualche mese 1 sigaretta al giorno, 20 p/y)</t>
  </si>
  <si>
    <t>graminacee, betulle, ulivo, nocciolo</t>
  </si>
  <si>
    <t>riferisce bronchiti ricorrenti, nell'ultimo anno 2 bronchiti trattate a domicilio con antibioticoterapia, dal 2019 tre polmoniti, di cui una con necessità di ricovero</t>
  </si>
  <si>
    <t>olpress 20, paroxetina, aliflus al bisogno, kenacort al bisogno.</t>
  </si>
  <si>
    <t>No, il partner di letto riferisce roncopatia e apnee del sonno</t>
  </si>
  <si>
    <t>Si per sforzi moderati/lievi (camminare in piano a lungo)</t>
  </si>
  <si>
    <t>oculo-rinite allergica</t>
  </si>
  <si>
    <t>Si 1-2 episodi a notte</t>
  </si>
  <si>
    <t>34,2</t>
  </si>
  <si>
    <t>Fossati riccardo</t>
  </si>
  <si>
    <t>FSSRCR66L31D969F</t>
  </si>
  <si>
    <t>3472409705</t>
  </si>
  <si>
    <t>sospetto di apnee del sonno</t>
  </si>
  <si>
    <t>Impiegato</t>
  </si>
  <si>
    <t>Acari della polvere</t>
  </si>
  <si>
    <t>anti-ipertensivo specificato, CV a permanenza per IPB e calcolo vescicale in attesa di IC, cipralex, amiptal</t>
  </si>
  <si>
    <t>Nega tosse, espettorazione di muco chiaro al mattino</t>
  </si>
  <si>
    <t>rinite cronica</t>
  </si>
  <si>
    <t>Si non quantificabile per presenza di CV a permanenza</t>
  </si>
  <si>
    <t>32,7</t>
  </si>
  <si>
    <t>Buccino Teresa</t>
  </si>
  <si>
    <t>BCCTRS62H55C002I</t>
  </si>
  <si>
    <t>3402116023</t>
  </si>
  <si>
    <t>Collaboratrice scolastica</t>
  </si>
  <si>
    <t>Fumatrice attiva (50 p/y)</t>
  </si>
  <si>
    <t>azitromicina, amoxicillina (shock anafilattico)</t>
  </si>
  <si>
    <t>gaduar, pantoprazolo, clopidogler, nebivololo, rosumibe.</t>
  </si>
  <si>
    <t>Si produttiva non espettorabile</t>
  </si>
  <si>
    <t>Si Si per sforzi lievi (camminare in pianura a lungo)</t>
  </si>
  <si>
    <t>Rinite cronica</t>
  </si>
  <si>
    <t>Si 3 episodi a notte</t>
  </si>
  <si>
    <t>30,5</t>
  </si>
  <si>
    <t>Vacca Monica</t>
  </si>
  <si>
    <t>VCCMNC67H59D969L</t>
  </si>
  <si>
    <t>3488882494</t>
  </si>
  <si>
    <t>Fumatrice attiva (40 p/y)</t>
  </si>
  <si>
    <t>k mammella</t>
  </si>
  <si>
    <t>eutirox, allopurinolo, atorvastatina, omega 3, nebilox, valsartan 160/25, cardioaspirina, libradin</t>
  </si>
  <si>
    <t>si con espettorazione di muco bianco</t>
  </si>
  <si>
    <t>no, risvegli con bocca asciutta</t>
  </si>
  <si>
    <t>si da sforzo moderato</t>
  </si>
  <si>
    <t>si 2-4 episodi a notte</t>
  </si>
  <si>
    <t>Perasso Claudio</t>
  </si>
  <si>
    <t>PRSCLD73C18B282B</t>
  </si>
  <si>
    <t>3493225225</t>
  </si>
  <si>
    <t>pneumologo</t>
  </si>
  <si>
    <t>pelo di gatto, parietaria, acaro della polvere</t>
  </si>
  <si>
    <t>Foster al bisogno</t>
  </si>
  <si>
    <t>no ma risvegli frequenti con sonno superficiale, sensazione di sonno non ristoratore</t>
  </si>
  <si>
    <t>27,7</t>
  </si>
  <si>
    <t>Gaggero Emilio</t>
  </si>
  <si>
    <t>GGGMLE72A02D969C</t>
  </si>
  <si>
    <t>3923419511</t>
  </si>
  <si>
    <t>tecnico di ascensori</t>
  </si>
  <si>
    <t>metformina,statina non specificata</t>
  </si>
  <si>
    <t>28,7</t>
  </si>
  <si>
    <t>Marzo Cesaria</t>
  </si>
  <si>
    <t>MRZCSR55P64C448D</t>
  </si>
  <si>
    <t>3396998284</t>
  </si>
  <si>
    <t>sindrome delle apnee ostruttivo del sonno</t>
  </si>
  <si>
    <t>ex parrucchiera</t>
  </si>
  <si>
    <t>si due bicchieri di vino a pasto</t>
  </si>
  <si>
    <t>feldene, brufen, valtaren, zepelin, cardioasa, augmentin, fluspiral</t>
  </si>
  <si>
    <t>HIV+</t>
  </si>
  <si>
    <t>- Visita ORL 17/12/2024: in endoscopia nasale si evidenzia fossa nasale sinistra completamente occupata da degenerazione polipoide a partire dal COM, setto in asse, a dx scolo purulento dal COM dx._x000D_
- Polisonnogramma notturno 18/11/2024:</t>
  </si>
  <si>
    <t>metformina, semaglutide,  Odefsey</t>
  </si>
  <si>
    <t>tosse produttiva non espettorabile da tre settimane</t>
  </si>
  <si>
    <t>nega fame d'aria, riferisce tosse produttiva non espettorabile la notte rprincipalmente</t>
  </si>
  <si>
    <t>si 2 episodi a notte</t>
  </si>
  <si>
    <t>Gadaleta Loredana</t>
  </si>
  <si>
    <t>GDLLDN65D51D969G</t>
  </si>
  <si>
    <t>3493816489</t>
  </si>
  <si>
    <t>Polmonite a 17 anni, da bambina bronchiti ricorrenti</t>
  </si>
  <si>
    <t>23,7</t>
  </si>
  <si>
    <t>Bigaretti Giuseppe</t>
  </si>
  <si>
    <t>BGRGPP51H08I453N</t>
  </si>
  <si>
    <t>3487051221</t>
  </si>
  <si>
    <t>Ex fumatore da 20 anni (60 p/y)</t>
  </si>
  <si>
    <t>Olmesartan, Rosuvastatina, allopurinolo 150 mg/die, Cardioaspirin, indapamide + spirinolattone, forxiga, catapresan cerotto</t>
  </si>
  <si>
    <t>per sforzi moderati (salite)</t>
  </si>
  <si>
    <t>si 5 episodi a notte</t>
  </si>
  <si>
    <t>Caridi Bruna</t>
  </si>
  <si>
    <t>CRDBRN69A55D969P</t>
  </si>
  <si>
    <t>rianimatori</t>
  </si>
  <si>
    <t>infermiera</t>
  </si>
  <si>
    <t>Fumatrice attiva (35 p/y)</t>
  </si>
  <si>
    <t>kiwi, nichel, lattice (shock anafilattico)</t>
  </si>
  <si>
    <t>in corso di ricovero presso terapia intensiva si valutavano delle apnee del sonno</t>
  </si>
  <si>
    <t>revinty, brilique, cardioaspirina, pantoprazolo 40, olmesartan 20, statina,</t>
  </si>
  <si>
    <t>si, partner di letto riferisce apnee e russamento</t>
  </si>
  <si>
    <t>si per sforzai moderati (salire le scale)</t>
  </si>
  <si>
    <t>si 1 episodio a notte</t>
  </si>
  <si>
    <t>38,45</t>
  </si>
  <si>
    <t>Presti Roberto</t>
  </si>
  <si>
    <t>PRSRRT71E16D969O</t>
  </si>
  <si>
    <t>3270405143</t>
  </si>
  <si>
    <t>eutiros, seretide in primavera e autunno</t>
  </si>
  <si>
    <t>qualche volta, risvegli con bocca asciutta e faringodinia</t>
  </si>
  <si>
    <t>Carrozza Francesca</t>
  </si>
  <si>
    <t>CRRFNC70L65D969S</t>
  </si>
  <si>
    <t>3515935873</t>
  </si>
  <si>
    <t>reumatologa</t>
  </si>
  <si>
    <t>ex fumatrice da 13 anni (40 p/y)</t>
  </si>
  <si>
    <t>epatite autoimmune dal 2021 evoluta in cirrosi epatica, artrite migrante, sindrome sicca, emiparesi volto dx 2003, tiroidectomia, sleeve gastrectomi nel 2019, anemia sideropenica, colecistectomia</t>
  </si>
  <si>
    <t>didrogyl, ideos, bisoprololo, pantoprazolo, eutirox, deltacortene 5mg, lacrime artificiali, micofenolato 1000x2, litio, plaquenil x2, pravati, valdorn occasionale</t>
  </si>
  <si>
    <t>dispnea per sforzi moderati (salite)</t>
  </si>
  <si>
    <t>spesso ostruzione nasale</t>
  </si>
  <si>
    <t>si 2-3 episodi a notte</t>
  </si>
  <si>
    <t>39,7</t>
  </si>
  <si>
    <t>Eupnoica a riposo e all'eloquio in aria ambiente</t>
  </si>
  <si>
    <t>Rocca Valter</t>
  </si>
  <si>
    <t>RCCVTR64E21E488H</t>
  </si>
  <si>
    <t>3382313712</t>
  </si>
  <si>
    <t>ex operaio (esposizione a fumi e polveri)</t>
  </si>
  <si>
    <t>un bicchiere di vino a cena</t>
  </si>
  <si>
    <t>lucen</t>
  </si>
  <si>
    <t>tosse secca cronica</t>
  </si>
  <si>
    <t>Eupnoico a riposo e all'eloquio in aria ambiente.</t>
  </si>
  <si>
    <t>Nacchia Rosa</t>
  </si>
  <si>
    <t>NCCRSO43S56G230Z</t>
  </si>
  <si>
    <t>3492527205</t>
  </si>
  <si>
    <t>Diverticolosi, protesi ginocchia</t>
  </si>
  <si>
    <t>omeprazolo, coverlam, lovinacor, rifocol, gaviscon, colecalciferolo, cardioaspirina</t>
  </si>
  <si>
    <t>Mussio Luigi</t>
  </si>
  <si>
    <t>MSSLGU46L26D969Z</t>
  </si>
  <si>
    <t>335302300</t>
  </si>
  <si>
    <t>Ex ingegnere</t>
  </si>
  <si>
    <t>Augmentin, mycostatin</t>
  </si>
  <si>
    <t>polineuropatia assonale sensitivo-motoria a genesi mista, gastrectomia per k gastrico</t>
  </si>
  <si>
    <t>triatec 5 mg, lacirex 6 mg, rinoclenil al bisogno, urorec, vitamina B12 a cicli in fiale per os, lixiana 60 mg, lyrica 75 mg x 2, pantoprazolo 40 mg, vitamina D per os a cicli, sideral per os bustine, Nicetile 1 cp x 2.</t>
  </si>
  <si>
    <t>Si per sforzi moderai (salire le scale)</t>
  </si>
  <si>
    <t>Lievi</t>
  </si>
  <si>
    <t>No, riferisce risvegli con bocca asicutta</t>
  </si>
  <si>
    <t>Santorelli Anna</t>
  </si>
  <si>
    <t>SNTNNA61P43H931D</t>
  </si>
  <si>
    <t>3403876245</t>
  </si>
  <si>
    <t>Sospette apnee del sonno</t>
  </si>
  <si>
    <t>Medico Specialista Cardiologo</t>
  </si>
  <si>
    <t>Ex lieve fumatrice (5p/y)</t>
  </si>
  <si>
    <t>Ezateros 10mg/10mg, Competact 15mg/850mg, Plaunac 10mg, Semaglutide, Pantoprazolo 20mg</t>
  </si>
  <si>
    <t>32,47</t>
  </si>
  <si>
    <t>70bpm</t>
  </si>
  <si>
    <t>Al torace MV lievemente ridotto su tutto l'ambito polmonare, in assenza di grossolani rumori patologici aggiunti</t>
  </si>
  <si>
    <t>Mazza Silvano</t>
  </si>
  <si>
    <t>MZZSVN60R10E488Q</t>
  </si>
  <si>
    <t>3383174233</t>
  </si>
  <si>
    <t>Sospetto apnee del sonno</t>
  </si>
  <si>
    <t>Ex-fumatore (30p/y)</t>
  </si>
  <si>
    <t>1 bicchiere</t>
  </si>
  <si>
    <t>Giant 20mg/5mg, Bisoprololo 1.25mg, Lansoprazolo 30mg, Omega3 1000, Zyloric 300mg, Urorec 8mg, Simvastatina 20mg, Dobetin 5000mcg 1 al mese, Euglycem</t>
  </si>
  <si>
    <t>Sì con espettorazione di muco giallastro</t>
  </si>
  <si>
    <t>Landucci Massimiliano</t>
  </si>
  <si>
    <t>LNDMSM71M06D969G</t>
  </si>
  <si>
    <t>3498337078</t>
  </si>
  <si>
    <t>Disoccupato</t>
  </si>
  <si>
    <t>Ex-fumatore (10p/y)</t>
  </si>
  <si>
    <t>Ex-potus</t>
  </si>
  <si>
    <t>etmoidosfenoidotomia, senotomia mascellare e frontale sinistra (Aprile 2016)</t>
  </si>
  <si>
    <t>Lyrica 150mg, Sertralina 100mg, Lobivon 0.5mg, Pantoprazolo 40mg, Atorvastatina 40mg</t>
  </si>
  <si>
    <t>33,7</t>
  </si>
  <si>
    <t>Eupnoico a riposo e all'eloquio, al troace MV lievemente ridotto su tutto l'ambito polmonare in assenza di grossolani rumori patologici aggiunti</t>
  </si>
  <si>
    <t>Cameriere</t>
  </si>
  <si>
    <t>Fumatore attivo (20p/y)</t>
  </si>
  <si>
    <t>In passato</t>
  </si>
  <si>
    <t>Remeron 30mg, Solia 400mg</t>
  </si>
  <si>
    <t>Sì (deviazione del setto nasale)</t>
  </si>
  <si>
    <t>Eupnoico a riposo e all'eloquio. Al torace MV lievemente ridotto su tutto l'ambito polmonare in assenza di grossolani rumori patologici aggiunti</t>
  </si>
  <si>
    <t>Minan Enriquez Robert Omar</t>
  </si>
  <si>
    <t>MNNRRT72S19Z605T</t>
  </si>
  <si>
    <t>3470360374</t>
  </si>
  <si>
    <t>Operaio edile</t>
  </si>
  <si>
    <t>Artrodesi lombare</t>
  </si>
  <si>
    <t>Mometasone spray nasale, Cetirizina, Depalgos 10mg al bisogno, Lansoprazolo 30mg al bisogno</t>
  </si>
  <si>
    <t>Sì, inoltre riferita roncopatia dalla partner di letto</t>
  </si>
  <si>
    <t>Eupnoico a riposo e all'eloquio. Al torace MV</t>
  </si>
  <si>
    <t>Borisov Vyacheslav</t>
  </si>
  <si>
    <t>BRSVCH45A11Z154N</t>
  </si>
  <si>
    <t>3336683570</t>
  </si>
  <si>
    <t>Medico Specialista Geriatra</t>
  </si>
  <si>
    <t>Atenololo 50mg, Atorvastatina 10mg, Ossibutinina Cloridrato 5mg, Lercanidipina 10mg</t>
  </si>
  <si>
    <t>5 volte per notte</t>
  </si>
  <si>
    <t>31,8</t>
  </si>
  <si>
    <t>Scali Massimiliano</t>
  </si>
  <si>
    <t>SCLMSM72L03D969F</t>
  </si>
  <si>
    <t>3453405033</t>
  </si>
  <si>
    <t>Maalox al bisogno</t>
  </si>
  <si>
    <t>34,8</t>
  </si>
  <si>
    <t>Eupnoico a riposo a</t>
  </si>
  <si>
    <t>Sospette apnee del sono</t>
  </si>
  <si>
    <t>Loffredo Alessandra</t>
  </si>
  <si>
    <t>LFFLSN76D69D883W</t>
  </si>
  <si>
    <t>3491948549</t>
  </si>
  <si>
    <t>Assistente immobiliare</t>
  </si>
  <si>
    <t>Fumatrice attiva (15p/y)</t>
  </si>
  <si>
    <t>Escitalopram</t>
  </si>
  <si>
    <t>No, raramente senasazione di costrizione toracica</t>
  </si>
  <si>
    <t>Raramente 1 volta per notte</t>
  </si>
  <si>
    <t>34,9</t>
  </si>
  <si>
    <t>Basile Cristina</t>
  </si>
  <si>
    <t>BSLCST74H61D969U</t>
  </si>
  <si>
    <t>3474534891</t>
  </si>
  <si>
    <t>Valutazione pre-chirurgia bariatrica</t>
  </si>
  <si>
    <t>Medico Specialista Chirurgia Bariatrica</t>
  </si>
  <si>
    <t>Fumatrice attiva (20p/y)</t>
  </si>
  <si>
    <t>Tonsillectomia e adenoidectomia nell'infanzia</t>
  </si>
  <si>
    <t>Ossibutinina 5mg, Lodox 10mg/6.25mg, Venlafaxina 75mg, Esomeprazolo 40mg, Trittico 100mg, Giant 40mg, Totalip 10mg, CardioASA 100mg</t>
  </si>
  <si>
    <t>No, lamenta astenia al risveglio</t>
  </si>
  <si>
    <t>Eupnoica a riposo e all'eloquio. Al torace MV presente su tutto l'ambito polmonare in assenza di grossolani rumori patologici aggiunti</t>
  </si>
  <si>
    <t>Placencia Aguayo Oscar Adonys</t>
  </si>
  <si>
    <t>PLCSRD97P19Z605Y</t>
  </si>
  <si>
    <t>3482534152</t>
  </si>
  <si>
    <t>Grafico d'azienda</t>
  </si>
  <si>
    <t>Fumatore attivo</t>
  </si>
  <si>
    <t>Sì scarsa espettorazione</t>
  </si>
  <si>
    <t>35,1</t>
  </si>
  <si>
    <t>Remorgida Paolo</t>
  </si>
  <si>
    <t>RMRPLA67P07D969K</t>
  </si>
  <si>
    <t>3356659437</t>
  </si>
  <si>
    <t>Fumatore attivo (30p/y)</t>
  </si>
  <si>
    <t>Deviazione del setto nasale</t>
  </si>
  <si>
    <t>Espettorazione di muco biancastro</t>
  </si>
  <si>
    <t>Eupnoico a</t>
  </si>
  <si>
    <t>Piras Franco</t>
  </si>
  <si>
    <t>PRSFNC60L12B068H</t>
  </si>
  <si>
    <t>3492497646</t>
  </si>
  <si>
    <t>Operaio in fabbrica di lampadari e tecnico informatico (riferista esposizione a sostanze e polveri inalanti)</t>
  </si>
  <si>
    <t>Fumatore attivo (100p/y)</t>
  </si>
  <si>
    <t>ACE-inibitore</t>
  </si>
  <si>
    <t>Pantoprazolo 40mg, Doxazosina 2mg, Folina 5mg, Lorazepam 2.5mg, Metformina 500mg, CardioASA 100mg, Clopidogrel 75mg, Carvedilolo 25mg, Allopurinolo 100mg, Jardiance 10mg, Canrenone 50mg, Mirtazapina 30mg, Quetiapina 25mg, Rosuvastatina/Ezetimibe 20/10mg,</t>
  </si>
  <si>
    <t>Vortioxetina 5mg, Tamsulosina 0.4mg, Amlodipina 10mg</t>
  </si>
  <si>
    <t>Monte Maria Cristina</t>
  </si>
  <si>
    <t>MNTMCR56M67I930Q</t>
  </si>
  <si>
    <t>3491614482</t>
  </si>
  <si>
    <t>1 bicchiere a pranzo</t>
  </si>
  <si>
    <t>Parietaria e Betulla</t>
  </si>
  <si>
    <t>Tonsillectomia nell'infanzia, settoplastica, safenectomia, IC ernia inguinale, appendicectomia</t>
  </si>
  <si>
    <t>Torvast 20mg, Norvasc 5mg, Tareg 40mg, Lobivon 5mg, Lansoprazolo 30mg, Palexia 100mg + 5mg, Alcion 250mg</t>
  </si>
  <si>
    <t>4-5 volte per notte</t>
  </si>
  <si>
    <t>Guarnieri Maurizio</t>
  </si>
  <si>
    <t>GRNMRZ58S22G535Q</t>
  </si>
  <si>
    <t>3421753601</t>
  </si>
  <si>
    <t>Manutentore meccanico</t>
  </si>
  <si>
    <t>Atenololo 100mg, Olmesartan 40mg, Torasemide 10mg, Amlodipina 10mg</t>
  </si>
  <si>
    <t>Torres Garcia Marco Vinicio</t>
  </si>
  <si>
    <t>TRRMCV57D28Z605W</t>
  </si>
  <si>
    <t>3402684362</t>
  </si>
  <si>
    <t>Ex-fumatore (130p/y)</t>
  </si>
  <si>
    <t>2 bicchieri al giorno</t>
  </si>
  <si>
    <t>Ictus</t>
  </si>
  <si>
    <t>CardioASA 100mg</t>
  </si>
  <si>
    <t>Eupnoico a riposo e all'eloquio. Al torace MV diffusamente ridotto su tutto l'ambito polmonare in assenza di grossolani rumori patologici aggiunti</t>
  </si>
  <si>
    <t>Paganetto Maria Cristina</t>
  </si>
  <si>
    <t>PGNMCR65M71D969D</t>
  </si>
  <si>
    <t>3420551384</t>
  </si>
  <si>
    <t>OSAS di grado severo</t>
  </si>
  <si>
    <t>Medico Specialista Pneumologo</t>
  </si>
  <si>
    <t>Fumatrice attiva (40p/y)</t>
  </si>
  <si>
    <t>Riferita allergia a Penicillina</t>
  </si>
  <si>
    <t>OSAS e BPCO</t>
  </si>
  <si>
    <t>Elebrato 1 inalazione al mattino, Prednisone 25mg, Cosirel 5mg/10mg, Pantoprazolo 40mg, Zyloric 300mg, Torasemide 10mg, Escitalopram 5mg, Didrogyl 8gtt, OTLT domiciliare 2.5L/min, Atorvastatina 20mg, Empaglifozin 10mg, Toujeo 6U</t>
  </si>
  <si>
    <t>espettorazione di muco marroncino</t>
  </si>
  <si>
    <t>2 volte per notte</t>
  </si>
  <si>
    <t>35,3</t>
  </si>
  <si>
    <t>97 in CN 2.5L/min</t>
  </si>
  <si>
    <t>Cerna Maria Del Pilar</t>
  </si>
  <si>
    <t>CRNMDL69T44Z611I</t>
  </si>
  <si>
    <t>3920108100</t>
  </si>
  <si>
    <t>scarsa espettorazione di muco biancastro</t>
  </si>
  <si>
    <t>22,2</t>
  </si>
  <si>
    <t>Possidente Giuseppe</t>
  </si>
  <si>
    <t>PSSGPP77H25D969I</t>
  </si>
  <si>
    <t>3937683906</t>
  </si>
  <si>
    <t>Tosse produttiva con espettorazione di muco giallastro</t>
  </si>
  <si>
    <t>Saltuariamente 1 volta per notte</t>
  </si>
  <si>
    <t>Sospette apnee del sonno . Utile calo ponderale</t>
  </si>
  <si>
    <t>Borneto Erika</t>
  </si>
  <si>
    <t>BRNRKE91D64D969Z</t>
  </si>
  <si>
    <t>3407155454</t>
  </si>
  <si>
    <t>sospetto di OSA</t>
  </si>
  <si>
    <t>fumatrice attiva (4 p/y)</t>
  </si>
  <si>
    <t>pillola anticoncezionale</t>
  </si>
  <si>
    <t>rinosinusite cronica</t>
  </si>
  <si>
    <t>si, riferisce risvegli con bocca asciutta</t>
  </si>
  <si>
    <t>17,1</t>
  </si>
  <si>
    <t>Moglia Angelo</t>
  </si>
  <si>
    <t>MGLNGL46T09A731H</t>
  </si>
  <si>
    <t>3284466923</t>
  </si>
  <si>
    <t>Medico Specialista Neurologo</t>
  </si>
  <si>
    <t>Ex-fumatore (50p/y)</t>
  </si>
  <si>
    <t>Ramipril 2.5mg, Incoves 5mg, CardioASA 100mg, Omnic 0.4mg, Lamotrigina 50mg, Atorvastatina 10mg, Stilnox 10mg</t>
  </si>
  <si>
    <t>Zerega Alicia</t>
  </si>
  <si>
    <t>ZRGLCA55H57Z603T</t>
  </si>
  <si>
    <t>3283536489</t>
  </si>
  <si>
    <t>Medico Specialista Oncologo</t>
  </si>
  <si>
    <t>Ex-fumatrice (10p/y)</t>
  </si>
  <si>
    <t>Microser 16mg, Atorvastatina 10mg, Deltacortene 25mg, Vitamina D 50.000UI, Lansoprazolo 30mg</t>
  </si>
  <si>
    <t>Ciglio Enrico</t>
  </si>
  <si>
    <t>CGLNRC50C02D969I</t>
  </si>
  <si>
    <t>3292366834</t>
  </si>
  <si>
    <t>Ex-fumatore (80p/y)</t>
  </si>
  <si>
    <t>1/4 di vino a pasto</t>
  </si>
  <si>
    <t>Parietaria, acari della polvere, forfora di cavallo,</t>
  </si>
  <si>
    <t>Due by pass aorto coronarici nel 2015</t>
  </si>
  <si>
    <t>Struma tiroideo in eutiroidismo</t>
  </si>
  <si>
    <t>Lansoprazolo 30 mg, Idroclorotiazide 25mg, Valsartan 80mg, Pregabalin 75mg la sera, Acido Acetilsalicilico 100mg, Clopidogrel 75mg, Empaglifozin 10 mg, Rosuvastatina 10mg, Lantus 10UI, Humalog secondo schema, Venlafaxina 75mg, Deltacortene 25 mg</t>
  </si>
  <si>
    <t>Sì con espettorazione di muco biancastro</t>
  </si>
  <si>
    <t>25,2</t>
  </si>
  <si>
    <t>Dellepiane Rita</t>
  </si>
  <si>
    <t>DLLRTI53D59D969F</t>
  </si>
  <si>
    <t>3395338271</t>
  </si>
  <si>
    <t>Fumatrice attiva (50p/y)</t>
  </si>
  <si>
    <t>propoli</t>
  </si>
  <si>
    <t>Tonsillectomia e appendicetomia, turbinectomia</t>
  </si>
  <si>
    <t>Sì soprattutto quando si corica a letto</t>
  </si>
  <si>
    <t>Marrella Francesco</t>
  </si>
  <si>
    <t>MRRFNC52H18D969R</t>
  </si>
  <si>
    <t>3407319768</t>
  </si>
  <si>
    <t>Sì (80 p/y)</t>
  </si>
  <si>
    <t>1 bicchiere a cena</t>
  </si>
  <si>
    <t>Ipotiroidismo</t>
  </si>
  <si>
    <t>Dilatazione del bulbo aortico A3 ascendente</t>
  </si>
  <si>
    <t>Metforal 500mg, Trulicity 1.5mg, Eliquis 5mg, Congescor 2.5mg, Zyloric 300mg, Eutirox 175mcg (LU-VE) e 150mcg (SA-DO), Plaunazide 20mg/25mg, Torvast 10mg</t>
  </si>
  <si>
    <t>Sì con espettorazione di muco grigiastro</t>
  </si>
  <si>
    <t>Saltuariamente 1 volta</t>
  </si>
  <si>
    <t>Data visita</t>
  </si>
  <si>
    <t>Cognome Nome</t>
  </si>
  <si>
    <t>Data di Nascita</t>
  </si>
  <si>
    <t>Codice Fiscale</t>
  </si>
  <si>
    <t>Telefono</t>
  </si>
  <si>
    <t>Motivo della visita</t>
  </si>
  <si>
    <t>Inviato da</t>
  </si>
  <si>
    <t>Attività lavorativa</t>
  </si>
  <si>
    <t>Fumo</t>
  </si>
  <si>
    <t>Bevitore alcolici</t>
  </si>
  <si>
    <t>Allergie</t>
  </si>
  <si>
    <t>Patente di guida</t>
  </si>
  <si>
    <t>Ipertensione</t>
  </si>
  <si>
    <t>Cardiopatia ischemica</t>
  </si>
  <si>
    <t>Artimie</t>
  </si>
  <si>
    <t>Ipercolesterolemia</t>
  </si>
  <si>
    <t>Diabete</t>
  </si>
  <si>
    <t>Patologia Tiroidea</t>
  </si>
  <si>
    <t>Obesità</t>
  </si>
  <si>
    <t>Reflusso gastroesofageo</t>
  </si>
  <si>
    <t>Patologia respiratoria</t>
  </si>
  <si>
    <t>Documentazone Clinica</t>
  </si>
  <si>
    <t>Terapia in atto</t>
  </si>
  <si>
    <t>O2 terapia</t>
  </si>
  <si>
    <t>Documentazione Clinica</t>
  </si>
  <si>
    <t>Risvegli per affanno</t>
  </si>
  <si>
    <t>Dispnea da sforzo</t>
  </si>
  <si>
    <t>Dispnea a riposo</t>
  </si>
  <si>
    <t>SIntomi Rinitici</t>
  </si>
  <si>
    <t>SIntomi GERD</t>
  </si>
  <si>
    <t>Nicturia</t>
  </si>
  <si>
    <t>Turbe della Memoria</t>
  </si>
  <si>
    <t>Cefalea Mattutina</t>
  </si>
  <si>
    <t>Test di Epworth</t>
  </si>
  <si>
    <t>BMI</t>
  </si>
  <si>
    <t>SatO2</t>
  </si>
  <si>
    <t>FC</t>
  </si>
  <si>
    <t>Obiettività</t>
  </si>
  <si>
    <t>Conclusioni</t>
  </si>
  <si>
    <t>NUMERO PAZIENTI</t>
  </si>
  <si>
    <t>ID DTB</t>
  </si>
  <si>
    <t>Obesità 0/1</t>
  </si>
  <si>
    <t>no, lieve sovrappeso</t>
  </si>
  <si>
    <t>no, sovrappeso in dietoterapia</t>
  </si>
  <si>
    <t>ETA'</t>
  </si>
  <si>
    <t>P/Y</t>
  </si>
  <si>
    <t>*</t>
  </si>
  <si>
    <t>no abitudine tabagica</t>
  </si>
  <si>
    <t>ex fumatore (3 sigarette al giorno per 70 anni), ex agricoltore, no familiarità per patologia polmonare. OSAS, ipertensione arteriosa, scompenso cardiaco, dislipidemia.</t>
  </si>
  <si>
    <t>No, Riferisce esposizione al no.</t>
  </si>
  <si>
    <t>Ex-fumatori binario</t>
  </si>
  <si>
    <t>Non fumatore binario</t>
  </si>
  <si>
    <t>unega a pasto</t>
  </si>
  <si>
    <t>saltuariamente ai pasti</t>
  </si>
  <si>
    <t>saltuariamente in passato</t>
  </si>
  <si>
    <t>saltuariamente birra</t>
  </si>
  <si>
    <t>saltuariamente nel week end</t>
  </si>
  <si>
    <t>saltuariamente in occasioni sociali</t>
  </si>
  <si>
    <t>Estremamente di raro</t>
  </si>
  <si>
    <t>Rari Bevitori Binario</t>
  </si>
  <si>
    <t>Saltuari bevitori Binario</t>
  </si>
  <si>
    <t>Non bevitori Binario</t>
  </si>
  <si>
    <t>Storia di alcolismo/potus binario</t>
  </si>
  <si>
    <t>saltuariamente consumo di vino ai pasti.</t>
  </si>
  <si>
    <t>1 bicchiere di vino ai pasti saltuariamente</t>
  </si>
  <si>
    <t>vino-birra nel week end</t>
  </si>
  <si>
    <t>un quartinega di vino alla sera</t>
  </si>
  <si>
    <t>Attualmente in modo saltuariamente( ex potus)</t>
  </si>
  <si>
    <t>no (frequenta al momento ssiuola guida)</t>
  </si>
  <si>
    <t>Si, possiesie porto si'armi sportivo.</t>
  </si>
  <si>
    <t>Si si</t>
  </si>
  <si>
    <t>si (si)</t>
  </si>
  <si>
    <t>si. si</t>
  </si>
  <si>
    <t>no in possesso</t>
  </si>
  <si>
    <t>no possesso</t>
  </si>
  <si>
    <t xml:space="preserve">si </t>
  </si>
  <si>
    <t>Patente si (1)/no(0)</t>
  </si>
  <si>
    <t>si in terapia</t>
  </si>
  <si>
    <t>si, Olpress 40 mg , Amlodipina 10 mg alla sera</t>
  </si>
  <si>
    <t>si in terapia.</t>
  </si>
  <si>
    <t>si, Ictus ischemico a novembre 2023 talamico e occipitale sinistro in dissecazione dell'arteria vertebrale dx trattato con tormbolisi endovenosa</t>
  </si>
  <si>
    <t>si, in terapia farmacologica</t>
  </si>
  <si>
    <t>Ipertensione Binario (no)</t>
  </si>
  <si>
    <t>IMA Binario non noto</t>
  </si>
  <si>
    <t>IMA Binario no</t>
  </si>
  <si>
    <t>sconosciuto</t>
  </si>
  <si>
    <t>NO, scompenso cardiaco, talassemico</t>
  </si>
  <si>
    <t>NO, Recente ricovero in PS per cardiopalmo e vertigini.</t>
  </si>
  <si>
    <t>NO, ECG 11/10/22: ritmo sinusale, FC 58, morfologia nei limiti della NOrma</t>
  </si>
  <si>
    <t>NO, Scompenso cardiaco</t>
  </si>
  <si>
    <t>NO, Iniziale dilatazione biatriale</t>
  </si>
  <si>
    <t>NO, olpress</t>
  </si>
  <si>
    <t>NO (riferita visita cardiologica recente)</t>
  </si>
  <si>
    <t>NO, lieve ipertrofia del setto interventricolare, funzione sistolica conservata, atrio sinistro lievemente dilatato</t>
  </si>
  <si>
    <t>IMA (GiugNO 2022) con IC stent</t>
  </si>
  <si>
    <t>NO, possibile cardiopatia ipertensiva</t>
  </si>
  <si>
    <t>NO, sostituzione valvola mitralica</t>
  </si>
  <si>
    <t>Riferita ultima visita cardiologica del 13/02/24: risultata NOtiva.</t>
  </si>
  <si>
    <t>NO, cardiopatia ipertensiva, ecodoppler nel 2022 funzioe sistolica globale conservata, pattern diastolico da alterato rilasciamento. ECGa  riposo: RS, onda Q isolata in DIII.</t>
  </si>
  <si>
    <t>NO, Familiarità per SCA paterna.</t>
  </si>
  <si>
    <t>NO, Wolf-Parkinson-white congenita</t>
  </si>
  <si>
    <t>NO, familiarità per IMA</t>
  </si>
  <si>
    <t>IMA NOvembre 2024</t>
  </si>
  <si>
    <t>NO, Dilatazione fusiforme V4</t>
  </si>
  <si>
    <t>stenosi borderline 50% IVA</t>
  </si>
  <si>
    <t>Lieve rigurgito mitralico. stenosi aortica lieve, ischemia miocardica inducibile a basso carico di lavoro in territorio di IVA</t>
  </si>
  <si>
    <t>NO, riferisce aterosclerosi e aneurisma aorta no meglio specificato in assenza di documentazione clinica.</t>
  </si>
  <si>
    <t>NO, Soffio cardiaco no precisato.</t>
  </si>
  <si>
    <t>Riferito riscontro in infanzia di soffio cardiaco, no diversamente specificato.</t>
  </si>
  <si>
    <t>Non Aritmie Binario</t>
  </si>
  <si>
    <t>FA cronica</t>
  </si>
  <si>
    <t>Si, nel passato, negan ricorda la natura, verosimilmente extrasitole.</t>
  </si>
  <si>
    <t>nega, tachicardia sinusale</t>
  </si>
  <si>
    <t>nega, ultimo ECG ad ottobre 2023 riferito nella negarma.</t>
  </si>
  <si>
    <t>boh</t>
  </si>
  <si>
    <t>nega (in programma controllo EE)</t>
  </si>
  <si>
    <t xml:space="preserve">Non Dislipidemia Binario </t>
  </si>
  <si>
    <t>Boh dislipidemia binario</t>
  </si>
  <si>
    <t>Intolleranza glucidica Riscontro di Glicata a 6.5 in attesa di visita Endocrinologica.</t>
  </si>
  <si>
    <t>Intolleranza glucidica, Alterata glicemia a digiuno</t>
  </si>
  <si>
    <t>Intollerazna glucidica</t>
  </si>
  <si>
    <t>Diabetici Binario</t>
  </si>
  <si>
    <t>si diabete ti secondo tipo</t>
  </si>
  <si>
    <t>si, in trattamento con Metformina</t>
  </si>
  <si>
    <t>si in terapia con Metformina e Jardiance</t>
  </si>
  <si>
    <t>si DM tipo 2</t>
  </si>
  <si>
    <t>si DM II in terapia con metformina</t>
  </si>
  <si>
    <t>si, di tipo II e di difficile controllo con associate retinopatia e maculopatia con ipovisus</t>
  </si>
  <si>
    <t>no, Nefrite, IPB</t>
  </si>
  <si>
    <t>TIROIDECTOMIA nel 2019</t>
  </si>
  <si>
    <t>Intervento per TIROIDECTOMIA con successivo ipotiroidismo chirurgico</t>
  </si>
  <si>
    <t>TIROIDECTOMIA (2 anni fa)</t>
  </si>
  <si>
    <t>Pregresso intervento chirurgico colectomia per neoplasia maligna, successiva chemioterapia, TIROIDITE non in tp sostitutiva</t>
  </si>
  <si>
    <t>TIROIDITE di Hasimoto</t>
  </si>
  <si>
    <t>Riferita TIROIDITE alcuni anni fa. in follow up con controllo degli esami ematochimici.</t>
  </si>
  <si>
    <t>TIROIDITE di hasimoto</t>
  </si>
  <si>
    <t>TIROIDITE di HASHIMOTO</t>
  </si>
  <si>
    <t>pregressa TIROIDITE di HASHIMOTO</t>
  </si>
  <si>
    <t>si, T. HASHIMOTO</t>
  </si>
  <si>
    <t>T. HASHIMOTO</t>
  </si>
  <si>
    <t>TIROIDITE di HASHIMOTO in terapia sostitutiva.</t>
  </si>
  <si>
    <t>ipotiroidismo di HASHIMOTO</t>
  </si>
  <si>
    <t>Morbo di BASEDOW</t>
  </si>
  <si>
    <t>TIROIDITI Binario</t>
  </si>
  <si>
    <t>HASHIMOTO Binario</t>
  </si>
  <si>
    <t>BASEDOW Binario</t>
  </si>
  <si>
    <t>NOD, nodulo tiroideo</t>
  </si>
  <si>
    <t>NODULI Binario</t>
  </si>
  <si>
    <t>NOD, ipotiroidismo subclinico ; nodulo tirodeo 9 mm in FU</t>
  </si>
  <si>
    <t>NOD, presenza di nodulo tiroideo in fu presso ospedale Galliera</t>
  </si>
  <si>
    <t>NOD, noduli  4 -11 mm ad eco del 1.3.23, ormoni n.n.</t>
  </si>
  <si>
    <t>NOD, rimozione di nodulo tiroideo</t>
  </si>
  <si>
    <t>NOD, Tiroide di diomensioni aumentate con alcune nodularità- Valori ormonali al limite inferiore della norma.</t>
  </si>
  <si>
    <t>NOD, Prevista per settembre un controllo degli ematochimici e agoaspirato per presenza di noduli.</t>
  </si>
  <si>
    <t>NOD, TIROIDECTOMIA per gozzo multinodulare</t>
  </si>
  <si>
    <t>GOZZO</t>
  </si>
  <si>
    <t>GERD binario (no=0)</t>
  </si>
  <si>
    <t>ASMA (anche dubbia)</t>
  </si>
  <si>
    <t>ASMA</t>
  </si>
  <si>
    <t>dubbio ASMA</t>
  </si>
  <si>
    <t>OSAS , Rinite allergica , ASMA allergico</t>
  </si>
  <si>
    <t>pregressa ospedalizzazione per crisi ASMAtica allergica</t>
  </si>
  <si>
    <t>ASMA allergico</t>
  </si>
  <si>
    <t>ASMA, OSAS</t>
  </si>
  <si>
    <t>riferita ASMA allergica in adolescenza, poi risoltosi (attualmente no terapia in atto e no sintomatologia riferibile ad ASMA)</t>
  </si>
  <si>
    <t>ASMA bronchiale</t>
  </si>
  <si>
    <t>sospetta sintomatologia ASMAtica (in età infantile sintomatologia, familiarità (fratello) per ASMA)</t>
  </si>
  <si>
    <t>ASMA bronchiale allergico</t>
  </si>
  <si>
    <t>seguita da amb Asl3 per ASMA</t>
  </si>
  <si>
    <t>ASMA Bronchiale</t>
  </si>
  <si>
    <t>ASMA Bronchiale (dall'infanzia).</t>
  </si>
  <si>
    <t>ASMA bronchiale in terapia inalatoria.</t>
  </si>
  <si>
    <t>ASMAtica nota, in trattamento con Foster 100/6 mcg al bisogno</t>
  </si>
  <si>
    <t>ASMA bronchiale (non effettua terapia inalatoria).</t>
  </si>
  <si>
    <t>ASMA bronchiale allergico in tp inalatoria</t>
  </si>
  <si>
    <t>ASMA bronchiale allergica in terapia con Fsoter 100/6 mcg.</t>
  </si>
  <si>
    <t>Riferita sintomatologia ASMAtiforme in infanzia (non più indagata).</t>
  </si>
  <si>
    <t>ASMA, ipertrofia dei turbinati e poliposi nasale</t>
  </si>
  <si>
    <t>Dg di ASMA in età infantile, mai riportati sintomatologia compatibile</t>
  </si>
  <si>
    <t>Verosimile ASMA bronchiale, OSAS moderato</t>
  </si>
  <si>
    <t>frequenti BRONCOPOLMONITE pregresse</t>
  </si>
  <si>
    <t>BRONCOPOLMONITE ricorrenti successive a polmonite da Legionella nel 2018</t>
  </si>
  <si>
    <t>Riferisce due BRONCOPOLMONITE di recente e riferita broncopolmonite (1991) bilaterale con coinvolgimento pleurico.</t>
  </si>
  <si>
    <t>Riferita BRONCOPOLMONITE a ottobre, con iperpiressia, trattata con antibioticoterapia.</t>
  </si>
  <si>
    <t>PREGRESSE BRONCHITI/ BRONCOPOLMONITI/  POLMONITI</t>
  </si>
  <si>
    <t>non nota; in infanzia pleuropolmonite BRONCOPOLMONITE</t>
  </si>
  <si>
    <t>2017 riferita BRONCOPOLMONITE, con presenza di esiti fibrotici. IC per ipertrofia dei turbinati. Riferita presenza di nodulo alle corde vocali.</t>
  </si>
  <si>
    <t>ASMA e OSAS</t>
  </si>
  <si>
    <t>OSAS, rinite</t>
  </si>
  <si>
    <t>OSAS di entità severa</t>
  </si>
  <si>
    <t>OSAS in CPAP, tosse cronica</t>
  </si>
  <si>
    <t>O2TP BINARIO (1=SI)</t>
  </si>
  <si>
    <t>RIFERITA TOSSE BINARIO (1=SI)</t>
  </si>
  <si>
    <t>AFFANNO BINARIO (1=Si)</t>
  </si>
  <si>
    <t>DISPNEA DA SFORZO  BINARIO (1=SI)</t>
  </si>
  <si>
    <t>DISPNEA A RIPOSO BINARIO (1=SI)</t>
  </si>
  <si>
    <t>NEGA, dispnea da sforzo per scale e salite</t>
  </si>
  <si>
    <t>RINITE BINARIA (1=SI)</t>
  </si>
  <si>
    <t>GERD SINTOMI BINARIO (1=SI)</t>
  </si>
  <si>
    <t>NICTURIA BINARIO (1=SI)</t>
  </si>
  <si>
    <t>TURBE DELLA MEMORIA BINARIO (1=SI)</t>
  </si>
  <si>
    <t>CEFALEA MATTUTINA BINARIO (1=SI)</t>
  </si>
  <si>
    <t>ID</t>
  </si>
  <si>
    <t>Data Nascita</t>
  </si>
  <si>
    <t>CF</t>
  </si>
  <si>
    <t>Ventilatore</t>
  </si>
  <si>
    <t>Modello maschera</t>
  </si>
  <si>
    <t>Taglia maschera</t>
  </si>
  <si>
    <t>Device orale</t>
  </si>
  <si>
    <t>Intervento chirurgico</t>
  </si>
  <si>
    <t>Altra terapia</t>
  </si>
  <si>
    <t>Patologia respiratoria nota</t>
  </si>
  <si>
    <t>Espettorazione</t>
  </si>
  <si>
    <t>Risvegli notturni per affanno</t>
  </si>
  <si>
    <t>Sintomi Rinitici</t>
  </si>
  <si>
    <t>Sintomi da reflusso gastroesofageo</t>
  </si>
  <si>
    <t>Astenia</t>
  </si>
  <si>
    <t>Turbe della memoria</t>
  </si>
  <si>
    <t>Altro</t>
  </si>
  <si>
    <t>relazione cf</t>
  </si>
  <si>
    <t>Sat O2</t>
  </si>
  <si>
    <t>Obiettività Generale</t>
  </si>
  <si>
    <t>Obiettività toracica</t>
  </si>
  <si>
    <t>Compliance</t>
  </si>
  <si>
    <t>Monitorata con</t>
  </si>
  <si>
    <t>% giorni di terapia/tempo valutato</t>
  </si>
  <si>
    <t>Durata media terapia giornaliera</t>
  </si>
  <si>
    <t>AHI stimato</t>
  </si>
  <si>
    <t>Perdite totali</t>
  </si>
  <si>
    <t>Giudizio</t>
  </si>
  <si>
    <t>Si consiglia</t>
  </si>
  <si>
    <t>Berri Bruna</t>
  </si>
  <si>
    <t>BRRBRN49S43L304L</t>
  </si>
  <si>
    <t>3466872987</t>
  </si>
  <si>
    <t>Controllo in OSAS (scarso controllo del russamento e della sonnolenza diurna da circa 6 mesi)</t>
  </si>
  <si>
    <t>Curante (Stimamiglio)</t>
  </si>
  <si>
    <t>CPAP p 14 cmH20</t>
  </si>
  <si>
    <t>Lasix 1/2 cp da 25 mg al mattino, Eutirox, Goltor,Duloxetina,Metformina, Repaglinide, Gastroloc, Duoresp 160/4,5 1 inalazione mattina e sera, Kalanit, Bowell, Rifacol, Pentacol, Xanax 15gtt, Viscoblast.</t>
  </si>
  <si>
    <t>forte</t>
  </si>
  <si>
    <t>DM2, Bpco, Asma bronchiale allergico, Ipotiroidismo,Diverticolosi, atrofia corda vocale sn, MRGE, episodi di TIA. Allergie: DT e betulla, shock anafilattico da Emagel.</t>
  </si>
  <si>
    <t>eupnoica a riposo e all'eloquio, non segni di cianosi periferica</t>
  </si>
  <si>
    <t>MV diffusamente ridotto, FVT normotrasmesso, ronchi scomparsi all'evento tussigeno.</t>
  </si>
  <si>
    <t>scarsa</t>
  </si>
  <si>
    <t>scarico dati</t>
  </si>
  <si>
    <t>26,1% (180 giorni analizzati)</t>
  </si>
  <si>
    <t>7 ore e 59 min</t>
  </si>
  <si>
    <t>Scarso controllo della sintomatologia</t>
  </si>
  <si>
    <t>Eseguire spirometria globale, programmata per il 8/03/2021 ore 9:30 (non sospendere terapia inalatoria in atto, portare un emocromo recente). Eseguire MCR in corso di CPAP mod. autoregolante programmata per il 17/03/21 ore 10.</t>
  </si>
  <si>
    <t>Marino Vincenzo</t>
  </si>
  <si>
    <t>MRNVCN42A05C773W</t>
  </si>
  <si>
    <t>3474094685</t>
  </si>
  <si>
    <t>Controllo  in OSAS</t>
  </si>
  <si>
    <t>Curante (Savoldi)</t>
  </si>
  <si>
    <t>CPAP p 9 cmH2O + O2 1,5 l/min</t>
  </si>
  <si>
    <t>Immunobron, Gabapentin, Baclofene, Pantoprazolo, Sertralina, Deltacortene, Risedronato, Xarelto, Sativex</t>
  </si>
  <si>
    <t>modica</t>
  </si>
  <si>
    <t>Pz affetto da SM RR, pregressa  TEP nel 2019 su TVP femorale sn, OSAS grave. Paralisi emidiaframma destro. Dermatite atopica, ernioa iatale, ex fumatore 15 pack/year. Trait talassemico. Allergia alla penicillina.</t>
  </si>
  <si>
    <t>Paziente affetto da SM, vigile e collaborante, eupnoico all'eloquio.</t>
  </si>
  <si>
    <t>MV normotrasmesso in tutto l'ambito, abolito in base destra con consensuale riduzione del FVT e ottusità plessica. Lievi ronchi diffusi.</t>
  </si>
  <si>
    <t>Ottimale</t>
  </si>
  <si>
    <t>100 % ( su 30 giorni analizzati)</t>
  </si>
  <si>
    <t>8 ore e 11 minuti</t>
  </si>
  <si>
    <t>Mancata correzione degli eventi apnoici con l'attuale terapia in atto: AHI medio 62,2</t>
  </si>
  <si>
    <t>Già in programma MCR notturno in CPAP a P 10 cmH2O per questa notte.</t>
  </si>
  <si>
    <t>Saron Santina</t>
  </si>
  <si>
    <t>SRNSTN42S54D969A</t>
  </si>
  <si>
    <t>3497178212</t>
  </si>
  <si>
    <t>Controllo in BIPAP AUTOSV</t>
  </si>
  <si>
    <t>BIPAP autoSV (P max 25, EPAP max 15 EPAP min 4, PS max 17 PS min 0, FR auto) + O2 1l/min</t>
  </si>
  <si>
    <t>Relvar 92/22 1inalazione h.16, Eliquis 5 mg x2/die, Combisartan 160/12,5 mg 1 cp ore 8, Omeprazen 20 mg 1 cp, Torasemide 10 mg  1/2 cp, Provisacor 5 mg 1cp alla sera.</t>
  </si>
  <si>
    <t>mai fumatrice; ex infermiera; asma bronchiale, Obesità,  FA parossistica in terapia con NAO, diabete mellito di tipo 2, ipertensione arteriosa sistemica, pregresso TIA nel 2010, noduli tiroidei in eutiroidismo, ernia iatale</t>
  </si>
  <si>
    <t>eupnoica a riposo, dispnoica per sforzi minimi. Non segni di cianosi periferica.</t>
  </si>
  <si>
    <t>MV presente su tutto l'ambito, in presenza di crepitii bibasali sinistra &gt; destra</t>
  </si>
  <si>
    <t>buona</t>
  </si>
  <si>
    <t>100% su 50 giornii analizzati</t>
  </si>
  <si>
    <t>7 ore e 1 minuto</t>
  </si>
  <si>
    <t>buona compliance. Non ottimale controllo dei sintomi diurni.</t>
  </si>
  <si>
    <t>Cozzolino Rosario</t>
  </si>
  <si>
    <t>CZZRSR77R15H501J</t>
  </si>
  <si>
    <t>3288420574</t>
  </si>
  <si>
    <t>Controllo in OSAS</t>
  </si>
  <si>
    <t>Curante (Gurrieri)</t>
  </si>
  <si>
    <t>CPAP P12 cmH2O</t>
  </si>
  <si>
    <t>sì per perforazione del setto nasale</t>
  </si>
  <si>
    <t>Metadone, Tavor</t>
  </si>
  <si>
    <t>2 volte al mese circa</t>
  </si>
  <si>
    <t>Fumatore attivo (22 P/Y). Obesità, disturbo schizofrenico e borderline di personalità. Nega allergie note. Calo ponderale di circa 15 kg negli ultimi 6 mesi.</t>
  </si>
  <si>
    <t>Paziente eupnoico a riposo e all'eloquio</t>
  </si>
  <si>
    <t>EOP: MV normotrasmesso, FVT normotrasmesso, normofonesi plessica. Presenza di lievi ronchi espiratori che spariscono a seguito dell'evento tussigeno. EOC:toni validi, ritmici, pause apparentemente libere.</t>
  </si>
  <si>
    <t>sì dall'interruzione della terapia con CPAP</t>
  </si>
  <si>
    <t>Buono</t>
  </si>
  <si>
    <t>Esecuzione di monitoraggio cardiorespiratorio notturno in CPAP in modalità autoregolante programmato in data 12 maggio ore 10. Esecuzione esame dell'espettorato.</t>
  </si>
  <si>
    <t>Liguori giovanna</t>
  </si>
  <si>
    <t>LGRGNN70D70F965E</t>
  </si>
  <si>
    <t>3494764762</t>
  </si>
  <si>
    <t>adattamento a cpap</t>
  </si>
  <si>
    <t>si (lansoprazolo)</t>
  </si>
  <si>
    <t>3</t>
  </si>
  <si>
    <t>Cardiomiopatia dilatativa familiare, sindrome mteabolica in trattamento con metformina, Ipertensioen arteriosa, ipermenorrea</t>
  </si>
  <si>
    <t>obesità</t>
  </si>
  <si>
    <t>Murmure vescicolare bilateralmente</t>
  </si>
  <si>
    <t>Eseguito monitoraggio cardiorespiratorio basale con HAI 30, ODI 43;, T 90 8,8, sat media 92%</t>
  </si>
  <si>
    <t>Si programma adattamento con AutoCPAP per il giorno 4 maggio ore 12:00.</t>
  </si>
  <si>
    <t>Torzini Licia</t>
  </si>
  <si>
    <t>TRZLCI40M46B243L</t>
  </si>
  <si>
    <t>0106136888</t>
  </si>
  <si>
    <t>Visita di controllo in paziente in cPAP</t>
  </si>
  <si>
    <t>nostro ambulatorio</t>
  </si>
  <si>
    <t>cPAP P=12 cm H20</t>
  </si>
  <si>
    <t>No. (maschera oro-nasale).</t>
  </si>
  <si>
    <t>Lansoprazolo, Gabapentin, Triatec, Prisma, Nicetile, Absorcol, Nebilox, Lasix, Fortradol, Insulina.</t>
  </si>
  <si>
    <t>Lieve.</t>
  </si>
  <si>
    <t>Rari.</t>
  </si>
  <si>
    <t>Si (3-4 volte).</t>
  </si>
  <si>
    <t>Si.</t>
  </si>
  <si>
    <t>Pregressa RT per Lingoma di Hodgkin 1968. Nel 2002 mastectomia radicale sinistra per K mammella ; complicata da TEP. Polineuropatia. DM tipo 2. IPT.</t>
  </si>
  <si>
    <t>Eupnoica a riposo ed all'eloquio.</t>
  </si>
  <si>
    <t>MV presente, qualche fine crepitazione alle basi. ACV toni cardiaci validi, ritmici, pause libere.</t>
  </si>
  <si>
    <t>Scarsa.</t>
  </si>
  <si>
    <t>Scarico schedina.</t>
  </si>
  <si>
    <t>1 ora e 32 minuti</t>
  </si>
  <si>
    <t>Discreta. Riferita insonnia.</t>
  </si>
  <si>
    <t>Scarsa tolleranza e compliance alla cPAP notturna. Discreta sonnolenza diurna in paziente non in possesso di patente di guida.</t>
  </si>
  <si>
    <t>Eseguire monitoraggio cardiorespiratorio basale notturno (senza cPAP) per rivalutazione del quadro.</t>
  </si>
  <si>
    <t>Scotto Cinzia</t>
  </si>
  <si>
    <t>SCTCNZ62A69D969P</t>
  </si>
  <si>
    <t>3405200622</t>
  </si>
  <si>
    <t>controllo in OSAS</t>
  </si>
  <si>
    <t>ambulatorio interno</t>
  </si>
  <si>
    <t>CPAP p 7 cmH2O</t>
  </si>
  <si>
    <t>IC per deviazione del setto e per ipertrofia dei turbinati (8 anni fa circa).</t>
  </si>
  <si>
    <t>Provigil, Plaunazide</t>
  </si>
  <si>
    <t>moderate</t>
  </si>
  <si>
    <t>Ex fumatrice (10-15 sigarette/die per circa 20 anni) Narcolessia, ipertensione arteriosa sistemica, obesità, IC per linfocele gamba destra. Allergie: parietaria, acari della povere.</t>
  </si>
  <si>
    <t>paziente eupnoica a riposo e all'eloquio.</t>
  </si>
  <si>
    <t>EOP: MV normotrasmesso, FVT normotrasmesso, normofonesi plessica, in assenza di rumori patologici aggiunti. EOC: toni validi, ritmici, pause apparentemente libere da soffi.</t>
  </si>
  <si>
    <t>80,6% su 98 giorni analizzati</t>
  </si>
  <si>
    <t>3 ore e 49 minuti</t>
  </si>
  <si>
    <t>sì in paziente affetta da narcolessia</t>
  </si>
  <si>
    <t>Prosecuzione della terapia in atto. Visita pneumologica di controllo con scarico dati programmata per il giorno 18/04/2022 ore 10:00.</t>
  </si>
  <si>
    <t>Corsano Francesca</t>
  </si>
  <si>
    <t>CRSFNC68A49A509O</t>
  </si>
  <si>
    <t>3451383581</t>
  </si>
  <si>
    <t>Ambulatorio interno</t>
  </si>
  <si>
    <t>CPAP p 16 cmH2O</t>
  </si>
  <si>
    <t>IC per neoformazione benigna della lingua nel 2017, tonsillectomia.</t>
  </si>
  <si>
    <t>Letargin, Pariet, Citalopram, Flunox 15 mg, Mirtazapina, Idalman. In trattamento occasionale con Fobuler.</t>
  </si>
  <si>
    <t>riferisce polmonite a gennaio. Alla precdente visita portava in visione TC torace MDC (27.08.2020): minimi ispessimenti pleurici biapicali e piccole striature disventilative al segmento apicale del lobo di destra, in sede dorsale.</t>
  </si>
  <si>
    <t>sì circa 2 volte/settimana</t>
  </si>
  <si>
    <t>moderati cronici</t>
  </si>
  <si>
    <t>sì in terapia. Riferisce esofagite cronica.</t>
  </si>
  <si>
    <t>sì (nota sindrome depressiva).</t>
  </si>
  <si>
    <t>sì da circa un mese.</t>
  </si>
  <si>
    <t>Mai fumatrice. Allergie: Claritromicina, eparina. Riferisce aumento ponderale di circa 15 kg nell'ultimo anno.</t>
  </si>
  <si>
    <t>Paziente eupnoica a riposo e all'eloquio.</t>
  </si>
  <si>
    <t>EOP:</t>
  </si>
  <si>
    <t>Buona</t>
  </si>
  <si>
    <t>85,2% SU 88 giorni analizzati</t>
  </si>
  <si>
    <t>6 ore e 8 minuti</t>
  </si>
  <si>
    <t>moderata in nota sindrome depressiva e OSAS</t>
  </si>
  <si>
    <t>Buono (AHI medio residuo 5, 7).</t>
  </si>
  <si>
    <t>Si consiglia prosecuzione della terapia in atto. Utile visita psichiatrica per valutazione del quadro ansioso-depressivo.</t>
  </si>
  <si>
    <t>Dodero Giovanna</t>
  </si>
  <si>
    <t>DDRGNN47D41D969F</t>
  </si>
  <si>
    <t>3442360500</t>
  </si>
  <si>
    <t>visita di controllo per paziente con cPAP e riferita scarsa compliance</t>
  </si>
  <si>
    <t>Cardiologa di fiducia (Dr.ssa Carazza)</t>
  </si>
  <si>
    <t>cPAP (non in visione documentazione/ ventilatore)</t>
  </si>
  <si>
    <t>nega. (maschera oro-nasale ), riferisce bruxismo per cui non ha mai eseguito accertamenti.</t>
  </si>
  <si>
    <t>IC tonsillectomia in giovane età.</t>
  </si>
  <si>
    <t>MTX 15 mg 1vv/sett, folina il giorno seguente, prednisone 5 mg, lacipil 1 cp al mattino, PPI, zoloft 1 cp 50mg. Tavor alla sera.</t>
  </si>
  <si>
    <t>OSAS diagnosticata 10 anni fa (non referti in visione); riferite pregresse visite pneumologiche per sospetto coinvolgimento polmonare da parte di patologia immuno-reumatologica. Mai fumatrice.</t>
  </si>
  <si>
    <t>scolo nasale mattutino.</t>
  </si>
  <si>
    <t>a volte, in terapia con PPI.</t>
  </si>
  <si>
    <t>1-2 volte.</t>
  </si>
  <si>
    <t>si.</t>
  </si>
  <si>
    <t>Paziente affetta da artrite psoriasica e S. Fibromialgica, riferita vasculite non meglio specificata. Seguita da immunologo (non referti in visione). Ultima PFR 5 anni fa. Riferisce circa 10 anni fa eseguita polisonnografia (non referti in visione) e cPAP</t>
  </si>
  <si>
    <t>Torace: MV presente, fini crepitazioni bibasali. ACV toni parafonici, ritmici, pause verosimilmente libere.</t>
  </si>
  <si>
    <t>Inserra Vincenza</t>
  </si>
  <si>
    <t>NSRVCN53S53E131C</t>
  </si>
  <si>
    <t>3475761158</t>
  </si>
  <si>
    <t>controllo in paziente con CPAP</t>
  </si>
  <si>
    <t>CPAP a pressione fissa 13cm H20</t>
  </si>
  <si>
    <t>cardioaspirin , atorvastatina, lansoprazolo, neuraben, quetiapina 50, brintellex, amlodipina 10mg, donepezil 5, spiriva</t>
  </si>
  <si>
    <t>sensazione di prurito senza rinorrea</t>
  </si>
  <si>
    <t>si ( valutata dal neurologo per episodio di Tia a febbraio 2021 con deficit di memoria )</t>
  </si>
  <si>
    <t>Tia nel febbrario 2021. , ipertesa, dislipidemica.&lt;Patologia tiroidea noduli tenuti sotto osservazione medica</t>
  </si>
  <si>
    <t>eupnoica all'eloquio</t>
  </si>
  <si>
    <t>Mv presente su tutti i campi senza rumori patologici aggiunti. Acv toni validi . No nedemi declivi</t>
  </si>
  <si>
    <t>parziale</t>
  </si>
  <si>
    <t>scarico dati con schedina</t>
  </si>
  <si>
    <t>58,9 %</t>
  </si>
  <si>
    <t>3he 40min</t>
  </si>
  <si>
    <t>la paziente non riesce ad effettuare le terapia con Cpap per dolore cervicale riscontrato durante l'utilizzo</t>
  </si>
  <si>
    <t>revisione dispositivo CPAP</t>
  </si>
  <si>
    <t>Gatto Anna</t>
  </si>
  <si>
    <t>GTTNNA41D69E031D</t>
  </si>
  <si>
    <t>3477993699</t>
  </si>
  <si>
    <t>controllo in  paziente con CPAP</t>
  </si>
  <si>
    <t>Cpap</t>
  </si>
  <si>
    <t>O2 terapia, mutabon, venlafaxina, olprezide, carvedilolo</t>
  </si>
  <si>
    <t>eupnoica all'eloquio.</t>
  </si>
  <si>
    <t>Mv  ridotto , assenza di rumori patologici aggiunti . Acv toni validi . Assenza di edemi declivi</t>
  </si>
  <si>
    <t>scarico dati schedina</t>
  </si>
  <si>
    <t>100,0</t>
  </si>
  <si>
    <t>7 h e 42 min</t>
  </si>
  <si>
    <t>paziente collaborante, con rallentamento psicho motorio da sindrome depressiva</t>
  </si>
  <si>
    <t>esame spirometrico .</t>
  </si>
  <si>
    <t>Gandoglia Enrica</t>
  </si>
  <si>
    <t>GNDNRC47H61A145K</t>
  </si>
  <si>
    <t>controllo in paziente  con sindrome Osas</t>
  </si>
  <si>
    <t>paziente non possiede dispositivo CPAP, non riuscito adattamento nel 2019</t>
  </si>
  <si>
    <t>baclofene 25 mg, oxibutinina, quetiapina 50 mg, tegretol 200mg, esomeprazolo, simvastatina, letroczolo, cardioaspirina, tossina botulinica</t>
  </si>
  <si>
    <t>sclerosi multipla, ,k mammario . Nega patologie cariovascolari trattato con quadrectomia destra   radiotrattato, attacco psicotico nel 2015</t>
  </si>
  <si>
    <t>Mv ridotto assenza di rumori patologici aggiunti, ACV toni parafonici. Edemi declivi presenti</t>
  </si>
  <si>
    <t>si  programma polisonnografia notturna per il giorno16.06.2021 h 10.00. Emogas arterioso per il giorno 08.07.2021 h 12.00</t>
  </si>
  <si>
    <t>Magliulo Mario</t>
  </si>
  <si>
    <t>MGLMRA31D18I820J</t>
  </si>
  <si>
    <t>3356756756</t>
  </si>
  <si>
    <t>controllo in paziente con Osas</t>
  </si>
  <si>
    <t>BIPAP  : ipap 13 cm H2O, EPAP  5 cm h2O</t>
  </si>
  <si>
    <t>Vascoman 20 mg ½ c ore 8_x000D_
Sequacor 2.5 mg ½ c ore 8_x000D_
Cardioaspirin 100 mg 1 c ore 12_x000D_
Allopurinolo 100 mg ½ c ore 8 _x000D_
Lansoprazolo 30 mg 1 c ore 8, memantina,zentiva , lasix, capillarena</t>
  </si>
  <si>
    <t>k prostata, maculopatia, ipoacusia bilaterale , polipectomia per adenomi tubolo villosi in follow up</t>
  </si>
  <si>
    <t>eupnoico a riposo</t>
  </si>
  <si>
    <t>Mv ridotto crepitazioni alle basi. Acv toni parafonici, presenza di edemi declivi</t>
  </si>
  <si>
    <t>1735</t>
  </si>
  <si>
    <t>8  Ps  3 ps</t>
  </si>
  <si>
    <t>buono</t>
  </si>
  <si>
    <t>continuare terapia con BIPAP</t>
  </si>
  <si>
    <t>Argurio Francesca</t>
  </si>
  <si>
    <t>RGRFNC46E41D969Y</t>
  </si>
  <si>
    <t>3498713824</t>
  </si>
  <si>
    <t>controllo in paziente con OSAS</t>
  </si>
  <si>
    <t>auto CPAP a pressione media 11,9 cm H2O</t>
  </si>
  <si>
    <t>isoptin 120 mg</t>
  </si>
  <si>
    <t>ipertensione arteriosa controllata, talassemia, asma bronchiale in polisensibilizzazione allergica, ipertrofia dei turbinati, cataratta,ex lieve fumatrice, pensionata, ex parrucchiera</t>
  </si>
  <si>
    <t>eupnoica all'eloquio e a riposo</t>
  </si>
  <si>
    <t>Mv presente assenza di rumori patologici, acv toni parafonici, lieve succulenza arti inferiori</t>
  </si>
  <si>
    <t>92,4 %</t>
  </si>
  <si>
    <t>5h e 43 min</t>
  </si>
  <si>
    <t>Lapietra Teresa</t>
  </si>
  <si>
    <t>LPTTRS38D43L802Q</t>
  </si>
  <si>
    <t>3403890699 ( figlia )</t>
  </si>
  <si>
    <t>sindrome Osas Diagnosticata nel 2019 Ahi 51,1  ( refrto basale )</t>
  </si>
  <si>
    <t>MMG ( Dott. Tomasini )</t>
  </si>
  <si>
    <t>priva di dispositivo</t>
  </si>
  <si>
    <t>giant, lobidur, eutirox, anaflanil , lasix, nobistar,rosumibe, ticlid, lexotan, colecomb, vt b 12</t>
  </si>
  <si>
    <t>2 broncopolmoniti 20 anni fa</t>
  </si>
  <si>
    <t>si per attività quotidiane</t>
  </si>
  <si>
    <t>ipertensione arteriosa, diverticolosi colon, ictus 2008,stent carotideo, calcolosi colecisti, stent carotideo, emitiroidectomia, no fumatrice , nega allergie, calo ponderale di 5 Kg</t>
  </si>
  <si>
    <t>eupnoica all'eloquio  e a riposo</t>
  </si>
  <si>
    <t>Mv presente assenza di rumori patologici aggiunti , Acv toni validi. Edemi declivi assenti</t>
  </si>
  <si>
    <t>la paziente ha solo eseguito nel 2019 polisonnografia basale con AGI 51,1</t>
  </si>
  <si>
    <t>eseguire polisonnogramma basale</t>
  </si>
  <si>
    <t>Sorrentino Gaetano</t>
  </si>
  <si>
    <t>SRRGTN66L11L259I</t>
  </si>
  <si>
    <t>01084051 ( centralino Marassi )</t>
  </si>
  <si>
    <t>controllo  in paziente con CPaP )</t>
  </si>
  <si>
    <t>Cpap a pressione 12, 9 cm H2O</t>
  </si>
  <si>
    <t>lansox , traitec, carbone cp, bretaris, esidrex, sequacor,  absorcol, sereupin, en</t>
  </si>
  <si>
    <t>senso di costrizione toracica dal torace  al collo</t>
  </si>
  <si>
    <t>si per dolore riferito al collo</t>
  </si>
  <si>
    <t>ipertensione arteriosa, attacchi di panico</t>
  </si>
  <si>
    <t>eupnoico all'eloquio e a riposo</t>
  </si>
  <si>
    <t>Mv presente, presenza di rantoli di fine espirazione accentati bilateralmente alle basi . Acv toni parafonici. Edemi declivi assenti</t>
  </si>
  <si>
    <t>non buona</t>
  </si>
  <si>
    <t>53, 8 %</t>
  </si>
  <si>
    <t>2h e 29 min</t>
  </si>
  <si>
    <t>non buono</t>
  </si>
  <si>
    <t>Eseguire Rx torace . Rivalutazione cardiologica . Si provvede con la sostituzione del dispositivo CPaP</t>
  </si>
  <si>
    <t>Amoruso Filippina</t>
  </si>
  <si>
    <t>MRSFPP65D61D969Y</t>
  </si>
  <si>
    <t>3384408323</t>
  </si>
  <si>
    <t>controlllo in paziente con Osas</t>
  </si>
  <si>
    <t>CPaP a pressione 9 cm H2O</t>
  </si>
  <si>
    <t>tirosint 75 mcg,</t>
  </si>
  <si>
    <t>sensazione di ostruzione nasale</t>
  </si>
  <si>
    <t>ipotiroidismo, ipercolesterolemia, aletrazione dell'HB glicata. Calo ponderale 6 kg nell'ultimo anno, celiachia</t>
  </si>
  <si>
    <t>eupnoica all'eloquio e aa riposo</t>
  </si>
  <si>
    <t>Mv presente privo di rumori patologici aggiunti, Acv toni validi ritmici. Assenza di edemi declivi</t>
  </si>
  <si>
    <t>poco utilizzo</t>
  </si>
  <si>
    <t>55,4 %</t>
  </si>
  <si>
    <t>4h e 10 min</t>
  </si>
  <si>
    <t>discreto</t>
  </si>
  <si>
    <t>sipredispone cambio dispositivo CPaP</t>
  </si>
  <si>
    <t>Banchero Lorenzo</t>
  </si>
  <si>
    <t>3472575577 ( figlia )</t>
  </si>
  <si>
    <t>controllo in Paziente con Osas</t>
  </si>
  <si>
    <t>nostro ambulatoria</t>
  </si>
  <si>
    <t>Bi PaP  autoSv , media EPaP 8,5cm H2O</t>
  </si>
  <si>
    <t>amiodar, pradaxa, sequacor, efexor, avodart, torvast, ziloric, omnic, peptazolo, oleal D3 plus , cianofolin</t>
  </si>
  <si>
    <t>rinorrea</t>
  </si>
  <si>
    <t>fibrillazione atriale trattata con cardioversione elettrica nel novembre 2020</t>
  </si>
  <si>
    <t>scarico</t>
  </si>
  <si>
    <t>93,5 %</t>
  </si>
  <si>
    <t>4 e 27</t>
  </si>
  <si>
    <t>proseguimento con dispositico BiPaP</t>
  </si>
  <si>
    <t>Durante Domenico</t>
  </si>
  <si>
    <t>DRNDNC60D11A717X</t>
  </si>
  <si>
    <t>3395458448</t>
  </si>
  <si>
    <t>controllo paziente affetto da OSAS</t>
  </si>
  <si>
    <t>Nostro Centro</t>
  </si>
  <si>
    <t>Auto-CPAP P media 6,1 cmH2O + ossigenoterapia 1L/min</t>
  </si>
  <si>
    <t>rinoplastica post-traumatica</t>
  </si>
  <si>
    <t>Xoterna 1 inalazione/die, ossigenoterapia domiciliare circa 12 ore/die</t>
  </si>
  <si>
    <t>2 volte/settimana</t>
  </si>
  <si>
    <t>riferisce lieve turbe mnesiche</t>
  </si>
  <si>
    <t>vigile, orientato, collaborante, eupnoico a riposo</t>
  </si>
  <si>
    <t>MV ridotto in toto, sibili telespiratori diffusi</t>
  </si>
  <si>
    <t>discreta</t>
  </si>
  <si>
    <t>4 ore e 43 minuti</t>
  </si>
  <si>
    <t>Buona compliance alla ventiloterapia notturna</t>
  </si>
  <si>
    <t>- eseguire spirometria _x000D_
completa con tecnica pletismografica + DLCO _x000D_
Eseguire saturimetria notturna_x000D_
Proseguire ventiloterapia con CPAP</t>
  </si>
  <si>
    <t>DEBBIA SILVANA</t>
  </si>
  <si>
    <t>DBBSVN45S62D969H</t>
  </si>
  <si>
    <t>3403115613</t>
  </si>
  <si>
    <t>Richiamo Philips respironics</t>
  </si>
  <si>
    <t>Philips respironics</t>
  </si>
  <si>
    <t>Irbesartan, Vitorin, Saflutan, Tachipirina, Escitalopram</t>
  </si>
  <si>
    <t>Si circa 2 volte.</t>
  </si>
  <si>
    <t>Ipertensione arteriosa, Scoliosi, Obesità.</t>
  </si>
  <si>
    <t>Vigile orientata collaborante eupnoica a riposo.</t>
  </si>
  <si>
    <t>Mv normotrasmesso in assenza di rumori patologici aggiunti.</t>
  </si>
  <si>
    <t>Ottima</t>
  </si>
  <si>
    <t>philips respironics</t>
  </si>
  <si>
    <t>11:23:37</t>
  </si>
  <si>
    <t>Scarso controllo sintomatologico, residua sonnolenza e sintomatologia osas.</t>
  </si>
  <si>
    <t>Nuova polisonnografia in corso di cpap. Utilizzo filtri antibatterici.</t>
  </si>
  <si>
    <t>INSERRA VINCENZA</t>
  </si>
  <si>
    <t>Richiamo da philips Respironics</t>
  </si>
  <si>
    <t>Philips Respironics</t>
  </si>
  <si>
    <t>Cardioaspirina, Atorvastatina, Brintellix, Lansoprazolo</t>
  </si>
  <si>
    <t>Si Talvolta.</t>
  </si>
  <si>
    <t>Circa 3/4 volte a notte</t>
  </si>
  <si>
    <t>Si, inizio di demenza senile.</t>
  </si>
  <si>
    <t>Depressione, Iperlipidemia, Obesità.</t>
  </si>
  <si>
    <t>Paziente vigile orientata collaborante, eupnoica a riposo e all'eloquio.</t>
  </si>
  <si>
    <t>MV presente in assenza di rumori patologici aggiunti.</t>
  </si>
  <si>
    <t>Scarsa</t>
  </si>
  <si>
    <t>CPAP</t>
  </si>
  <si>
    <t>54,6</t>
  </si>
  <si>
    <t>5:08:11</t>
  </si>
  <si>
    <t>Scarso utilizzo della CPAP in possesso, unito a forte sonnolenza in diversi momenti della giornata.</t>
  </si>
  <si>
    <t>Utilizzo almeno dell'80% dei giorni della CPAP in possesso, attualmente si registra solo il 54% dei giorni. Utilizzarla, in attesa di ulteriori comunicazioni, con filtro antibatterico.</t>
  </si>
  <si>
    <t>ASSERETO ERMINIA</t>
  </si>
  <si>
    <t>SSRRMN46L51D969F</t>
  </si>
  <si>
    <t>3332595461</t>
  </si>
  <si>
    <t>Richiamo Philips</t>
  </si>
  <si>
    <t>Pradaxa, Lacipirina, Paroxetina, Depalgos</t>
  </si>
  <si>
    <t>si 2 volte a notte</t>
  </si>
  <si>
    <t>Depressione maggiore, FA, neuropatia.</t>
  </si>
  <si>
    <t>vigile orientata collaborante eupnoica a riposo e all'eloquio</t>
  </si>
  <si>
    <t>MV normotrasmesso in assenza di rumori patologici aggiunti.</t>
  </si>
  <si>
    <t>Negli ultimi giorni non ha utilizzato la CPAP a causa di un trauma a livello del setto nasale, pertanto riferisce la presenza di sintomatologia specifica.</t>
  </si>
  <si>
    <t>6:9:34</t>
  </si>
  <si>
    <t>Buon controllo della sintomatologia quando viene utilizzata la CPAP</t>
  </si>
  <si>
    <t>Utilizzo di filtri antibatterici e riprendere ad utilizzare la CPAP.</t>
  </si>
  <si>
    <t>Politi Giuseppina</t>
  </si>
  <si>
    <t>PLTGPP55E66I102J</t>
  </si>
  <si>
    <t>010217238</t>
  </si>
  <si>
    <t>Controllo CPAP</t>
  </si>
  <si>
    <t>CPAP P 10 cmH2O</t>
  </si>
  <si>
    <t>Mirapexin, Plaunac, antiaritmico, statine</t>
  </si>
  <si>
    <t>saltuaria rinorrea</t>
  </si>
  <si>
    <t>marcata</t>
  </si>
  <si>
    <t>Riferita allergia a nickel, ipertensione arteriosa.</t>
  </si>
  <si>
    <t>vigile, orientata, collaborante, eupnoica a riposo</t>
  </si>
  <si>
    <t>ottima, seppur riferita scarsissima tolleranza</t>
  </si>
  <si>
    <t>8 ore e 56 minuti</t>
  </si>
  <si>
    <t>ottima compliance alla ventiloterapia notturna, permane significativa sonnolenza diurna</t>
  </si>
  <si>
    <t>Valutare col Curante terapia gastroprotettiva_x000D_
Proseguire ventiloterapia con CPAP</t>
  </si>
  <si>
    <t>Bozzo Antonella</t>
  </si>
  <si>
    <t>BZZNNL74S45D969L</t>
  </si>
  <si>
    <t>3397235114</t>
  </si>
  <si>
    <t>cpap 9cmH2O</t>
  </si>
  <si>
    <t>Pantorc , DiBase, SideralForte Entact, Compendium , Slowmet, cardioasa</t>
  </si>
  <si>
    <t>Si circa 1 volta</t>
  </si>
  <si>
    <t>Ipertensione arteriosa, diabete mellito.</t>
  </si>
  <si>
    <t>Vigile orientata aupnoica a riposo e all'eloquio.</t>
  </si>
  <si>
    <t>MV ridotto globalmente in assenza di rumri patologici aggiunti.</t>
  </si>
  <si>
    <t>Assente</t>
  </si>
  <si>
    <t>1:34:19</t>
  </si>
  <si>
    <t>Sintomatologia compatibile con OSAS in assenza di sufficiente terapia con CPAP</t>
  </si>
  <si>
    <t>In ragione dei fattori di rischio si consiglia di proseguire l'utilizzo della CPAP notturna con supporto di filtri antibatterici. Si consiglia calo ponderale.</t>
  </si>
  <si>
    <t>Carta Angelo</t>
  </si>
  <si>
    <t>CRTNGL66L04D969E</t>
  </si>
  <si>
    <t>3770225584</t>
  </si>
  <si>
    <t>controllo in paziente con CPaP</t>
  </si>
  <si>
    <t>nostro ambulatorip</t>
  </si>
  <si>
    <t>CPaP a pressione 11 cm H2O</t>
  </si>
  <si>
    <t>ex covid dicembre 2020</t>
  </si>
  <si>
    <t>BPCO,interapia anuric, bisoprololo, furosemide, pantoprazolo, luvion, calcitriolo, ezetimibe, torvastatinba</t>
  </si>
  <si>
    <t>tre by pass cardiaci, ex fumatore</t>
  </si>
  <si>
    <t>riferisce di averne fatto sempre uso corretto del dispositivo</t>
  </si>
  <si>
    <t>privo di schedina</t>
  </si>
  <si>
    <t>Paziente aderente al trattamento, lamenta sonnolenza ( incrementata dopo il COVID19)</t>
  </si>
  <si>
    <t>Paziente affetto OSAS grave pluripatologie. Come da raccomdazioni ministeriale appare utile con la prosecuzione della terapia in atto sino a riparazione/sostituzione del presidio in uso.</t>
  </si>
  <si>
    <t>Pagliughi Oriana</t>
  </si>
  <si>
    <t>PGLRNO70P55D969X</t>
  </si>
  <si>
    <t>3389584178</t>
  </si>
  <si>
    <t>Controllo</t>
  </si>
  <si>
    <t>Philips</t>
  </si>
  <si>
    <t>Montelukast, Flutiformo, Lyrica, tegretol, Entact, Leorosal, EN, Pantoprazolo, Gaviscon</t>
  </si>
  <si>
    <t>Sclerosi multipla</t>
  </si>
  <si>
    <t>Vigile orientata eupnoica a riposo e all'eloquio.</t>
  </si>
  <si>
    <t>Al torace mv normotrasmesso, presenza di gemiti bilaterali a livello dei campi medi principalmente.</t>
  </si>
  <si>
    <t>Molto bassa</t>
  </si>
  <si>
    <t>6:41:58 (quando utilizzata)</t>
  </si>
  <si>
    <t>Assente il controllo della sintomatologia legata alle apnee notturne, sonnolenza residua presente, probabilmente condizionata anche dalla terapia farmacologica in atto. Per quello che riguarda l'asma bronchiale scarsa compliance con inalatore spray.</t>
  </si>
  <si>
    <t>Necessario utilizzo di CPAP notturna, anche in riferimento ai fattori di rischio presenti. Per l'asma sospendere Flutiformo ed iniziare Foster.</t>
  </si>
  <si>
    <t>Aleo Giuseppe</t>
  </si>
  <si>
    <t>LAEGPP50H21L331M</t>
  </si>
  <si>
    <t>3479108899</t>
  </si>
  <si>
    <t>CPAP P 9,5 cmH2O</t>
  </si>
  <si>
    <t>IC palatoplastica, settoplastica circa 15 anni fa. _x000D_
Recente visita ORL (05/2021) che non poneva indicazione chirurgica.</t>
  </si>
  <si>
    <t>Silodics</t>
  </si>
  <si>
    <t>OSAS (AHI 04/2021 basale 46)</t>
  </si>
  <si>
    <t>ipertrofia prostatica benigna</t>
  </si>
  <si>
    <t>MV presente, assenza di rumori patologici aggiunti</t>
  </si>
  <si>
    <t>75,9</t>
  </si>
  <si>
    <t>4 ore e 45 minuti</t>
  </si>
  <si>
    <t>buona aderenza alla ventiloterapia notturna</t>
  </si>
  <si>
    <t>Proseguire ventiloterapia nottruna con CPAP. Scarsa tolleranza maschera F&amp;P simplus Tg M. Si programma visita per eventuale cambio maschera.</t>
  </si>
  <si>
    <t>TIANA GIOVANNA GAVINA</t>
  </si>
  <si>
    <t>TNIGNN49P63D969O</t>
  </si>
  <si>
    <t>3284147484</t>
  </si>
  <si>
    <t>tonsillectomia in età infantile</t>
  </si>
  <si>
    <t>Furosemide, Bisoprololo, Ramipril, Lanoxin, Eliquis, Rosumibe, Eutirox, Lansox, Lansoprazolo, Daparox, Dibase, Alprazig, Cebion</t>
  </si>
  <si>
    <t>rinorrea acquosa</t>
  </si>
  <si>
    <t>presente, peggiorata a seguito di infezione da Sars-Cov-2</t>
  </si>
  <si>
    <t>aprile 2021 ricovero per polmonite bilaterale da Sars-CoV-2, cardiopatia dilatativa, angioplastica. Ex fumatrice (30 sigarette/die per circa 20 stop 40 anni)_x000D_
PFR 05/16: FVC 116% (2,73L), FEV1 111% (2,17L), IT 79. TLC 96% (4,40L), RVv 87% (1,65), DLCO 82</t>
  </si>
  <si>
    <t>vigile, orientata, eupnoica a riposo</t>
  </si>
  <si>
    <t>ottima</t>
  </si>
  <si>
    <t>7 ore e 16 minuti</t>
  </si>
  <si>
    <t>buona compliance alla ventiloterapia con CPAP, marcata astenia, peggiorata a seguito di infezione da Sars-CoV-2.</t>
  </si>
  <si>
    <t>Si programma controllo con CPAP Autoregolante.</t>
  </si>
  <si>
    <t>Perone Anna Maria</t>
  </si>
  <si>
    <t>PRNNMR53P48L259Q</t>
  </si>
  <si>
    <t>3403192079</t>
  </si>
  <si>
    <t>Visita di controllo</t>
  </si>
  <si>
    <t>CPAP P 9 cmH2O</t>
  </si>
  <si>
    <t>brusonex 50 mcg ,incruse 55 ,normix 200mg, debrum 150mg +4mg,carvedilolo 25mg,irbesartan ed idroclorotiazide 300mg /12,5mg, esomeprazolo 40mg, metfomrina, Augmetin per profilassi intervento odontoiatrico.</t>
  </si>
  <si>
    <t>Rinorrea e ostruzione nasale, in tp Brusonex</t>
  </si>
  <si>
    <t>ipertensione, MRGE, diverticolosi, non fumatrice.</t>
  </si>
  <si>
    <t>Vigile, collaborante, eupnoica a riposo</t>
  </si>
  <si>
    <t>MV lievemente ridotto in toto, assenza di rumori patologici aggiunti. FCV valida e ritmica, presenza di rare extrasistoli.</t>
  </si>
  <si>
    <t>94,9</t>
  </si>
  <si>
    <t>5 ore e 36 minuti</t>
  </si>
  <si>
    <t>Ottima compliance</t>
  </si>
  <si>
    <t>Proseguire ventiloterapia con CPAP_x000D_
Proseguire terapia inatoria con Incruse</t>
  </si>
  <si>
    <t>DA Rin Della Mora ROBERTA</t>
  </si>
  <si>
    <t>Controllo a 3 mesi.</t>
  </si>
  <si>
    <t>Nostro centro</t>
  </si>
  <si>
    <t>Coverlan</t>
  </si>
  <si>
    <t>da un paio di mesi 1/2 volte per notte.</t>
  </si>
  <si>
    <t>Ipertensione arteriosa.</t>
  </si>
  <si>
    <t>Vigile orientata collaborante eupnoica a riposo e all'eloquio.</t>
  </si>
  <si>
    <t>100%</t>
  </si>
  <si>
    <t>7:01</t>
  </si>
  <si>
    <t>Una volta iniziato il trattamento con CPAP riferito estremo beneficio che lentamente nel corso dei mesi si è andato a limitare fino alla ricomparsa della sintomatologia specifica. Data l'evidenza di apnee centrali al monitoraggio cardiorespiratorio nottur</t>
  </si>
  <si>
    <t>Polisonnogramma con EEG.</t>
  </si>
  <si>
    <t>Orsi Franco Antonio</t>
  </si>
  <si>
    <t>RSOFNC53P23D969N</t>
  </si>
  <si>
    <t>3482722074</t>
  </si>
  <si>
    <t>CPAP 6 cmH2O</t>
  </si>
  <si>
    <t>Triatec, libradin, Torvast, Rytmbeta, Coumadin.</t>
  </si>
  <si>
    <t>OSAS _x000D_
MCR 01,2020: AHI 29,3, ODI 31,9, sat media 94, t90à55</t>
  </si>
  <si>
    <t>rari, scolo retronasale</t>
  </si>
  <si>
    <t>Ipertensione arteriosa, 1999 primo episodio flutter atirale, 2002 recidiva flutter atrialer, 2014 IMA a coronarie indenni, da allora FA in tp con TAO. Pregressa infezione da Sars-CoV-2.</t>
  </si>
  <si>
    <t>scarsa compliance</t>
  </si>
  <si>
    <t>15,1</t>
  </si>
  <si>
    <t>2 ore e 49 minuti</t>
  </si>
  <si>
    <t>scarsa compliance alla ventiloterapia con CPAP AHI medio 32,9.</t>
  </si>
  <si>
    <t>Si raccomanda massima adenrenza ventiloterapia con CPAP.</t>
  </si>
  <si>
    <t>Visita di controllo CPAP</t>
  </si>
  <si>
    <t>CPAP Auto- PA media 9,6 cmH2O , PA di picco 12,0 cm H20</t>
  </si>
  <si>
    <t>Cumadren, Isoptin,Lansoprazolo</t>
  </si>
  <si>
    <t>Riferisce diversi risvegli durante la notte circa 4 a notte.</t>
  </si>
  <si>
    <t>Oculorinite stagionale</t>
  </si>
  <si>
    <t>Si. In trattamento con Ppi</t>
  </si>
  <si>
    <t>Circa 3 volte a notte.</t>
  </si>
  <si>
    <t>Riferisce stanchezza diurna.</t>
  </si>
  <si>
    <t>Difficoltà a concentrarsi. E difficoltà a ricordare cose a breve termine.</t>
  </si>
  <si>
    <t>Emicrania notturna.</t>
  </si>
  <si>
    <t>Riferisce sensazione di soffocamento durante l'utilizzo della CPAP. Riferisce sintomatologia vertiginosa da quando ha riniziato ad usare CPAP. Eseguita visita Otorinolaringoiatrica e Neurologica risultata negativa.</t>
  </si>
  <si>
    <t>Attività cardiaca valida, ritmica con pause apparentemente libere da soffi.</t>
  </si>
  <si>
    <t>Al torace MV presente, No rumori patologici aggiunti.</t>
  </si>
  <si>
    <t>CPAP sospesa per un mese a casusa di edema frontale.</t>
  </si>
  <si>
    <t>Scheda dati CPAP dal 16/10/2021 al 03711/2021</t>
  </si>
  <si>
    <t>Giorni di utilizzo &gt;4 h : 66.7%_x000D_
Giorni utilizzo totali 94%.</t>
  </si>
  <si>
    <t>Utilizzo medio: 5 ore e 16 minuti.</t>
  </si>
  <si>
    <t>Riferisce sonnolenza diurna.</t>
  </si>
  <si>
    <t>Discreta compliance all'utilizzo della CPAP. Buon controllo delle apnee AHI stimate dal device 7.2 eventi ora. Permane forte sonnolenza diurna Epworth 15 .</t>
  </si>
  <si>
    <t>Si consiglia visita neurofisiologica per valutare disturbi del sonno.</t>
  </si>
  <si>
    <t>Ferrari Carlo</t>
  </si>
  <si>
    <t>31388306</t>
  </si>
  <si>
    <t>Rinnovo Patente- Paziente OSAS in CPAP notturna.</t>
  </si>
  <si>
    <t>CPAP PA 8cmH2O</t>
  </si>
  <si>
    <t>Lortan, Norvasc.</t>
  </si>
  <si>
    <t>Ex fumatore 40 p/y</t>
  </si>
  <si>
    <t>Attività cardiaca valida, ritmica , con pause apparentemente libere da soffi</t>
  </si>
  <si>
    <t>Al torace MV presente in assenza di rumori patologici aggiunti.</t>
  </si>
  <si>
    <t>Buon compliance all'utilizzo CPAP. Non disponibile Scheda dati del periodo precedente. Dal rapporto portato in visione del tecnico VitalAire : ore di utilizzo dall'ultima revisione 1231</t>
  </si>
  <si>
    <t>Scheda dati CPAP dal 15/10/2021 al 07/11/2021.</t>
  </si>
  <si>
    <t>giorni di utilizzo totali: 95,8%, giorni di utilizzo &gt; 4 h : 95,7.</t>
  </si>
  <si>
    <t>Durata media: 5:43 ore.</t>
  </si>
  <si>
    <t>Riferisce sonnolenza diurna pomeridiana. Epworth 12</t>
  </si>
  <si>
    <t>Buon compenso delle apnee ostruttive del sonno (AHI stimate 1,4) . Buona aderenza alla terapia nel periodo registrato dalla scheda dati. Permane sonnolenza diurna-Epworth 12.</t>
  </si>
  <si>
    <t>Proseguire terapia con CPAP notturna.</t>
  </si>
  <si>
    <t>Valega Alzamora</t>
  </si>
  <si>
    <t>VLGRSI66M52Z611H</t>
  </si>
  <si>
    <t>3484935120</t>
  </si>
  <si>
    <t>Controllo CPAP notturna</t>
  </si>
  <si>
    <t>Ortopedia</t>
  </si>
  <si>
    <t>Cpap pressione fissa 10cmH20</t>
  </si>
  <si>
    <t>Lansoprazolo, Letrozolo, tachidol, metformina, Totalip.</t>
  </si>
  <si>
    <t>Si, trattato con ppi</t>
  </si>
  <si>
    <t>Circa 1 volta per notte</t>
  </si>
  <si>
    <t>K mammario in terapia os.</t>
  </si>
  <si>
    <t>5:33</t>
  </si>
  <si>
    <t>Si, verosimilmente inficiato da terapia medica</t>
  </si>
  <si>
    <t>Ottimo utilizzo di CPAP, residua sonnolenza diurna anomala.</t>
  </si>
  <si>
    <t>Si consiglia polisonnogramma notturno in corso di cpap.</t>
  </si>
  <si>
    <t>Cioffi Maria</t>
  </si>
  <si>
    <t>CFFMRA46R53E791E</t>
  </si>
  <si>
    <t>3479368128</t>
  </si>
  <si>
    <t>Dott.ssa Ghinatti</t>
  </si>
  <si>
    <t>Cpap pressione fissa 7cmH2O</t>
  </si>
  <si>
    <t>Lixiana, igroton, depalgos, deltacortene, sertralina, giant, pantorc, sideral forte, rovigon, multicentrum, cacit, rolufta, dibase, prolia.</t>
  </si>
  <si>
    <t>talvolta, con presenza di verosimile asma cardiaco che tende a scomparire assumento l'ortostatismo</t>
  </si>
  <si>
    <t>Anche 5 volte ogni notte, assume terapia diuretica in cornico, attualmente sta assumendo anche lasix a giorni alterni.</t>
  </si>
  <si>
    <t>Si, la cefalea è attualmente un disturbo presente non esclusivamente la mattina ma si presenza anche durante l'arco della giornata e durante la notte. Viene descritta a carattere cefalo tensivo.</t>
  </si>
  <si>
    <t>Poliartrite ndd, coxartrosi bilaterale, pregressa EP, ipt arteriosa, portatrice di pmk.</t>
  </si>
  <si>
    <t>Paziente vigile orientata collaborante eupnoica a riposo e all'eloquio._x000D_
Paziente tachipnoica dopo la visita.</t>
  </si>
  <si>
    <t>mv normotrasmesso in assenza di rumori patologici aggiunti.</t>
  </si>
  <si>
    <t>7:43</t>
  </si>
  <si>
    <t>Ottimo utilizzo di CPAP, residua sonnolenza.</t>
  </si>
  <si>
    <t>Effettuare nuova PSG in corso di CPAP, effettuare Spirometria Basale con tecnica pletismografica e DLCO, alla visita pneumologica verrà poi effettuato, se necessario, controllo emogasanalitico.</t>
  </si>
  <si>
    <t>Cesarino Bontà</t>
  </si>
  <si>
    <t>BNTCRN53B06B429K</t>
  </si>
  <si>
    <t>3298117056</t>
  </si>
  <si>
    <t>Visita di controllo Osas.</t>
  </si>
  <si>
    <t>Neurologo.</t>
  </si>
  <si>
    <t>CPAP a PA 10 cmH2O</t>
  </si>
  <si>
    <t>Metformina,Neuleptil,Zyloric, simvastatina</t>
  </si>
  <si>
    <t>Ex fumatore 30 p/y.</t>
  </si>
  <si>
    <t>Riferisce dispnea da sforzo nel fare le scale.</t>
  </si>
  <si>
    <t>Riferisce astenia durante la giornata negli ultimi mesi.</t>
  </si>
  <si>
    <t>Forte difficoltà a concentrarsi e a ricordarsi le cose a breve termine.</t>
  </si>
  <si>
    <t>Emorragia frontale nel 2010 seguito da Neurolo (Dr Leonardi.)</t>
  </si>
  <si>
    <t>Attività cardiaca valida, ritmica , normofrequente con pause apparentemente libere da soffi</t>
  </si>
  <si>
    <t>Buona compliance alla CPAP notturna.</t>
  </si>
  <si>
    <t>Scheda dati CPAP.</t>
  </si>
  <si>
    <t>Giorni di utilizzo &gt; 4 h : 74%</t>
  </si>
  <si>
    <t>Utilizzo giornaliero medio: 5 ore.</t>
  </si>
  <si>
    <t>Permane forte sonnolenza diurna nonostante la buona aderenza alla terapia con CPAP. Epworth 12</t>
  </si>
  <si>
    <t>Buon controllo degli eventi apnoici in corso di CPAP notturna , AHI stimate 0,7. Permane forte sonnolenza diurna.</t>
  </si>
  <si>
    <t>Si consiglia di proseguire terapia con CPAP e calo ponderale._x000D_
Inoltre si consiglia visita Neurologica in neurofisiopatologia.</t>
  </si>
  <si>
    <t>Cicconi Barbara</t>
  </si>
  <si>
    <t>CCCBBR68H60D969Y</t>
  </si>
  <si>
    <t>3468484101</t>
  </si>
  <si>
    <t>accertamenti  OSA</t>
  </si>
  <si>
    <t>trulicity 1.5mg.</t>
  </si>
  <si>
    <t>molto frequenti</t>
  </si>
  <si>
    <t>rinite cronica ipertrofica</t>
  </si>
  <si>
    <t>si, in trattamento con PPI</t>
  </si>
  <si>
    <t>5/6 volte a notte</t>
  </si>
  <si>
    <t>frequentemente</t>
  </si>
  <si>
    <t>disturbi della memoria a breve termine</t>
  </si>
  <si>
    <t>riferisce cefalea tutti i giorni</t>
  </si>
  <si>
    <t>attività cardiaca ritmica e valida, pause apparentemente libere da soffi.</t>
  </si>
  <si>
    <t>al torace, MV lievemente ridotto nei campi medi bilaterali. No rumori aggiunti.</t>
  </si>
  <si>
    <t>Paziente con importane sonnolenza diurna.</t>
  </si>
  <si>
    <t>Polisonnografia basale e calo ponderale.</t>
  </si>
  <si>
    <t>controllo in paziente OSAS</t>
  </si>
  <si>
    <t>nosto ambulatorio</t>
  </si>
  <si>
    <t>BiPAP (iPAP 13cm, EPAP 5CM h2o</t>
  </si>
  <si>
    <t>FUROSEMIDE, BISOPROLO, ALLOPURINOLO,  XOTERNA,CARDIOASA,</t>
  </si>
  <si>
    <t>1 volte a notte.</t>
  </si>
  <si>
    <t>astene in paziente di anni 90.</t>
  </si>
  <si>
    <t>importante deficit della memoria a breve termine</t>
  </si>
  <si>
    <t>K  prostata, ipoacusia bilaterale,  pilopectomia</t>
  </si>
  <si>
    <t>toni cardiaci parafonici.</t>
  </si>
  <si>
    <t>al torace, MV diffusamete ridotto con crepitii alla bas destra.</t>
  </si>
  <si>
    <t>non valutabile per sostituzione della macchina</t>
  </si>
  <si>
    <t>molto frequente</t>
  </si>
  <si>
    <t>prosegure con la ventiloterapia in  corso.</t>
  </si>
  <si>
    <t>Ferretto Vilma</t>
  </si>
  <si>
    <t>FRRVLM46M71D969K</t>
  </si>
  <si>
    <t>3475269265</t>
  </si>
  <si>
    <t>controlli priodici</t>
  </si>
  <si>
    <t>CPAP (7cm H2O)</t>
  </si>
  <si>
    <t>lyrica, contramal, paroxetina, cardioaspirina, tachipirina, Aerosol con clenil, breva .</t>
  </si>
  <si>
    <t>deficit della memoria a dreve termine</t>
  </si>
  <si>
    <t>ansioso-depressiva, artralgie in artrosi polidistrettuale seguita c/o terapia del dolore, IC per colesteatoma.</t>
  </si>
  <si>
    <t>attività cardiaca valida e ritmica</t>
  </si>
  <si>
    <t>MV presente , non si evidenziano rumori aggiunti</t>
  </si>
  <si>
    <t>Scheda dati CPAP</t>
  </si>
  <si>
    <t>5</t>
  </si>
  <si>
    <t>prosegure con la ventiloterapia in atto.</t>
  </si>
  <si>
    <t>Debbia Silvana</t>
  </si>
  <si>
    <t>controllo periodico</t>
  </si>
  <si>
    <t>nostro ambulatorio.</t>
  </si>
  <si>
    <t>CPAP (8,5cm H2O)</t>
  </si>
  <si>
    <t>irbesartan, utorin, lacidipina sulfatan</t>
  </si>
  <si>
    <t>1/2 a notte</t>
  </si>
  <si>
    <t>deficit della memoria a breve termine. In cura al centro geriatrico pad5</t>
  </si>
  <si>
    <t>ipertensione arteriosa, scogliosi. DM2 , glaucoma. Ipercolersertolemia</t>
  </si>
  <si>
    <t>attività cardiaca valida e ritmica.</t>
  </si>
  <si>
    <t>MV presente, non si evidenziano rumori patologici</t>
  </si>
  <si>
    <t>scheda dati CPAP</t>
  </si>
  <si>
    <t>11:14</t>
  </si>
  <si>
    <t>importante sonnolenza diurna</t>
  </si>
  <si>
    <t>prosegure con la ventiloterapia in corso.</t>
  </si>
  <si>
    <t>Messina Vincenza</t>
  </si>
  <si>
    <t>MSSVCN62H63H228L</t>
  </si>
  <si>
    <t>3478134835</t>
  </si>
  <si>
    <t>visita di controllo per OSAS</t>
  </si>
  <si>
    <t>CPAP a 9 cmH20</t>
  </si>
  <si>
    <t>Paroxetina, Lamotrigina, trazodone, Flurazepam, Pantoprazolo, Rosuvastatina, Cardioasa, Dibase ,Coverlam, Lattulosio ,Alprazolam</t>
  </si>
  <si>
    <t>Ex forte fumatrice ,  TC torace eseguita a gennaio 2021: ispessimenti pleurici apicoparietali bilaterali associati a microbolle aeree subpleuriche a filiare al lobo medio.</t>
  </si>
  <si>
    <t>Astenia persistente</t>
  </si>
  <si>
    <t>Riferisce difficoltà a concentrarsi e a ricordare eventi a breve termine.</t>
  </si>
  <si>
    <t>Riferisce episodi di emicrania di nuova insorgenza</t>
  </si>
  <si>
    <t>Disturbo affettivo bipolare, Encefalopatia vascolare ischemica cronica, Cardiopatia ipertensiva, Dislipidemia mista._x000D_
Porta in visione spirometria semplice risultata nella norma.</t>
  </si>
  <si>
    <t>Eupnoica a riposo, Attività cardiaca valida ritmica con pause apparentemnete libere sa soffi._x000D_
No edemi declivi</t>
  </si>
  <si>
    <t>Al torace FVT normotrasmesso , MV presente , in assenza di rumori patologici aggiunti.</t>
  </si>
  <si>
    <t>62 giorni di utilizzo su 90</t>
  </si>
  <si>
    <t>utilizzo medio 5:50 ore</t>
  </si>
  <si>
    <t>Riferisce fortissima sonnolenza diurna, tale da non riuscire alcune sera a mettere in tempo la CPAP.</t>
  </si>
  <si>
    <t>Buon controllo degli eventi apnoici in corso di CPAP notturna. (Ahi stimate 0,8) Difficoltà all'aderenza alla terapia per la forte sonnolenza diurna.</t>
  </si>
  <si>
    <t>Proseguire CPAP notturna con i parametri impostati e di eseguire visita specialista da neurofisiopatologo disturbi del sonno</t>
  </si>
  <si>
    <t>Visita di controllo OSAS</t>
  </si>
  <si>
    <t>Medico curante.</t>
  </si>
  <si>
    <t>CPAP PA 13 cmH2O</t>
  </si>
  <si>
    <t>Cardioaspirina , atorvastatina, Brintellix ,Pantoprazolo 40mg, neuraben, Quetiapina, Donepezil.</t>
  </si>
  <si>
    <t>OSAS, ex fumatrice 15p/y, sospeso da 30anni</t>
  </si>
  <si>
    <t>riferisce recente episodio ri risveglio notturno per affanno.</t>
  </si>
  <si>
    <t>Riferisce saltuaria tosse secca e bruciore retrosternale.</t>
  </si>
  <si>
    <t>riferisce moderata astenia</t>
  </si>
  <si>
    <t>Visita neurologica recente con riscontro di malattia di Alzheimer di grado lieve</t>
  </si>
  <si>
    <t>Eunoica a riposo, attività cardiaca valida , ritmica con pause apparentemente libere da soffi</t>
  </si>
  <si>
    <t>Al torace MV presente, FVT normotrasmesso in assenza di rumori patologici aggiunti</t>
  </si>
  <si>
    <t>scheda dati cpap</t>
  </si>
  <si>
    <t>82%</t>
  </si>
  <si>
    <t>utilizzo medio 7:46 ore</t>
  </si>
  <si>
    <t>Permane forte sonnolenza diurna</t>
  </si>
  <si>
    <t>buona aderenza alla terapia domiciliare con CPAP notturna, permane forte sonnolenza diurna.</t>
  </si>
  <si>
    <t>Proseguire terapia con CPAP con i parametri impostati, si consiglia calo ponderale</t>
  </si>
  <si>
    <t>Carcione Antonino</t>
  </si>
  <si>
    <t>CRCNNN70T24F158O</t>
  </si>
  <si>
    <t>3711809976</t>
  </si>
  <si>
    <t>Zirtec, Dicloftil,Inderal,Ketoprofene,Lunibron,Breva aerosol.</t>
  </si>
  <si>
    <t>OSAS.</t>
  </si>
  <si>
    <t>frequenti risvegli notturni per affanno</t>
  </si>
  <si>
    <t>6 volte per notte</t>
  </si>
  <si>
    <t>Forte difficoltà a concentrarsi.</t>
  </si>
  <si>
    <t>Frequente cefalea al risveglio</t>
  </si>
  <si>
    <t>Eupnoico a riposo. Attività cardiaca valida ritmica con pause apparentemente libere da soffi</t>
  </si>
  <si>
    <t>Al torace MV presente in assenza di rumori patologici aggiunti. No segni di broncostenosi.</t>
  </si>
  <si>
    <t>Riferisce forte sonnolenza diurna</t>
  </si>
  <si>
    <t>Paziente con OSAS di grado severo(AHI 49,7) e oculorinite allergica. Riferisce peggioramento della sintomatologia e forte sonnolenza diurna. Riferisce inoltre occasionali fischi e sibili espiratori e senso di costrizione al torace riconducibile a probabil</t>
  </si>
  <si>
    <t>Eseguire adattamento a CPAP.</t>
  </si>
  <si>
    <t>Azzolini Flavio</t>
  </si>
  <si>
    <t>ZZLFLV64A27D969Q</t>
  </si>
  <si>
    <t>3348560944</t>
  </si>
  <si>
    <t>Ambulatorio Neurofisiopatologia.</t>
  </si>
  <si>
    <t>Intervento ai turbinati nasali a Novembre 2020</t>
  </si>
  <si>
    <t>Cipralex, Nicetile, Levopraid.</t>
  </si>
  <si>
    <t>4-5 volte a notte.</t>
  </si>
  <si>
    <t>Moderata difficoltà a concentrarsi.</t>
  </si>
  <si>
    <t>Eupnoico a riposo. Al torace MV presente in assenza di rumori patologici aggiunti. Attività cardiaca valida ritmica con pause apparentemente libere da soffi.</t>
  </si>
  <si>
    <t>Lamenta forte sonnolenza diurna.</t>
  </si>
  <si>
    <t>Paziente con OSAs di grado moderato. Eseguita polisonnografia basale in data 13.12.2021 (AHI 25,1).  Indice AHI supino:non supino 7,34:1.</t>
  </si>
  <si>
    <t>Alla luce del quadro di apnee ostruttive del sonno di natura posizionale si consiglia di eseguire terapia posizionale per OSA.</t>
  </si>
  <si>
    <t>Carnevali Maria Giovanna</t>
  </si>
  <si>
    <t>CRNMGV41E59D969E</t>
  </si>
  <si>
    <t>3358367537</t>
  </si>
  <si>
    <t>visita controllo OSAS</t>
  </si>
  <si>
    <t>CPAP PA 10 CmH2O</t>
  </si>
  <si>
    <t>Revinty , Xarelto, Cymbalta,Lorazepam.</t>
  </si>
  <si>
    <t>OSAS, riferisce patologia ostruttiva</t>
  </si>
  <si>
    <t>Fibrillazione atriale,microcitemia, blefarite, mastectomia radicale bilaterale, colecistectomia, artroprotesi ginocchio bilaterale, artoprotesi femore bilaterale</t>
  </si>
  <si>
    <t>Eupnoica a riposo. Attività cardiaca aritmica per nota FA, pause apparentemente libere da soffi.</t>
  </si>
  <si>
    <t>96,2</t>
  </si>
  <si>
    <t>utilizzo medio 5:15</t>
  </si>
  <si>
    <t>riferisce forte sonnolenza diurna.</t>
  </si>
  <si>
    <t>Buona compliance alla CPAP notturna. Permane forte sonnolenza diurna.</t>
  </si>
  <si>
    <t>Proseguire terapia con CPAP ai parametri impostati.</t>
  </si>
  <si>
    <t>3400566419</t>
  </si>
  <si>
    <t>controllo in CPAP a pressione fissa 10 cmH2O. La pz riferisce di non tollerare la CPAP da circa un anno, non eseguiti controlli da circa due anni.</t>
  </si>
  <si>
    <t>CPAP a pressione fissa</t>
  </si>
  <si>
    <t>Plaunac, Congescor, aspirina, inegy, Pramipexolo, pantoprazolo.</t>
  </si>
  <si>
    <t>Scheda dati</t>
  </si>
  <si>
    <t>8 ore e 50 minuti</t>
  </si>
  <si>
    <t>elevata</t>
  </si>
  <si>
    <t>TALOTTA CATERINA</t>
  </si>
  <si>
    <t>TLTCRN40E61C747W</t>
  </si>
  <si>
    <t>3478041768 (figlia)</t>
  </si>
  <si>
    <t>Omeprazen, maalox e antidolorifici</t>
  </si>
  <si>
    <t>Presente</t>
  </si>
  <si>
    <t>sì, in terapia medica</t>
  </si>
  <si>
    <t>1 volta/notte</t>
  </si>
  <si>
    <t>sì, deficit memoria a breve termine</t>
  </si>
  <si>
    <t>pregressa TBC nel 1970, isterectomia, ipercolesterolemia, osteoporosi, sindrome depressiva, ulcera gastrica</t>
  </si>
  <si>
    <t>Paziente eupnoica a riposo e all'eloquio</t>
  </si>
  <si>
    <t>MV presente con lievissime crepitazioni all'emitorace dx. ACV ritmico, lievemente tachicardica.</t>
  </si>
  <si>
    <t>ottimale</t>
  </si>
  <si>
    <t>scheda dati</t>
  </si>
  <si>
    <t>93.3</t>
  </si>
  <si>
    <t>07:37:00</t>
  </si>
  <si>
    <t>notevole</t>
  </si>
  <si>
    <t>Utilizzo corretto della ventiloterapia, ma residua sonnolenza diurna</t>
  </si>
  <si>
    <t>di eseguire monitoraggio cardiorespiratorio notturno in corso di CPAP</t>
  </si>
  <si>
    <t>controllo CPAP</t>
  </si>
  <si>
    <t>CPAP  a pressione</t>
  </si>
  <si>
    <t>cardioaspirina Lasix 1/2 cp da 25 mg al mattino, Eutirox, Goltor, Duloxetina, Metformina, Repaglinide, Gastroloc, Duoresp 160/4,5 1 inalazione mattina e sera, Kalanit, Bowell, Rifacol, Pentacol, Xanax 15gtt, Viscoblast.</t>
  </si>
  <si>
    <t>scolo nasale</t>
  </si>
  <si>
    <t>Presente, in terapia</t>
  </si>
  <si>
    <t>deficit memoria</t>
  </si>
  <si>
    <t>Occasionalmente, ridotta rispetto all'anno precedente</t>
  </si>
  <si>
    <t>chirurgia ginocchio sn, DM , Ipotiroidismo,Diverticolosi, atrofia corda vocale sn, MRGE, numerosi episodi di TIA,</t>
  </si>
  <si>
    <t>MV presente, lievi crepitii alla base sinistra. ACV ritmico.</t>
  </si>
  <si>
    <t>Continuazione della ventiloterapia alla pressione indicata.</t>
  </si>
  <si>
    <t>Continuare con ventiloterapia alla pressione prestabilita</t>
  </si>
  <si>
    <t>PASSARELLO GASPARE</t>
  </si>
  <si>
    <t>PSSGPR62A10G273A</t>
  </si>
  <si>
    <t>3285548869</t>
  </si>
  <si>
    <t>Diagnosi di OSAS circa 1 anno fa, con prescriozione di ventiloterapia con BiPAP</t>
  </si>
  <si>
    <t>In attesa di iniziare ventiloterapia con BiPAP (IPAP 16 cmH20 ed EPAP 10 cmH2O)</t>
  </si>
  <si>
    <t>Depakin, metformina, pantoprazolo, olmesartan, Pregabalin</t>
  </si>
  <si>
    <t>disturbo depressivo, Ricorrente, in disturbo di personalità NAS, lacerazione antro gastrico.</t>
  </si>
  <si>
    <t>MV lievemente ridotto in toto, in assenza di rumori patologici aggiunti. ACV ritmico.</t>
  </si>
  <si>
    <t>Inizio della ventiloterapia con BiPAP, e successivo monitoraggio cardiorespiratorio in corso di BiPAP (appuntamento per ritiro polisonnigrafo da concordare all'arrivo a domicilio della BiPAP al numero 0105558874)</t>
  </si>
  <si>
    <t>CORSANO FRANCESCA</t>
  </si>
  <si>
    <t>Fobuler, Sertralina, Duotens, Quetiapina, Mirtazapina, Lexotan al bisogno, indapamide, Dolutegravir/lamivudina, Pariet, Vit. D</t>
  </si>
  <si>
    <t>Riferisce sintomatologia rinitica frequente talvolta associata a bruciore oculare e starnutazioni. Riferisce fischi respiratori.</t>
  </si>
  <si>
    <t>lieve al mattino</t>
  </si>
  <si>
    <t>riferisce cefalea alla notte</t>
  </si>
  <si>
    <t>esofagite cronica, coliche renali nell'ultimo mese trattati con terapia medica con ematuria. RAF: claritromicina e eparina</t>
  </si>
  <si>
    <t>eupnoica a riposo e all'eloquio.</t>
  </si>
  <si>
    <t>MV presente in tutti i campi polmonari, in assenza di grossolani rumori patologici aggiunti. Toni cardiaci validi, ritmici, con pause apparentemente libere da soffi.</t>
  </si>
  <si>
    <t>84% e dopo sostituzione CPAP 90.9%</t>
  </si>
  <si>
    <t>6 ore e 59 min nel periodo dal 05/02/2022 al 08/04/2022, da 08/04/2022 utilizzo medio di 7 ore e 54 minuti</t>
  </si>
  <si>
    <t>moderata (in riduzione con l'utilizzo della CPAP)</t>
  </si>
  <si>
    <t>ottima aderenza alla ventiloterapia con correzione di apnee ed ipopnee (3.2-2.8)</t>
  </si>
  <si>
    <t>ZAMBRANO MEJIA MARIA UBALDINA</t>
  </si>
  <si>
    <t>ZMBMBL62M53Z605C</t>
  </si>
  <si>
    <t>3472819262</t>
  </si>
  <si>
    <t>CPAP a PA 6,5 cmH2O</t>
  </si>
  <si>
    <t>cardioaspirina, cholecomb, lyrica, lobivon,  Cardioaspirina, Esapent 1000 mg 3 cp/die, Folifill 5mg+Benexol a giorni alterni, Deursil 300 mg 2 cp/die, Dibase, Gastroloc 20 mg, Cymbalta,</t>
  </si>
  <si>
    <t>Pregressa broncopolmonite bilaterale e shock settico nel 2018. OSAS di grado moderato.</t>
  </si>
  <si>
    <t>lievi (paziente allergica)</t>
  </si>
  <si>
    <t>sì, in terapia PPI e gaviscon</t>
  </si>
  <si>
    <t>2 volte /notte (riduzione rispetto a prima di ventiloterapia)</t>
  </si>
  <si>
    <t>MV presente, in assenza di grossolani rumori patologici aggiunti. Toni cardiaci validi, ritmici, pause apparentemente libere da soffi. Lievi edemi declivi agli AAII.</t>
  </si>
  <si>
    <t>5 ore e 37 minuti</t>
  </si>
  <si>
    <t>Aderenza ottimale alla ventiloterapia, con correzione di apnee ed ipopnee del sonno (AHI 2.1)</t>
  </si>
  <si>
    <t>Prosecuzione della ventiloterapia con CPAP a PA 6.5 cmH2O. Visita in neurofisiopatologia alkla cortese attenzione del Dott. Arnaldi</t>
  </si>
  <si>
    <t>controllo ambulatoriale</t>
  </si>
  <si>
    <t>CPAP a PA 8 cmH2O</t>
  </si>
  <si>
    <t>tonsillectomia, adenectomia in età infantile</t>
  </si>
  <si>
    <t>lyrica, contramal, paroxetina, cardioaspirina, tachipirina, prazene, colecalciferolo,Tecnofer, Ferrograd, Aerosol con clenil, breva</t>
  </si>
  <si>
    <t>lieve deficit memoria a breve termine</t>
  </si>
  <si>
    <t>MV presente in assenza di rumori patologici aggiunti. Toni cardiaci validi. No edemi declivi AAII</t>
  </si>
  <si>
    <t>95% di utilizzo per più di 4 h</t>
  </si>
  <si>
    <t>9 ore circa</t>
  </si>
  <si>
    <t>Aderenza ottimale alla ventiloterapia con ottimale correzione di apnee/ipopnee (AHI 4,3)</t>
  </si>
  <si>
    <t>Calo ponderale e prosecuzione della ventiloterapia con CPAP a PA 8 cmH2O</t>
  </si>
  <si>
    <t>DE LEO GUIDO TEODORO</t>
  </si>
  <si>
    <t>DLEGTD57E14D969K</t>
  </si>
  <si>
    <t>3661585651</t>
  </si>
  <si>
    <t>CPAP a P 11,5 cmH2O, con maschera nasale</t>
  </si>
  <si>
    <t>sintomi oculorinitici allergici</t>
  </si>
  <si>
    <t>Mai fumatore, riferisce allergia a penicillina, pollini. Riferisce stomatiti a seguito di assunzione di lieviti, aglio, lattuga e altri alimenti</t>
  </si>
  <si>
    <t>MV lievemente ridotto in toto, in assenza di grossolani rumori patologici aggiunti. Toni cardiaci ritmici. Lievissimi edemi declivi AAII.</t>
  </si>
  <si>
    <t>5 ore e 54 minuti</t>
  </si>
  <si>
    <t>Ottima aderenza della ventiloterapia con CPAP, ma persistenza di sonnolenza diurna residua</t>
  </si>
  <si>
    <t>Si consiglia esecuzione di monitoraggio cardiorespiratorio con CPAP domiciliare a P 11,5 cmH2O in data</t>
  </si>
  <si>
    <t>MONTALDO GIOVANNI BATTISTA</t>
  </si>
  <si>
    <t>MNTGNN41D28D969R</t>
  </si>
  <si>
    <t>3479714613</t>
  </si>
  <si>
    <t>CPAP a P 9 cmH2O, con maschera nasale</t>
  </si>
  <si>
    <t>cardioaspirina, omnic 0.4</t>
  </si>
  <si>
    <t>scolo nasale e retronasale, lieve epistassi 1 volta/mese circa</t>
  </si>
  <si>
    <t>carcinoma spinocellulare insorto su cheratosi attinica della regione frontale (escissione completa),  melanoma pT1a del dorso, encefalopatia vascolare cronica, ipertrofia prostatica</t>
  </si>
  <si>
    <t>MV lievemente ridotto, in assenhza di grossolani rumori patologici aggiunti. Toni cardiaci ritmici. No edemi declivi AAII</t>
  </si>
  <si>
    <t>scheda dati (dal 18/04/2022-16/05/2022)</t>
  </si>
  <si>
    <t>69%</t>
  </si>
  <si>
    <t>6 ore e 13 min</t>
  </si>
  <si>
    <t>Aderenza dell'ultimo mese buona, riferisce aderenza non ottimale. Buon controllo della sonnolenza e del numero di apnee (AHI 0,7)</t>
  </si>
  <si>
    <t>calo ponderale e visita neurologica (Dott. A</t>
  </si>
  <si>
    <t>Housni Edwar</t>
  </si>
  <si>
    <t>HSNDWR65H16Z240D</t>
  </si>
  <si>
    <t>3937551638</t>
  </si>
  <si>
    <t>CPAP  a P fissa 14 cm H2O</t>
  </si>
  <si>
    <t>intervento di ugulopalatoplastica nel 2014</t>
  </si>
  <si>
    <t>si in trattamento con PPI a cicli e Gaviscon</t>
  </si>
  <si>
    <t>riferisce insonnia in trattamento con benzodiazepine che il paziente utilizza con beneficio. Riferisce di dormire con la bocca aperta.</t>
  </si>
  <si>
    <t>accettabile</t>
  </si>
  <si>
    <t>3:59</t>
  </si>
  <si>
    <t>non nella norma</t>
  </si>
  <si>
    <t>parzialmente efficace</t>
  </si>
  <si>
    <t>- Ecocolordoppler arterioso agli AAII_x000D_
- Ecocolordopplergrafia cardiaca_x000D_
-Calo ponderale</t>
  </si>
  <si>
    <t>controllo in CPAP</t>
  </si>
  <si>
    <t>CPAP  a P 6 cm H2O con maschera oronasale (5 anni prima utilizzo di maschera nasale)</t>
  </si>
  <si>
    <t>saltuaruamente</t>
  </si>
  <si>
    <t>per senilità</t>
  </si>
  <si>
    <t>7 ore e 20 minuti</t>
  </si>
  <si>
    <t>controllo con CPAP della paziente</t>
  </si>
  <si>
    <t>Arrigo Nunziata</t>
  </si>
  <si>
    <t>RRGNZT55S58A638E</t>
  </si>
  <si>
    <t>3400984153 (figlia)</t>
  </si>
  <si>
    <t>BPAP S/T AVAPS, IPAP min 12 cm H2O, IPAP max 18 cm H2O</t>
  </si>
  <si>
    <t>Lasix, Lasitone, Pantoprazolo, Isoptin, Totalip, Metformina, O2 tp 2 L/min sotto sforzo, Brimica 1 inalazione al mattino e 1 inalazione alla sera</t>
  </si>
  <si>
    <t>si mMRC 3</t>
  </si>
  <si>
    <t>si (1-2 volte)</t>
  </si>
  <si>
    <t>86,6% (84 giorni totali)</t>
  </si>
  <si>
    <t>06:38:20</t>
  </si>
  <si>
    <t>migliorata</t>
  </si>
  <si>
    <t>parzialmente efficace(permane sonnnolenza diurna)</t>
  </si>
  <si>
    <t>CPAP a P fissa 9 cm H2O</t>
  </si>
  <si>
    <t>metformina, carvedilolo, esomeprazolo, Debrum, Idroclorotiazide + irbesartan, incruse, normix</t>
  </si>
  <si>
    <t>mMRC 2</t>
  </si>
  <si>
    <t>86,6%</t>
  </si>
  <si>
    <t>04:32:36</t>
  </si>
  <si>
    <t>Saron Santina Caterina</t>
  </si>
  <si>
    <t>3493237945</t>
  </si>
  <si>
    <t>BiPAP autoSV Advanced; media EPAP 7,1 cmH2O; supporto pressione medio 8,5 cmH2O</t>
  </si>
  <si>
    <t>tonsillectomia in età giovanile</t>
  </si>
  <si>
    <t>si, diurna</t>
  </si>
  <si>
    <t>gonartrosi, ernia iatale</t>
  </si>
  <si>
    <t>paziente vigile, eupnoica e riposo e all'eloquio,</t>
  </si>
  <si>
    <t>al torace mv diffusamente ridotto in assenza di rumori patologici aggiunti</t>
  </si>
  <si>
    <t>05:01:33</t>
  </si>
  <si>
    <t>non migliorata</t>
  </si>
  <si>
    <t>scarsamente efficace</t>
  </si>
  <si>
    <t>CPAP a P fissa 7 cm H2O</t>
  </si>
  <si>
    <t>Rolufta 1 puff, lixana, gutron, pantorc, giant, depalgoss, sertralina, sideral, deltacortene 25 mg, multicentrum, vit D3, Prolia, dbase, Busette, lasix</t>
  </si>
  <si>
    <t>pregressa TEP</t>
  </si>
  <si>
    <t>talvolta al mattino, in miglioramento ripsetto a prima</t>
  </si>
  <si>
    <t>6 ore e 59 minuti</t>
  </si>
  <si>
    <t>efficace</t>
  </si>
  <si>
    <t>Test del cammino</t>
  </si>
  <si>
    <t>Giocoliere Archina</t>
  </si>
  <si>
    <t>GCLRHN55A56H072X</t>
  </si>
  <si>
    <t>0107450698</t>
  </si>
  <si>
    <t>REMstar Plus a P fissa 7 cmH2O con mashcera ornasale</t>
  </si>
  <si>
    <t>rimozione polipo corde vocali, tonsillectomia</t>
  </si>
  <si>
    <t>metforal, eutirox, cymbalta, pentacol, xanax, congescor, lansoprazolo, actos, ascriptin, arlevertan, gutron, creon, acido urodessosicolico, fenofibrato, sinvastatina, normix,</t>
  </si>
  <si>
    <t>sensazione di naso ostruito</t>
  </si>
  <si>
    <t>si, lieve bruciore gastrico</t>
  </si>
  <si>
    <t>diabete, noduli tiroidei e gozzo tiroideo, fibromialgia, diverticoli, ostruzione del 30% carotide sinistra, ipercolesterolemia, setto ansale deviato (gia visto da ORL che consigliava intervento). EX fumatrice (stop 5 anni fa 35 p/y). Pregresso ernia</t>
  </si>
  <si>
    <t>Vigile, orientata, eupnoica a riposo</t>
  </si>
  <si>
    <t>MV diffusamente presente in assenza di rumori patologici aggiunti</t>
  </si>
  <si>
    <t>Accettabile</t>
  </si>
  <si>
    <t>78,6%</t>
  </si>
  <si>
    <t>05:05:51</t>
  </si>
  <si>
    <t>Non migliorata</t>
  </si>
  <si>
    <t>Scarsamente efficace</t>
  </si>
  <si>
    <t>KANAGASABAPATHY ARUMUGARAJAH</t>
  </si>
  <si>
    <t>KNGRGR49L25Z209L</t>
  </si>
  <si>
    <t>3393293782</t>
  </si>
  <si>
    <t>CPAP a P 12 cm H2O</t>
  </si>
  <si>
    <t>labiopalatoschisi operata</t>
  </si>
  <si>
    <t>Allopurinolo, furosemide, aranesp, pantoprazolo, mimpara, dibase, zemplar, avodart.</t>
  </si>
  <si>
    <t>OSAS severa</t>
  </si>
  <si>
    <t>43,5%</t>
  </si>
  <si>
    <t>02:57:45</t>
  </si>
  <si>
    <t>alterata</t>
  </si>
  <si>
    <t>Zambrano Maria Mejia Ubaldina</t>
  </si>
  <si>
    <t>3472819262 (figlia)</t>
  </si>
  <si>
    <t>collega allergologo</t>
  </si>
  <si>
    <t>CPAP 6,5 cmH2O</t>
  </si>
  <si>
    <t>Rivotril 2gtt, Efexor, Topamax, Symbicort al bisogno Cardioaspirina, Esapent, Rosuvastatina, Ezetimibe, Folifill, Deursil, DiBase, Gastroloc,</t>
  </si>
  <si>
    <t>si quasi ogni notte</t>
  </si>
  <si>
    <t>si correlati a nota allergia</t>
  </si>
  <si>
    <t>Vigile, orientata, eupnoica a riposo ed all'eloquio, tendente alla sonnolenza.</t>
  </si>
  <si>
    <t>Proseguire CPAP a cmH2O</t>
  </si>
  <si>
    <t>Acquario Giovanna</t>
  </si>
  <si>
    <t>CQRGNN61D64G224Y</t>
  </si>
  <si>
    <t>3496949297</t>
  </si>
  <si>
    <t>CPAP a 8 cmH2O con maschera oronasale Simplus tg S</t>
  </si>
  <si>
    <t>Ossibutina 5 mg, Antacal 10mg, DiBase 25000U, Pantorc 20 mg, Topamax, Arlevertan al bisogno, Gabapentin.</t>
  </si>
  <si>
    <t>Controllo spirometrico di febbraio 2022 non valutabile per difficoltà nell'esecuzione della manovra.</t>
  </si>
  <si>
    <t>Vigile orientata, eupnoica a riposo ed all'eloquio.</t>
  </si>
  <si>
    <t>Al torace MV normotrasmesso, non franchi rumori patologici aggiunti.</t>
  </si>
  <si>
    <t>insufficiente</t>
  </si>
  <si>
    <t>45%</t>
  </si>
  <si>
    <t>06:24:37</t>
  </si>
  <si>
    <t>stabile</t>
  </si>
  <si>
    <t>incrementare utilizzo CPAP</t>
  </si>
  <si>
    <t>Dedola Mario</t>
  </si>
  <si>
    <t>DDLMRA42A23F698Z</t>
  </si>
  <si>
    <t>3382558113</t>
  </si>
  <si>
    <t>nostro centro</t>
  </si>
  <si>
    <t>CPAP 7 cm H2O ( si lascia in prova maschero Respireo Nasal tg M)</t>
  </si>
  <si>
    <t>2-3 volte/settimana</t>
  </si>
  <si>
    <t>Vigile, orientato, eupnoico a riposo ed all'eloquio.</t>
  </si>
  <si>
    <t>Al torace MV normotrasmesso, non rumori patologici aggiunti</t>
  </si>
  <si>
    <t>07:20:53</t>
  </si>
  <si>
    <t>Martini Alba Michelina</t>
  </si>
  <si>
    <t>MRTLMC50P69D969S</t>
  </si>
  <si>
    <t>010315644/3497708414</t>
  </si>
  <si>
    <t>Controllo cpap  Rem star Plus P 11cmh2o, Maschera oronasale respireo S-M</t>
  </si>
  <si>
    <t>cpap  Rem star Plus</t>
  </si>
  <si>
    <t>Carbolithium, SEQUACOR, Entresto, acolest, Melatonina, Lucen</t>
  </si>
  <si>
    <t>3-4 volte</t>
  </si>
  <si>
    <t>Eupnoica a riposo. Toni cardiaci parafonici, pause apparentemente libere, attività cardiaca valida e ritmica.</t>
  </si>
  <si>
    <t>0</t>
  </si>
  <si>
    <t>2:10</t>
  </si>
  <si>
    <t>Cpap non utilizzata per riferita intolleranza, paziente non eseguiva piu controlli pneumologici dal 2017</t>
  </si>
  <si>
    <t>Eseguire CPAP con autoregolante._x000D_
Calo ponderale</t>
  </si>
  <si>
    <t>Montoya Felicita</t>
  </si>
  <si>
    <t>MNTFCT59D64Z611D</t>
  </si>
  <si>
    <t>3477899729</t>
  </si>
  <si>
    <t>CPAP 11 cmH2O maschera nasale</t>
  </si>
  <si>
    <t>Relvar, Montegen, Ventolin al bisogno, metformina, Topamax, Zevinix, Torvast, Pantorc</t>
  </si>
  <si>
    <t>talvolta rinorrea</t>
  </si>
  <si>
    <t>Vigile, orientata , eupnoica a riposo ed all'eloquio</t>
  </si>
  <si>
    <t>Al torace MV livemente ridotto in sede bibasale, non rumori aggiunti</t>
  </si>
  <si>
    <t>poco accettabile</t>
  </si>
  <si>
    <t>58%</t>
  </si>
  <si>
    <t>06:18:48</t>
  </si>
  <si>
    <t>non efficace</t>
  </si>
  <si>
    <t>Provare ad incrementare ore di utilizzo del dispositivo. _x000D_
Effettuare cambio maschera incrementare per</t>
  </si>
  <si>
    <t>Del Ionio caterina</t>
  </si>
  <si>
    <t>DLNCRN57C42D969Q</t>
  </si>
  <si>
    <t>3471981004</t>
  </si>
  <si>
    <t>Nostro Ambulatorio</t>
  </si>
  <si>
    <t>Prisma SMART max  14 cmH2O, maschera oro-nasale</t>
  </si>
  <si>
    <t>cauterizzazione meato medio bilateralmente</t>
  </si>
  <si>
    <t>pantoprazolo 20, pritor plus 80/12,5, ezetimibe 10mg. Hairinal, duoresp 160/4,5 al bisogno</t>
  </si>
  <si>
    <t>si 1vv/die</t>
  </si>
  <si>
    <t>ipercolesterolemia, ipertensione arteriosa, iperglicemia, vasculopatica TSA, strenosi aortica moderata, ernia jatale, rinite allergica</t>
  </si>
  <si>
    <t>vigile, eupnoica all'eloquio, non segni di cianosi periferica.</t>
  </si>
  <si>
    <t>MV conservato in assenza di rumori patologici aggiunti. Attività cardiaca ritmica, toni parafonici, pause apparentemente libere da soffi, non edemi</t>
  </si>
  <si>
    <t>7:06</t>
  </si>
  <si>
    <t>Buona compliance alla terapia. Persiste sonnolenza diurna. Alla registrazione si segnala AHI 14.</t>
  </si>
  <si>
    <t>Nosto Ambulatorio</t>
  </si>
  <si>
    <t>Philips DreamStation CPAP Pro C Flex + (2) pa 7 cmH2O maschera nasale Cara tg. S</t>
  </si>
  <si>
    <t>Lixiana 60, sideral forte, calciodie, lasix, depalgos 10, pregabalin 25, sertralina 50, barinutrixmulti, pantorc 40, eutirox 50 1/2 cp, omega 3, rovigon, protifar, meritene, aerosol, dibase 25000, b12, prolia, ossigenoterapia diurna 1 L/min, CPAP notturna</t>
  </si>
  <si>
    <t>lieve in paziente anemica</t>
  </si>
  <si>
    <t>2000 diversione biliopancreatica, ex-infermiera</t>
  </si>
  <si>
    <t>vigile, eupnoica a riposo ed all'eloquio.</t>
  </si>
  <si>
    <t>Al torace MV ridotto in base sinistra, non rumori patologici aggiunti. Soffio sistolico 2/6.</t>
  </si>
  <si>
    <t>97,4</t>
  </si>
  <si>
    <t>07:25:14</t>
  </si>
  <si>
    <t>Efficace</t>
  </si>
  <si>
    <t>Molina Aspiazu LUISA PRIMITIVA</t>
  </si>
  <si>
    <t>MLNLPR57M57Z605L</t>
  </si>
  <si>
    <t>3493561343</t>
  </si>
  <si>
    <t>Controllo a 4 mesi</t>
  </si>
  <si>
    <t>CPAP a 9 cmH2O (Prisma Smart), maschera nasale Respireo Soft Nasal taglia M</t>
  </si>
  <si>
    <t>Si, lieve una volta, non modificata</t>
  </si>
  <si>
    <t>Lieve miglioramento</t>
  </si>
  <si>
    <t>Pazient eupnoica a riposo, no cianosi periferica, non edemi declivi</t>
  </si>
  <si>
    <t>Al torace MV presente nessun rumore patologico aggiunto</t>
  </si>
  <si>
    <t>Sufficiente</t>
  </si>
  <si>
    <t>da scarico scheda dati</t>
  </si>
  <si>
    <t>73% di giorni di utilizzo,</t>
  </si>
  <si>
    <t>5.20 ore di utilizzo medio</t>
  </si>
  <si>
    <t>Migliorata</t>
  </si>
  <si>
    <t>Parzialmente efficace</t>
  </si>
  <si>
    <t>Si consiglia di dormire più ore in generale, anticipando la messa a letto. Aumentare l'umidificazione</t>
  </si>
  <si>
    <t>CPAP a 8 cmH20 con maschera nasale</t>
  </si>
  <si>
    <t>Incruse,brusonex,glucophage,esomeprazolo, carvedilolo,irbersartan idroclorotiazide,normix</t>
  </si>
  <si>
    <t>porta in visione:_x000D_
-PFR 1.12.22: FVC 935(2.14) FEV1 85%(1.53)IT 71.valori spirometrici e volumetrici nei limiti della norma_x000D_
-saturimetria notturna: sat media 94% T90 0.2% ODI 8.5</t>
  </si>
  <si>
    <t>Vigile e collaborante alle visita, eupnoica a riposo</t>
  </si>
  <si>
    <t>05:57:39</t>
  </si>
  <si>
    <t>proseguire CPAP con parametri pre impostati</t>
  </si>
  <si>
    <t>Alvarez Diaz Patricio Ricardo</t>
  </si>
  <si>
    <t>LVRPRC60P29Z603Q</t>
  </si>
  <si>
    <t>3491098066</t>
  </si>
  <si>
    <t>CPAP 10 cmH20 con maschera nasale nasale Eson F&amp;F tg L</t>
  </si>
  <si>
    <t>cotareg</t>
  </si>
  <si>
    <t>deviazione nasale</t>
  </si>
  <si>
    <t>vigile eupnoico e vigile alla visita</t>
  </si>
  <si>
    <t>MV normotrasmesso basi ipomobili</t>
  </si>
  <si>
    <t>2 ore(riferite)</t>
  </si>
  <si>
    <t>polisonnografia in corso di CPAP.</t>
  </si>
  <si>
    <t>Bellini Roberto</t>
  </si>
  <si>
    <t>BLLRRT40B28H501F</t>
  </si>
  <si>
    <t>335812784</t>
  </si>
  <si>
    <t>nmostri ambulatori</t>
  </si>
  <si>
    <t>CPAP 10 cmH20 (rampa 4 cmH20)</t>
  </si>
  <si>
    <t>vigile e collaborante alla visita</t>
  </si>
  <si>
    <t>Canu Alessandra</t>
  </si>
  <si>
    <t>CNALSN68C63D969R</t>
  </si>
  <si>
    <t>3276545399</t>
  </si>
  <si>
    <t>CPAP 10 cmH20 con maschera nasale (modello e taglia non noti)</t>
  </si>
  <si>
    <t>si, 1.5 l/min</t>
  </si>
  <si>
    <t>antra, pregabalin, fluoxetina, KCL retard, lasix, targin, trittico, loratadina, laroxil, duoresp, OLT, terapia per linfedema con kinidren, flogasine, linfolipase, lipodrenal, linfodermina</t>
  </si>
  <si>
    <t>sonno non ristoratore, infezione da SARS-CoV-2 a Lugio 2022 (molnupiravir a domicilio)</t>
  </si>
  <si>
    <t>paziente vigile e collaborante</t>
  </si>
  <si>
    <t>al torace MV ridotto su tutti gli ambiti, non rumori patologici aggiunti. Attività cardiaca valida, ritmica, apparentemente non soffi. Linfedema arto inferiore destro.</t>
  </si>
  <si>
    <t>18,2%</t>
  </si>
  <si>
    <t>04:37:22</t>
  </si>
  <si>
    <t>terapia scarsamente efficace in presenza di scarsa compliance alla CPAP</t>
  </si>
  <si>
    <t>monitoraggio cardiorespiratorio notturno da eseguirsi in corso di CPAP (personale) con parametri preimpostati</t>
  </si>
  <si>
    <t>Baliani Roberto</t>
  </si>
  <si>
    <t>BLNRRT45L24D265B</t>
  </si>
  <si>
    <t>3480830739</t>
  </si>
  <si>
    <t>commissione patente</t>
  </si>
  <si>
    <t>CPAP con 10 cmH20 CON maschera Resmed quattro fx tg,L</t>
  </si>
  <si>
    <t>ventilatore</t>
  </si>
  <si>
    <t>06:51</t>
  </si>
  <si>
    <t>3403172079</t>
  </si>
  <si>
    <t>CPAP  a 9 cmH2O con maschera</t>
  </si>
  <si>
    <t>OSAS,</t>
  </si>
  <si>
    <t>si, momentanei per raffreddamento</t>
  </si>
  <si>
    <t>02:00 ore</t>
  </si>
  <si>
    <t>34757761158</t>
  </si>
  <si>
    <t>CPAP a P 13 cmH2O</t>
  </si>
  <si>
    <t>Cardioaspirina , atorvastatina, rinoff, Brintellix ,Pantoprazolo 40mg, neuraben, Quetiapina, Donepezil.</t>
  </si>
  <si>
    <t>OSAS, ex fumatrice 15p/y (stop fumo 30 anni fa), sospeso da 30anni</t>
  </si>
  <si>
    <t>si sinusite cronica</t>
  </si>
  <si>
    <t>sì, in terapia con PPI</t>
  </si>
  <si>
    <t>4-5 volte/notte</t>
  </si>
  <si>
    <t>lieve deficit memoria breve termine</t>
  </si>
  <si>
    <t>bronchite a dicembre trattata con antibiotico e cortisone), Tia nel febbrario 2021, ipertesa, Depressione, Iperlipidemia, Obesità.</t>
  </si>
  <si>
    <t>86.2%</t>
  </si>
  <si>
    <t>8 ore e 45</t>
  </si>
  <si>
    <t>la paziente riferisce aumento ponderale di circa 15 kg dall'avvio della CPAP.</t>
  </si>
  <si>
    <t>Migone Giovanni Enrico</t>
  </si>
  <si>
    <t>MGNGNN33T13D969K</t>
  </si>
  <si>
    <t>3288429902</t>
  </si>
  <si>
    <t>visita di controllo per CPAP</t>
  </si>
  <si>
    <t>ambulatorio</t>
  </si>
  <si>
    <t>CPAP P 10,5, maschera mirage quattro tg L oronasale</t>
  </si>
  <si>
    <t>nolpaza, aldactone, icroton, teodur, torvast, micostatin, symbicort 2+2, imudec forte, prednisone 25 mg, fluimucil e ciproxin quando presente sintomatologia bronchitica</t>
  </si>
  <si>
    <t>vigile, orientato, eupnoico a riposo e all'eloquio</t>
  </si>
  <si>
    <t>Al torace mv ridotto in toto, non rumori patologici aggiunti. Toni cardiaci parafonici, pause apparentemente libere. Non edemi declivi.</t>
  </si>
  <si>
    <t>5:17</t>
  </si>
  <si>
    <t>proseguire CPAP come da parametri impostati. Visita di controllo per CPAP annuale.</t>
  </si>
  <si>
    <t>Mangini Andrea</t>
  </si>
  <si>
    <t>MNGNDR69S21D969Q</t>
  </si>
  <si>
    <t>3495798355</t>
  </si>
  <si>
    <t>controllo in paziente OSA grave (AHI basale 100) associato ad insufficienza respiratoria notturna. Attualmente in terapia con CPAP 9 cmH2O con maschera oronasale Simplus taglia M</t>
  </si>
  <si>
    <t>CPAP 9 cmH2O con maschera oronasale Simplus taglia M</t>
  </si>
  <si>
    <t>si 1,5 L/min</t>
  </si>
  <si>
    <t>scarico scehda dati</t>
  </si>
  <si>
    <t>7:25</t>
  </si>
  <si>
    <t>GIOMARELLI ANNA RENATA</t>
  </si>
  <si>
    <t>GMRNRN38L61D969P</t>
  </si>
  <si>
    <t>346-7833891</t>
  </si>
  <si>
    <t>CONTROLLO</t>
  </si>
  <si>
    <t>CPAP 7 cmH20 con maschera nasale Respireo taglia M</t>
  </si>
  <si>
    <t>A settembre 2021 ricovero, con exeresi polipo intestinale. Nodulo polmonare in follow up , riferisce stabilità del quadro (no documentazione). Ipertensione arteriosa, operazione chirurgica a spalla dx. Mai fumatrice.</t>
  </si>
  <si>
    <t>ZUNINO MARIA</t>
  </si>
  <si>
    <t>ZNNMRA38S48L499U</t>
  </si>
  <si>
    <t>3492138230</t>
  </si>
  <si>
    <t>follow-up  in paziente BPCO e OSAS in trattamento con CPAP</t>
  </si>
  <si>
    <t>CPAP P 10 cmH2O in maschera nasale F&amp;P ESON tg. L</t>
  </si>
  <si>
    <t>1996 tiroidectomia (lesione nervo ricorrente destro)</t>
  </si>
  <si>
    <t>Anoro 55/22 1 puff die, sinostat, eutirox, efexor, control, pantoprazolo e gaviscon al bisogno</t>
  </si>
  <si>
    <t>fumatrice attiva da 60 anni con circa 14 sig/die (attulamente 7-8 sig /die), BPCO, OSAS in CPAP notturna</t>
  </si>
  <si>
    <t>3-4 vv/notte</t>
  </si>
  <si>
    <t>lieve deficit memoria breve  termine</t>
  </si>
  <si>
    <t>scarico scheda dati</t>
  </si>
  <si>
    <t>5:23</t>
  </si>
  <si>
    <t>80 l/min</t>
  </si>
  <si>
    <t>PICONE FRANCESCO</t>
  </si>
  <si>
    <t>PCNFNC72L03G273D</t>
  </si>
  <si>
    <t>3397209910</t>
  </si>
  <si>
    <t>OSA in CPAP P15 cmH2O in maschera oro-facciale F&amp;P simplus Tg. M. _x000D_
Paziente BPCO e ASMA allergica in trattamento con Nucala.</t>
  </si>
  <si>
    <t>da nostro ambulatorio</t>
  </si>
  <si>
    <t>CPAP P15 cmH2O in maschera oro-facciale F&amp;P simplus Tg. M</t>
  </si>
  <si>
    <t>Ac. Acetilsalicilico 100 mg, Ticagrelor 90 mg, Rosuvastatina/ezetimibe, Praluent, Nebivololo, Ramipril, Pantoprazolo, Nifedipina, Foster, Spiriva e Montelukast</t>
  </si>
  <si>
    <t>si, 4/5 volte</t>
  </si>
  <si>
    <t>2 ore</t>
  </si>
  <si>
    <t>Trombin Adelmo</t>
  </si>
  <si>
    <t>TRMDLM48E26G923R</t>
  </si>
  <si>
    <t>3485497304</t>
  </si>
  <si>
    <t>CPAP Resmed P 10.6 cmH2O</t>
  </si>
  <si>
    <t>sì, nel 2017 con calo ponderale di circa 25 kg</t>
  </si>
  <si>
    <t>Terapia domiciliare: allopurinolo , isoptin, irbesartan , xarelto, Lansoprazolo, Flutiformo 250/10 1 inalazione mattino e sera, Ventolin al bisogno.</t>
  </si>
  <si>
    <t>vigile, collaborante, orientato, eupnoico a riposo e all'eloquio in aria ambiente</t>
  </si>
  <si>
    <t>Al torace MV presente in toto, in assenza di grossolani rumori patologici aggiunti. No edemi declivi agli AAII</t>
  </si>
  <si>
    <t>nulla</t>
  </si>
  <si>
    <t>il paziente riferisce mancata tolleranta alla terapia: dolore torace da iperinsufflazione.</t>
  </si>
  <si>
    <t>PELLINI PELLINI</t>
  </si>
  <si>
    <t>PLLVLN50E52B979I</t>
  </si>
  <si>
    <t>3927158347</t>
  </si>
  <si>
    <t>visita di controllo in paziente OSA</t>
  </si>
  <si>
    <t>Bretaris 1 inalazione mattina e sera, Foster 100/6 mcg polvere 2 inalazioni mattina e sera, ventolin al bisogno, cardura, olmesartan, tamoxifene, lucen 20 mg, escitalopram, xanax.</t>
  </si>
  <si>
    <t>EGA:….</t>
  </si>
  <si>
    <t>Deliu Lucian Vasile</t>
  </si>
  <si>
    <t>Controllo dopo esecuzione spirometria globale e DLCO. In attesa di adattamento CPAP</t>
  </si>
  <si>
    <t>U1PA1</t>
  </si>
  <si>
    <t>1-2/settimana</t>
  </si>
  <si>
    <t>MV diffusamente ridotto qualche minimo ronco espiratorio incostante.</t>
  </si>
  <si>
    <t>In attesa di adattamento CPAP</t>
  </si>
  <si>
    <t>Zambrano Maria Ubaldina</t>
  </si>
  <si>
    <t>3669510085</t>
  </si>
  <si>
    <t>Philips respironics con pressione 6.5 con maschera nasale pico traditional taglia L</t>
  </si>
  <si>
    <t>Cardioaspirina, Esapent, Genfibrozil, Folifill, Benexol, Deursil 300 mg 2 cp/die, Dibase, Gastroloc, Xanax RP, Cymbalta, ozawade</t>
  </si>
  <si>
    <t>al torace mv normotrasmesso in toto</t>
  </si>
  <si>
    <t>96.5 %</t>
  </si>
  <si>
    <t>5:11</t>
  </si>
  <si>
    <t>buona aderenza alla terapia con CPAP, buona correzione delle apnee notturne.</t>
  </si>
  <si>
    <t>proseguire terapia con CPAP, aumentando le ore di riposo notturno. Cambio maschera</t>
  </si>
  <si>
    <t>Marcello Maria Pia</t>
  </si>
  <si>
    <t>MRCMRP62R45D969M</t>
  </si>
  <si>
    <t>3483383488</t>
  </si>
  <si>
    <t>philips respironics autoCPAP  a pressioen fissa 12, con maschera oronasale</t>
  </si>
  <si>
    <t>esopral, carvezide, sequacor, aerius, glucophage, lantus, trujeo, trulicity, vytorin, alvesco al bisogno</t>
  </si>
  <si>
    <t>occasionalemente</t>
  </si>
  <si>
    <t>al torace mv normotrasmesso in toto, non apprezzabili rumori patologici aggiunti</t>
  </si>
  <si>
    <t>58.5</t>
  </si>
  <si>
    <t>3:18</t>
  </si>
  <si>
    <t>scarsa aderenza alla terapia con CPAP</t>
  </si>
  <si>
    <t>migliorare la compliance alla terapai con  CPAP;_x000D_
controllo pneumologico annuale</t>
  </si>
  <si>
    <t>Franco Murillo Norma Adelina</t>
  </si>
  <si>
    <t>FRNNMD57L62Z605Q</t>
  </si>
  <si>
    <t>3803891048</t>
  </si>
  <si>
    <t>philips respironics autoCPAP con maschera nasale</t>
  </si>
  <si>
    <t>turbinectomia</t>
  </si>
  <si>
    <t>olpress 20mg, DiBase</t>
  </si>
  <si>
    <t>OSAS, mai fumatrice</t>
  </si>
  <si>
    <t>50.8</t>
  </si>
  <si>
    <t>1:02</t>
  </si>
  <si>
    <t>scarsa compliance alla terapia con CPAP</t>
  </si>
  <si>
    <t>effettuare controllo CPAP in autoCPAP</t>
  </si>
  <si>
    <t>Gelli Roberta</t>
  </si>
  <si>
    <t>GLLRRT75H64D969X</t>
  </si>
  <si>
    <t>3932158018</t>
  </si>
  <si>
    <t>controllo CPAP, riferisce difficoltà ad utilizzare la CPAP per senso di soffocamento</t>
  </si>
  <si>
    <t>Resmed a P 8 cmH2O con maschera oro-nasale F&amp;P tg. M</t>
  </si>
  <si>
    <t>in attesa di IC faringoplastica e settoplastica</t>
  </si>
  <si>
    <t>pantoprazolo</t>
  </si>
  <si>
    <t>sa</t>
  </si>
  <si>
    <t>paziente eupnoica a riposo e all'eloquio</t>
  </si>
  <si>
    <t>al torace mv normotrasmesso in toto, non apprezzabili rumori patologici aggiunti.</t>
  </si>
  <si>
    <t>10</t>
  </si>
  <si>
    <t>2:14</t>
  </si>
  <si>
    <t>residua</t>
  </si>
  <si>
    <t>terapia non efficace</t>
  </si>
  <si>
    <t>cambio maschera</t>
  </si>
  <si>
    <t>LALLAHOM RACHID BEN AHMED</t>
  </si>
  <si>
    <t>LLLRHD69E15Z352P</t>
  </si>
  <si>
    <t>327/3271296</t>
  </si>
  <si>
    <t>lowenstein prisma SOFT</t>
  </si>
  <si>
    <t>settoplastica, uvulo e palato plastica</t>
  </si>
  <si>
    <t>Foster 200/6 2 inalazioni mattino e sera, Incruse, Bisoprololo, Olmetec. Escitalopram, furosemide.</t>
  </si>
  <si>
    <t>il paziente giunge in visita per cambio maschera per obsolescenza della precedente maschera</t>
  </si>
  <si>
    <t>al torace mv normotrasmesso in toto, ma aspro, presenti ronchi sparsi</t>
  </si>
  <si>
    <t>56%</t>
  </si>
  <si>
    <t>5:59</t>
  </si>
  <si>
    <t>Sartori Gabriella</t>
  </si>
  <si>
    <t>SRTGRL52A64D969U</t>
  </si>
  <si>
    <t>3477304131</t>
  </si>
  <si>
    <t>philips respironics autoCPAP con pressione 14 (recentemente cambiata da centro auxologico, precedentemente 12), con maschera simplus taglia s</t>
  </si>
  <si>
    <t>Tonsillectomia</t>
  </si>
  <si>
    <t>Pantoprazolo 40, Lyrica 75mg, Olmesartan</t>
  </si>
  <si>
    <t>OSAS, fumatrice attiva (40 p/y)</t>
  </si>
  <si>
    <t>Fibromialgia, Sindrome delle gambe senza ripsoo, pregresso K mammella, Cardioasa, Nicetile500mg, Pregresso TIA, Mirapixin 0,7mg, Armolipid, Disnomia.</t>
  </si>
  <si>
    <t>paziente aupnoica a riposo e all'eloquio</t>
  </si>
  <si>
    <t>al torace mv ridotto in toto, non apprezzabili rumori patologici aggiunti</t>
  </si>
  <si>
    <t>recentemente è stato cambiata la CPAP, ma per motivi tecnici non è stato possibile registrare gli ultimi mesi, quindi si valutano solo gli ultimi giorni di terapia.</t>
  </si>
  <si>
    <t>64,3</t>
  </si>
  <si>
    <t>1:48</t>
  </si>
  <si>
    <t>non ottimale controllo, con AHI residuo di 22.6</t>
  </si>
  <si>
    <t>utilizzo autoCPAP per impostare pressione adeguata; _x000D_
spirometria semplice</t>
  </si>
  <si>
    <t>RBRNLT76H63D969B 3403186165</t>
  </si>
  <si>
    <t>turbinectomia nel 2014</t>
  </si>
  <si>
    <t>Xanax, Fluioxetina, Torvast, Bisoprololo, Trimbow, Lasix, Lucen</t>
  </si>
  <si>
    <t>si in miglioramento</t>
  </si>
  <si>
    <t>si, valutata da collega ORL</t>
  </si>
  <si>
    <t>Intervento di chirugia bariatrica a luglio 2023. da allora persi 14kg</t>
  </si>
  <si>
    <t>Vigile, orientata, eupnoica a riposo ed all'eloquio</t>
  </si>
  <si>
    <t>Zambrano Meija Maria Ubaldina</t>
  </si>
  <si>
    <t>Dremastation CPAP P 7,5 cm H2O maschera nasale Pico L</t>
  </si>
  <si>
    <t>Cardioaspirina, Esapent, Genfibrozil, Folifill, Benexol, Deursil 300 mg 2 cp/die, Dibase, Xanax RP, ozawade, Topiramato, Lobivon</t>
  </si>
  <si>
    <t>OSAS in CPAP</t>
  </si>
  <si>
    <t>Sì (Gastroloc sospeso recentemente per gastrite atrofica)</t>
  </si>
  <si>
    <t>4 volte a notte</t>
  </si>
  <si>
    <t>Al torace MV normotrasmesso su tutto l'ambito, non rumori patologici aggiunti. ACV valida, ritmica. Toni netti, pause apparentemente libere.</t>
  </si>
  <si>
    <t>05:33</t>
  </si>
  <si>
    <t>migliorata, in particolare a seguito del cambiamento di pressione alla visita del 25/09 us.</t>
  </si>
  <si>
    <t>Efficace. La paziente riferisce netto miglioramento a seguitop del cambio di pressione del device notturno.</t>
  </si>
  <si>
    <t>-Valutazione ORL per tosse persistente_x000D_
-Calo ponderale_x000D_
-CPAP P 7,5 cm H2O maschera nasale Pico L (comunicato alla pz che in data 12.12.23 per cambio maschera)_x000D_
Prossima visita pneumologica di controllo tra circa 12 mesi</t>
  </si>
  <si>
    <t>Gabbi italo</t>
  </si>
  <si>
    <t>GBBTLI67A03D969Y</t>
  </si>
  <si>
    <t>3926819815</t>
  </si>
  <si>
    <t>Resmed CPAP P 8 CM H2O, maschera nasale F&amp;P Eson tg.L</t>
  </si>
  <si>
    <t>no, ma programmato intervento di deviazione del setto nasale</t>
  </si>
  <si>
    <t>glicazide 30 mg 2 cp, lansoprazolo 20 mg, cardioas, triatec 5+25 mg, trittico 0,25 o 0,50 mg la sera</t>
  </si>
  <si>
    <t>sì, spesso</t>
  </si>
  <si>
    <t>sì, a seguito di infezione da COVID a Novembre 20</t>
  </si>
  <si>
    <t>Sì, in maniera abbastanza persistente e risolvente nel corso della giornata.</t>
  </si>
  <si>
    <t>1999 pregresso edema polmonare, Novembre 2020 ricovero per Covid con necessità di NIV, reinfezione a ottobre 2022. Lavoratore in edilizia con esposizione a polver</t>
  </si>
  <si>
    <t>ACV valida, ritmica. Toni netti, pause apparentemente libere. Al torace, MV normotrasmesso su tutto l'ambito, non rumori patologici aggiunti.</t>
  </si>
  <si>
    <t>Non del tutto ottimale</t>
  </si>
  <si>
    <t>04:05</t>
  </si>
  <si>
    <t>Non completamente efficace</t>
  </si>
  <si>
    <t>-Minimo calo CPAP P 8 CM H2O, maschera nasale F&amp;P Eson tg.L ponderale_x000D_
-Prossima visita pneumologica di controllo tra circa 6 mesi_x000D_
-Proseguire</t>
  </si>
  <si>
    <t>Nostri ambulatori</t>
  </si>
  <si>
    <t>CPAP P 14 cm H2O maschera oronasale Cara tg. M</t>
  </si>
  <si>
    <t>levetiracetam, madopar, pantorc, lixiana, sotalex, ramipril, normocis, torvast, circadin, rivotril.</t>
  </si>
  <si>
    <t>Euonoico a riposo e all'eloquio</t>
  </si>
  <si>
    <t>ACV valida, ritmica. Toni netti, pause apparentemente libere. Al torace, MV diffusamente ridotto, non apparenti rumori patologici aggiunti.</t>
  </si>
  <si>
    <t>scarsa per</t>
  </si>
  <si>
    <t>1:20</t>
  </si>
  <si>
    <t>Non del tutto efficace</t>
  </si>
  <si>
    <t>-Proseguire CPAP a P 14 cm H2O maschera oronasale Cara tg. M</t>
  </si>
  <si>
    <t>Duarte Sol Erwin Jose</t>
  </si>
  <si>
    <t>Visita di controllo dopo consegna di referto di monitoraggio cardiorespiratorio notturno basale</t>
  </si>
  <si>
    <t>Neurofisiopatologia di questo nosocomio (CdC H87)</t>
  </si>
  <si>
    <t>Losartan</t>
  </si>
  <si>
    <t>sì, più volte a notte</t>
  </si>
  <si>
    <t>sì, a volte</t>
  </si>
  <si>
    <t>Acv valida, ritmica. Toni netti, pause apparentmeente libere. Al torace, MV diffusamente lievemente ridotto, non rumori patologici aggiunti.</t>
  </si>
  <si>
    <t>Paziente affetto da OSAS di grado severo associato a insufficienza respiratoria notturna.</t>
  </si>
  <si>
    <t>-utile calo ponderale_x000D_
-Adattamento a CPAP</t>
  </si>
  <si>
    <t>controllo in BiPAP</t>
  </si>
  <si>
    <t>Resmed stellar BiPAP 7 - 16 cmH20 con maschera AirFit F20 tg S</t>
  </si>
  <si>
    <t>attalmente si</t>
  </si>
  <si>
    <t>si 1-2 volte</t>
  </si>
  <si>
    <t>Eupnoica a riposo e all'eloquio, non segni di cianosi periferica. Al torace MV ridotto in toto, non franchi rumori da broncostenosi. Diversi colopi di tosse durante la visita.</t>
  </si>
  <si>
    <t>49%</t>
  </si>
  <si>
    <t>3:44</t>
  </si>
  <si>
    <t>sostanzialmente invariata</t>
  </si>
  <si>
    <t>Viale Danilo Paolo</t>
  </si>
  <si>
    <t>VLIDLP52M29D969N</t>
  </si>
  <si>
    <t>3336166074</t>
  </si>
  <si>
    <t>CPAP a 12 cmH2O</t>
  </si>
  <si>
    <t>Respireo, Nasale</t>
  </si>
  <si>
    <t>Taglia L</t>
  </si>
  <si>
    <t>Tareg 80 mg 2 cp al mattino, Cardicor 1.25 2 cp/die, Lasix 25 mg, 1 cp/die, pantoprazolo 40 mg,  Jardiance, Xarelto, Luvion, Amiodarone 20 mg, 1 volte alla settimana Semaglutide.</t>
  </si>
  <si>
    <t>Presenti.</t>
  </si>
  <si>
    <t>Riferisce aumento di peso dall'ultima visita (circa 10 kg). Riferisce scarsa tollerabilità alla maschera nasale, con secchezza delle fauci. Riferisce, inoltre, frequente addormentamento con bocca aperta. Per questa ragione non ha più utilizzato la CPAP.</t>
  </si>
  <si>
    <t>Paziente eupnoico all'eloquio e a riposo, non segni di cianosi periferica.</t>
  </si>
  <si>
    <t>Al torace, MV presente in toto, diffusamente ridotto, apprezzabili ronchi russanti, da possibile coinvolgimento di alte vie.</t>
  </si>
  <si>
    <t>Scarico Dati (non possibile eseguire scarico dati degli ultimi 3 mesi per uso scarso e intermittente). Si riportano dati dello scarico del 3-4/10/23:</t>
  </si>
  <si>
    <t>4:18</t>
  </si>
  <si>
    <t>22,8 L/min</t>
  </si>
  <si>
    <t>Scarsa compliance alla terapia</t>
  </si>
  <si>
    <t>Controllo in OSA in trattamento con CPAP con pressione fissa di 11 cmH20</t>
  </si>
  <si>
    <t>CPAP resmed</t>
  </si>
  <si>
    <t>Oronasale simplus F&amp;P</t>
  </si>
  <si>
    <t>M</t>
  </si>
  <si>
    <t>cordarone 200 mg 1/2 cp 4 giorni e 1/4 3 gironi alla settiman, carveside 300 mg 1 cp, Pantorpazolo 40 mg 1 cp, Tirosint 150 mcg 4 giorni e 125 mcg 3 gior, lixiana, duoresp 2x2 , Spiriva respimat, xolair 3 fl/4 settimane</t>
  </si>
  <si>
    <t>Riferisce rinite stagionale, con ostruzione nasale, per cui assume kestine.</t>
  </si>
  <si>
    <t>lieve turbe della memoria</t>
  </si>
  <si>
    <t>Ha eseguito saturimetria notturna in data (30/10/23) con indicazione alla prosecuzione di CPAP a pressione fissa di 11 cmH20, negativa per insufficienza repsiratoria notturna.</t>
  </si>
  <si>
    <t>Paziente vigile, orientata, collaborante, eupnoica a riposo e all'eloquio, non segni di cianosi periferica</t>
  </si>
  <si>
    <t>Al torace, MV diffusamente ridotto, non apprezzabili rumori patologici aggiunti. Attività cardiaca valida e ritmica, toni parafonici, pause mal valutabili. Assenti edemi declivi.</t>
  </si>
  <si>
    <t>Scarico dati degnli ultimi 3 mesi e mezzo</t>
  </si>
  <si>
    <t>95% (con tempo di utilizzo maggiore di 4 h 88%)</t>
  </si>
  <si>
    <t>5:35 h</t>
  </si>
  <si>
    <t>13,1 (AHI durante adattamento 12)</t>
  </si>
  <si>
    <t>0,0</t>
  </si>
  <si>
    <t>-Prosecuzione di terapia con CPAP alla pressione impostata. -Alla luce della secchezza delle fauci, si implementa umidificazione ( 7/8)</t>
  </si>
  <si>
    <t>Palumberi Salvatore</t>
  </si>
  <si>
    <t>PLMSVT48M07G273A</t>
  </si>
  <si>
    <t>335 6435409</t>
  </si>
  <si>
    <t>CPAP a pressione fissa di 7 cmH20</t>
  </si>
  <si>
    <t>con maschera eson 2</t>
  </si>
  <si>
    <t>Aprovel, Eliquis, sequacor, statina, codex</t>
  </si>
  <si>
    <t>Riferisce ostruzione nasale che lo sveglia</t>
  </si>
  <si>
    <t>Il paziente riferisce ostruzione nasale, con scolo nasale, per cui il paziente non tollera la CPAP (attualmente non la utilizza da circa 1 mese).</t>
  </si>
  <si>
    <t>5-6 volte per notte</t>
  </si>
  <si>
    <t>Paziente eupnoico a riposo e all'eloquio. Non segni di cianosi periferica. Presenti edemi declivi improntabili</t>
  </si>
  <si>
    <t>Al torace,  mv presente in toto, non apprezzabili rumori patologici aggiunti</t>
  </si>
  <si>
    <t>21%</t>
  </si>
  <si>
    <t>4:00</t>
  </si>
  <si>
    <t>1,2 L/min</t>
  </si>
  <si>
    <t>-Prick test</t>
  </si>
  <si>
    <t>Grillo Anna</t>
  </si>
  <si>
    <t>GRLNNA39P64L259P</t>
  </si>
  <si>
    <t>010 3739570</t>
  </si>
  <si>
    <t>CPAP a pressione fissa di 6 cmH20</t>
  </si>
  <si>
    <t>nasale, Airfit N20</t>
  </si>
  <si>
    <t>eutirox 50 , pritor, cipralex, pantorc, crestor</t>
  </si>
  <si>
    <t>lievi turbe della memoria</t>
  </si>
  <si>
    <t>Lieve aumento di peso (circa 2 kg)</t>
  </si>
  <si>
    <t>Paziente eupnoica a riposo e all'eloquio, non segni di cianosi periferica. Lievi edemi declivi (sx&gt;dx) non improntabili.</t>
  </si>
  <si>
    <t>Al torace, MV presente in toto, non apprezzbaqili rumori patologici aggiunti. Attività cardiaca valida e ritmica, toni netti, pause apparentemente libere da soffi</t>
  </si>
  <si>
    <t>Scarico dati</t>
  </si>
  <si>
    <t>87,9%</t>
  </si>
  <si>
    <t>06:41</t>
  </si>
  <si>
    <t>2,3</t>
  </si>
  <si>
    <t>30L/min</t>
  </si>
  <si>
    <t>Persiste sonnolenza</t>
  </si>
  <si>
    <t>Novosca Lorenzo</t>
  </si>
  <si>
    <t>NVSLNZ50L13D969D</t>
  </si>
  <si>
    <t>3407970698</t>
  </si>
  <si>
    <t>CPAP P 10,5 cm H2O</t>
  </si>
  <si>
    <t>maschera nasale respireo</t>
  </si>
  <si>
    <t>Depakin, Metformina, Diltiazem, Pregabalin, CardioASA, Olpress, Inegy, Sertralina, Relvar 92/22 mcg 1 inalazione/die.</t>
  </si>
  <si>
    <t>Riferisce frequente rinite, per cui assume rinazina spray.</t>
  </si>
  <si>
    <t>Peso corporeo rimasto stabile dall'utlima visita.</t>
  </si>
  <si>
    <t>Paziente euponoico a riposo e all'eloquio, non segni di cianosi periferica.</t>
  </si>
  <si>
    <t>Al torace, MV</t>
  </si>
  <si>
    <t>Non valutabile perché il paziente non portata in visita la CPAP</t>
  </si>
  <si>
    <t>parizalmente efficacia.</t>
  </si>
  <si>
    <t>Rivela Carla</t>
  </si>
  <si>
    <t>CPAP a pressione fissa di 9.5 cmH20,</t>
  </si>
  <si>
    <t>Maschera nasale</t>
  </si>
  <si>
    <t>maschera Respireo Soft Tg M</t>
  </si>
  <si>
    <t>nebivolo, triatec, cymbalta, norvasc, clopidogrel, oxibutininia,</t>
  </si>
  <si>
    <t>Riferisce frequenti risvegli.</t>
  </si>
  <si>
    <t>Riferito deficit di memoria soggettivo non impattante in modo rilevante sulle funzioni cognitive.</t>
  </si>
  <si>
    <t>Paziente eupnoica a riposo e all'eloquio,non segni di cianosi periferica.</t>
  </si>
  <si>
    <t>Al torace,  per quanto valutabile data la collaborazione della paziente, MV ridotto in toto, non apprezzabili rumori patologici aggiunti.</t>
  </si>
  <si>
    <t>Insufficiente</t>
  </si>
  <si>
    <t>scarico dati dell'ultima settimana</t>
  </si>
  <si>
    <t>47%</t>
  </si>
  <si>
    <t>4:54</t>
  </si>
  <si>
    <t>2,5 L/min</t>
  </si>
  <si>
    <t>Si consiglia cambio maschera con olivette nasali in data 8/05/2024 alle ore 8.00. Una volta finalizzato il cambio maschera, sarà necessario effettuare cambio macchina per inefficacia dell'umidificatore</t>
  </si>
  <si>
    <t>Cocurullo Liliana</t>
  </si>
  <si>
    <t>CCRLLN48T60G568V</t>
  </si>
  <si>
    <t>3928229158</t>
  </si>
  <si>
    <t>SandMan intro,  CPAP a pressione fissa di 6.5 cmH20</t>
  </si>
  <si>
    <t>Mirage 4, maschera oronasale</t>
  </si>
  <si>
    <t>Pantoprazolo, olmesartan, fluoxetina, lovastatina, ASA</t>
  </si>
  <si>
    <t>Qualche volta</t>
  </si>
  <si>
    <t>Riferisce frequente ostruzione nasale.</t>
  </si>
  <si>
    <t>PFR (18,04,2024): Esame molto difficoltoso. FEV 1,82 L (96%), FVC 2,25 L (92%), IT 80,8, TLC 3,37 L (74%), RV 1,58 L (78%). Anomalia restrittiva di entità lieve.</t>
  </si>
  <si>
    <t>Paziente eupnoica a riposo e all'eloquio, non segni di cianosi periferica.</t>
  </si>
  <si>
    <t>Al torace, MV presente in toto, non apprezzabili grossolani rumori patologici aggiunti. Attività cardiaca valida e ritmica, toni netti, pause libere.</t>
  </si>
  <si>
    <t>Scarsa (non è possibile effettuare lo scarico dati), ma si evince un utilizzo non sufficiente. La paziente stessa riferisce di utilizzarla solo per poche ore.</t>
  </si>
  <si>
    <t>Persistenza di importante sonnolenza diurna.</t>
  </si>
  <si>
    <t>Da portale Vitalairgate si evince: utilizzo di CPAP dal 2012, attualmente pressione 6.5 cmH2O, maschera Mirage tg M.</t>
  </si>
  <si>
    <t>Monfrecola Anna</t>
  </si>
  <si>
    <t>MNFNNA73M48D969H</t>
  </si>
  <si>
    <t>3453751601</t>
  </si>
  <si>
    <t>Controllo in CPAP a P fissa 8 cmH2O (terapia avviata a gennaio 2024).</t>
  </si>
  <si>
    <t>Resmed</t>
  </si>
  <si>
    <t>F&amp;P Simplus</t>
  </si>
  <si>
    <t>tg. L</t>
  </si>
  <si>
    <t>Rinosinusite</t>
  </si>
  <si>
    <t>Si presenti con sensazione di soffocamento.</t>
  </si>
  <si>
    <t>Presenti, paziente in terapia con</t>
  </si>
  <si>
    <t>Presente nausea in noto riscontro di fango biliari.</t>
  </si>
  <si>
    <t>Presente, circa 3-4 volte a notte.</t>
  </si>
  <si>
    <t>Presente astenia durante le attività quotidiane.</t>
  </si>
  <si>
    <t>Presenti in modo impattante sulla vita quotidiana.</t>
  </si>
  <si>
    <t>Presente lieve cefalea prevalentemente mattutina.</t>
  </si>
  <si>
    <t>Riferisce importante calo ponderale (circa 29 kg).</t>
  </si>
  <si>
    <t>Scarsa compliance per riferito discomfort con la maschera e per recente infezione delle vie respiratorie.</t>
  </si>
  <si>
    <t>Scheda SD.</t>
  </si>
  <si>
    <t>75%</t>
  </si>
  <si>
    <t>04:12</t>
  </si>
  <si>
    <t>0.6</t>
  </si>
  <si>
    <t>33,6 L/min</t>
  </si>
  <si>
    <t>Presente, riferiti episodi di addormentamento sui mezzi pubblici e difficoltà di concentrazione.</t>
  </si>
  <si>
    <t>TANIA MARCELA FABARA LEON</t>
  </si>
  <si>
    <t>FBRTMR77C65Z605V</t>
  </si>
  <si>
    <t>3664628778</t>
  </si>
  <si>
    <t>Visita di controllo di OSAS di grado severo.</t>
  </si>
  <si>
    <t>3-4</t>
  </si>
  <si>
    <t>Controllo di OSAS in CPAP</t>
  </si>
  <si>
    <t>ResScan AirSense 10 Elite</t>
  </si>
  <si>
    <t>F&amp;P Simpus</t>
  </si>
  <si>
    <t>L</t>
  </si>
  <si>
    <t>Palatosettoplastica 2004</t>
  </si>
  <si>
    <t>sereupin, silodix, pantorc, saba</t>
  </si>
  <si>
    <t>si, 3-4 volte</t>
  </si>
  <si>
    <t>Assereto Erminia</t>
  </si>
  <si>
    <t>controllo di OSAS in CPAP</t>
  </si>
  <si>
    <t>DreamStation Auto Cpap</t>
  </si>
  <si>
    <t>maschera faciale F&amp;P simplus</t>
  </si>
  <si>
    <t>m</t>
  </si>
  <si>
    <t>pradaxa, flecainide, paroxetina, sequacor, lacidipina 6 mg , zolpidem</t>
  </si>
  <si>
    <t>Si, 2-3 volte</t>
  </si>
  <si>
    <t>controllo CPAP (prima valutazione da avvio della terapia)</t>
  </si>
  <si>
    <t>ambulatorio distubri del sonno</t>
  </si>
  <si>
    <t>CPAP con P 9.5 cmH2O</t>
  </si>
  <si>
    <t>maschera nasale ESON 2</t>
  </si>
  <si>
    <t>coumadin, gaviscon al bisogno, atorvastatina, colecalciferolo, omega 3, tachipirina al bisogno, kestine al bisogno</t>
  </si>
  <si>
    <t>OSAS, rinite allergica</t>
  </si>
  <si>
    <t>si, in occasione di salite e scale</t>
  </si>
  <si>
    <t>si, durante la giornata</t>
  </si>
  <si>
    <t>si, bene controllato se assume Gaviscon; steatosi epatica</t>
  </si>
  <si>
    <t>si, 2-3 volte/die</t>
  </si>
  <si>
    <t>vigile, orientata e collaborante. Eupnoica a riposo e all'eloquio.</t>
  </si>
  <si>
    <t>MV presente su tutti i campi, non rumori patologici aggiunti.</t>
  </si>
  <si>
    <t>6 ore e 30 minuti</t>
  </si>
  <si>
    <t>buona aderenza alla terapia con CPAP ma persistenza di sonnolenza diurna (riferito calo ponderale di 5 Kg nell'ultimo anno)</t>
  </si>
  <si>
    <t>cambio macchina per prosecuzione trattamento con CPAP e rivalutazione a 3 mesi con scarico dati (se problematica di sonnolenza diurna persistente verrà presa in considerazione eventuale valutazione neurologica).</t>
  </si>
  <si>
    <t>Speranza Vincenzo</t>
  </si>
  <si>
    <t>SPRVCN63D20L259O</t>
  </si>
  <si>
    <t>3711245723</t>
  </si>
  <si>
    <t>CPAP Philips 11 cmH2O</t>
  </si>
  <si>
    <t>Simplus</t>
  </si>
  <si>
    <t>taglia S</t>
  </si>
  <si>
    <t>lasix, pantoprazolo 40 mg, dovato, calcitriolo, rosumibe, cosyrel, coumadin, clopidogrel, cardioaspirina</t>
  </si>
  <si>
    <t>scarico dati dal 01/07/2024 al 30/09/2024</t>
  </si>
  <si>
    <t>95,7%</t>
  </si>
  <si>
    <t>01:41</t>
  </si>
  <si>
    <t>3,7</t>
  </si>
  <si>
    <t>Non efficace</t>
  </si>
  <si>
    <t>Ansaloni Giovanna Rosa</t>
  </si>
  <si>
    <t>NSLGNN49E50D969J</t>
  </si>
  <si>
    <t>010313598</t>
  </si>
  <si>
    <t>prima visita di controllo dopo avvio di terapia con CPAP a pressione fissa di 7.5 cm di H2O a giugno 2024</t>
  </si>
  <si>
    <t>ns ambulatori</t>
  </si>
  <si>
    <t>resmed AirSense</t>
  </si>
  <si>
    <t>tg. M</t>
  </si>
  <si>
    <t>Presso Osp. Villa scassi indicazione a O2 tp in 2 lpm sotto sforzo, mai eseguita dalla paziente; saturiemtria presso i ns ambulatori negativa per IR notturna (t90: 15%).</t>
  </si>
  <si>
    <t>provigil, bupropione, aereosolterapia clenil+breva, fluoxetina, amlodipina, lansoprazolo, nodigap a cicli, cacit a giorni alterni. In passato assumeva Trimbow, senza beneficio, per cui colleghi Villa Scassi ritenevano opportuno utilizzo di aereosolterapia</t>
  </si>
  <si>
    <t>OSAS di grado severo, riferita BPCO per cui non assume terapia inalatoria , precedentemente seguita presso Osp. Villa Scassi. Inoltre veniva posta indicazione ad O2 terapia sotto sforzo, mai eseguita dalla paziente.</t>
  </si>
  <si>
    <t>Si, in media 2-3 volte</t>
  </si>
  <si>
    <t>Depressione maggiore resistente, sensibilizzata a LTP.</t>
  </si>
  <si>
    <t>Apiretica, eupnoica a riposo e all'eloquio, discrete condizioni mediche generali.</t>
  </si>
  <si>
    <t>scheda SD (21.07.2024-21.10.2024)</t>
  </si>
  <si>
    <t>05:43</t>
  </si>
  <si>
    <t>1.2</t>
  </si>
  <si>
    <t>15,6 lpm</t>
  </si>
  <si>
    <t>Importante</t>
  </si>
  <si>
    <t>efficace; nonostante ciò, persiste importante sonnolenza diurna (riferita necessità di dormire circa 3 ore al pomeriggio, la paziente inoltre si corica molto presto).</t>
  </si>
  <si>
    <t>Passalacqua Francesco</t>
  </si>
  <si>
    <t>PSSFNC70E08C708N</t>
  </si>
  <si>
    <t>3392727488</t>
  </si>
  <si>
    <t>CPAP Resmed a pressione fissa 10 cmH2O</t>
  </si>
  <si>
    <t>Airtouch F20</t>
  </si>
  <si>
    <t>Amlodipina, nebivololo</t>
  </si>
  <si>
    <t>Scarico dati dal 15/10/2024 al 05/11/2024</t>
  </si>
  <si>
    <t>05:40</t>
  </si>
  <si>
    <t>5,6</t>
  </si>
  <si>
    <t>CPAP a pressione fissa 8,5 cmH2O</t>
  </si>
  <si>
    <t>ESON 2</t>
  </si>
  <si>
    <t>S</t>
  </si>
  <si>
    <t>palexia, flexiban, cardioasa, olmesartandilzene, foster 200/6, venlafaxina, vatran, delecit.</t>
  </si>
  <si>
    <t>Egda Maria Flores garcia</t>
  </si>
  <si>
    <t>FLRGMR73C66Z605Q</t>
  </si>
  <si>
    <t>CPAP a pressione fissa 9 cmH2O</t>
  </si>
  <si>
    <t>nasale ESON 2</t>
  </si>
  <si>
    <t>taglia M</t>
  </si>
  <si>
    <t>Sleeve gastrectomy ottobre 2024</t>
  </si>
  <si>
    <t>Trimbow 172 mcg 2 inalazioni mattino e sera, Montelukast, antistaminico al bisogno.</t>
  </si>
  <si>
    <t>rinite allergica</t>
  </si>
  <si>
    <t>si 1-2 episodi a notte</t>
  </si>
  <si>
    <t>calo ponderale di 20kg da ottobre 2024</t>
  </si>
  <si>
    <t>Scarico dati dal 01/09/2024 al 09/12/2024</t>
  </si>
  <si>
    <t>11%</t>
  </si>
  <si>
    <t>0:28 h</t>
  </si>
  <si>
    <t>1</t>
  </si>
  <si>
    <t>Busalacchi Pietro</t>
  </si>
  <si>
    <t>BSLPTR51P01L331C</t>
  </si>
  <si>
    <t>3497515661</t>
  </si>
  <si>
    <t>CPAP Resmed</t>
  </si>
  <si>
    <t>Cara</t>
  </si>
  <si>
    <t>taglai M/L</t>
  </si>
  <si>
    <t>Settoplastica</t>
  </si>
  <si>
    <t>trausan 1 bustin1, triazolam 10 gocce prima di dormire</t>
  </si>
  <si>
    <t>rinorrea liquida da qualche giorno</t>
  </si>
  <si>
    <t>si 1 -2 episodi a notte</t>
  </si>
  <si>
    <t>Scarico dati 01/10/2024 al 18/12/2024</t>
  </si>
  <si>
    <t>05:39</t>
  </si>
  <si>
    <t>8,5 l/min</t>
  </si>
  <si>
    <t>28,8 l/min</t>
  </si>
  <si>
    <t>Likafi Ilirjan</t>
  </si>
  <si>
    <t>LKFLJN84E07Z100R</t>
  </si>
  <si>
    <t>3488835131 (sorella)</t>
  </si>
  <si>
    <t>CPAP Lowenstein in modalità autoregolante 8/12 cmH2O</t>
  </si>
  <si>
    <t>taglia L</t>
  </si>
  <si>
    <t>OSA/OHS</t>
  </si>
  <si>
    <t>riferisce insonnia, in attesa di ricovero presso Piancavallo.</t>
  </si>
  <si>
    <t>Scarico dati dal 05/12/2024 al 23/12/2024</t>
  </si>
  <si>
    <t>03:30h</t>
  </si>
  <si>
    <t>5/h</t>
  </si>
  <si>
    <t>0 l/min</t>
  </si>
  <si>
    <t>Proseguire CPAP in modalità auto 8-12 cmH2O, mirzpexin</t>
  </si>
  <si>
    <t>Zambrano Mejia Maria Ubaldina</t>
  </si>
  <si>
    <t>Philips DreamStation con P fissa 7.5 cmH2O</t>
  </si>
  <si>
    <t>AirFit N20</t>
  </si>
  <si>
    <t>Tg L</t>
  </si>
  <si>
    <t>cardioASA, Esapent, Cholecomb, Sunosi, deursil, dibase, topomax, efexor, dobetin, gaviscon, beobianacid, neocarvi, symbicort</t>
  </si>
  <si>
    <t>presenti, riferisce scolo nasale e prurito nasale</t>
  </si>
  <si>
    <t>presente, circa 3-4 volte a notte</t>
  </si>
  <si>
    <t>presente saltuariamente, riferito miglioramento</t>
  </si>
  <si>
    <t>riferito episodio di caduta con perdita di coscienza, eseguiti sotto consiglio del neurologo di riferimento ecocardiogramma con riscontro di insufficienza mitralica lieve e tricuspidalica lieve, funzione diastolica alterata, e successiva visita cardiologi</t>
  </si>
  <si>
    <t>06:40</t>
  </si>
  <si>
    <t>1.8</t>
  </si>
  <si>
    <t>CPAP Resmed a pressione</t>
  </si>
  <si>
    <t>Eson 2</t>
  </si>
  <si>
    <t>Si 1 episodio a notte</t>
  </si>
  <si>
    <t>Riferisce aumento ponderale di 5 kg rispetto all'ultima visita.</t>
  </si>
  <si>
    <t>Scarico dati dal 04/10/2024 al 28/01/2025</t>
  </si>
  <si>
    <t>80,5%</t>
  </si>
  <si>
    <t>05:03h</t>
  </si>
  <si>
    <t>0,6/h</t>
  </si>
  <si>
    <t>9,6 l/min</t>
  </si>
  <si>
    <t>Pung Nunzia</t>
  </si>
  <si>
    <t>PNGNNZ45B46F839O</t>
  </si>
  <si>
    <t>3407844467</t>
  </si>
  <si>
    <t>CPAP Philips a pressione fissa 8,5 cmH2O</t>
  </si>
  <si>
    <t>Foster polvere 100/6, Pantoprazolo, Bisoprololo, Xarelto, Dinapres, Folidex, Lyrica, Risedronato, Pigitil</t>
  </si>
  <si>
    <t>Riferisce secchezza e formazione di croste nella mucosa nasale, occasionalmente epistassi. Riferisce insonnia per ansia di morire nel sonno.</t>
  </si>
  <si>
    <t>Eupnoica a riposo e all'eloquio in aria ambiente. Sintomatologia ansiosa.</t>
  </si>
  <si>
    <t>Scarico dati dal 08/01/2025 al 31/01/2025</t>
  </si>
  <si>
    <t>33,3%</t>
  </si>
  <si>
    <t>00:18h</t>
  </si>
  <si>
    <t>10,8</t>
  </si>
  <si>
    <t>43,0</t>
  </si>
  <si>
    <t>Visita psichiatrica</t>
  </si>
  <si>
    <t>Romini Angela</t>
  </si>
  <si>
    <t>RMNNGL52C41G722D</t>
  </si>
  <si>
    <t>3403915336</t>
  </si>
  <si>
    <t>CPAP Lowenstein a pressione fissa di 9cmH2O</t>
  </si>
  <si>
    <t>Maschera nasale CARA</t>
  </si>
  <si>
    <t>Tg. M/L</t>
  </si>
  <si>
    <t>Melatonina, Foster spray al bisogno</t>
  </si>
  <si>
    <t>Sì, ostruzione nasale</t>
  </si>
  <si>
    <t>Al tora</t>
  </si>
  <si>
    <t>Discreta</t>
  </si>
  <si>
    <t>Scarico dati SD dal 11/11/2024 al 16/02/2025</t>
  </si>
  <si>
    <t>76%</t>
  </si>
  <si>
    <t>06:27</t>
  </si>
  <si>
    <t>6</t>
  </si>
  <si>
    <t>Discreto</t>
  </si>
  <si>
    <t>Flores Garcia Egda Maria</t>
  </si>
  <si>
    <t>CPAP Lowenstein in modalità autoregolante 5-8cmH2O</t>
  </si>
  <si>
    <t>Maschera nasale ESON 2</t>
  </si>
  <si>
    <t>Tg. M</t>
  </si>
  <si>
    <t>Sleeve gastrectomy (Ottobre 2024)</t>
  </si>
  <si>
    <t>Scolo nasale anteriore</t>
  </si>
  <si>
    <t>Al torace MV presente su tutto l'ambito polmonare in assenza di grossolani rumori patologici aggiunti</t>
  </si>
  <si>
    <t>Scarico dati SD dal 11/12/2024 al 23/02/2025</t>
  </si>
  <si>
    <t>8%</t>
  </si>
  <si>
    <t>06:02</t>
  </si>
  <si>
    <t>3eventi/ore</t>
  </si>
  <si>
    <t>0L/min</t>
  </si>
  <si>
    <t>Non efficiente</t>
  </si>
  <si>
    <t>CPAP Philips Respironics a pressione fissa di 14cmH2O</t>
  </si>
  <si>
    <t>Maschera Oronasale Simplus</t>
  </si>
  <si>
    <t>Tg. S</t>
  </si>
  <si>
    <t>Tonsillectomia nell'infanzia</t>
  </si>
  <si>
    <t>Lucen 30mg, Olmesartan 10mg, Brintellix 10mg, Atorvastatina 20mg, Plavix 75mg, Ozawade 18mg, Catapresan 5mg</t>
  </si>
  <si>
    <t>Episodio bronchitico trattato con antibioticoterapia e terapia steroidea tra Dicembre e Gennaio ancora in via di risoluzione</t>
  </si>
  <si>
    <t>Al torace MV</t>
  </si>
  <si>
    <t>Scarico dati SD dal 01/12/2024 al 25/02/2025</t>
  </si>
  <si>
    <t>95.4%</t>
  </si>
  <si>
    <t>08:23:40</t>
  </si>
  <si>
    <t>4.9eventi/ora</t>
  </si>
  <si>
    <t>43.3L/min</t>
  </si>
  <si>
    <t>Moderata</t>
  </si>
  <si>
    <t>Proseguire terapia con CPAP a parametri impostati</t>
  </si>
  <si>
    <t>D'Amore Anna</t>
  </si>
  <si>
    <t>DMRNNA70B56Z114C</t>
  </si>
  <si>
    <t>3923752613</t>
  </si>
  <si>
    <t>CPAP Lowenstein in modalità APAP a pressione 8-15cmH2O</t>
  </si>
  <si>
    <t>Maschera oronasale Evora</t>
  </si>
  <si>
    <t>Tg. S/M</t>
  </si>
  <si>
    <t>CardioASA, Libradin, Idroclorotiazide, Aripiprazolo, Citalopram, Pantoprazolo, Ezateros, Ozempic, Barnidipina</t>
  </si>
  <si>
    <t>Scarico dati SD dal 12/09/2024 al 13/03/2025</t>
  </si>
  <si>
    <t>85%</t>
  </si>
  <si>
    <t>04:15</t>
  </si>
  <si>
    <t>2 eventi/ora</t>
  </si>
  <si>
    <t>0 L/min</t>
  </si>
  <si>
    <t>Proseguire terapia con CPAP</t>
  </si>
  <si>
    <t>3474030014/3479108899</t>
  </si>
  <si>
    <t>CPAP ResMed a pressione fissa di 7.6cmH2O</t>
  </si>
  <si>
    <t>Maschera nasale EVORA</t>
  </si>
  <si>
    <t>Tg. L</t>
  </si>
  <si>
    <t>Palatosettoplastica (2004)</t>
  </si>
  <si>
    <t>Silodyx 8mg, Sertralina, Quetiapina, Cardirene, Gibiter 160/4,5 due inalazioni mattina e sera</t>
  </si>
  <si>
    <t>Scarico dati SD dal 01/12/2024 al 16/03/2025</t>
  </si>
  <si>
    <t>89%</t>
  </si>
  <si>
    <t>05:52</t>
  </si>
  <si>
    <t>1.5 eventi/ora</t>
  </si>
  <si>
    <t>4.8 L/min</t>
  </si>
  <si>
    <t>ETA' BINARIO</t>
  </si>
  <si>
    <t>Colonna1</t>
  </si>
  <si>
    <t>O2TP BINARIO INDAGATO (1=SI)</t>
  </si>
  <si>
    <t>BPCO BINARIO (1=SI)</t>
  </si>
  <si>
    <t>ANAMNESI RESPIRATORIA NON INDAGATI (null)</t>
  </si>
  <si>
    <t>null</t>
  </si>
  <si>
    <t>BPCO enfisema polmonare in ex fumatore</t>
  </si>
  <si>
    <t>BPCO, OSAS</t>
  </si>
  <si>
    <t>ASMA allergica</t>
  </si>
  <si>
    <t>ASMA , poliallergie pollini , imenotteri, zerinol,</t>
  </si>
  <si>
    <t>ASMA Bronchiale ACT odierno 17, OSAS</t>
  </si>
  <si>
    <t>ASMA in passato trattata con Ventolin</t>
  </si>
  <si>
    <t>ASMA bronchiale allergico (DT e betulla, shock anafilattico da Emagel)</t>
  </si>
  <si>
    <t>ASMA bronchiale allergico in terapia con Seretide. Nega abitudine al fumo. Ex verniciatore.</t>
  </si>
  <si>
    <t>OSAS, ASMA bronchiale</t>
  </si>
  <si>
    <t>OSAS, ASMA bronchiale allergico,</t>
  </si>
  <si>
    <t>OSAS, ASMA</t>
  </si>
  <si>
    <t>OSAS in CPAP, verosimile ASMA bronchiale mai indagata spirometricamente</t>
  </si>
  <si>
    <t>OSAS; insufficienza respiratoria; sindrome obesità-ipoventilazione;</t>
  </si>
  <si>
    <t>ASMA BIONARIO (=SI)</t>
  </si>
  <si>
    <t>ASMA+OSAS</t>
  </si>
  <si>
    <t>BPCO+OSAS</t>
  </si>
  <si>
    <t>OSAS+BPCO+ASMA</t>
  </si>
  <si>
    <t>BPCO, OSAS (ex fumatrice 50 sig/die per 20aa)</t>
  </si>
  <si>
    <t>BPCO, OSAS, fumatore (100 P/Y)</t>
  </si>
  <si>
    <t>BPCO, OSAS in Rolufta 1/die e ossigeno diurno 1L/min, ex fortissima fumatrice (90 p/y), pregressa TEP</t>
  </si>
  <si>
    <t>ASMA, BPCO, OSAS</t>
  </si>
  <si>
    <t>OSAS in CPAP, ex fumatore (stop 17 anni fa, 35 P/Y)</t>
  </si>
  <si>
    <t>OSAS, mai fumatore.</t>
  </si>
  <si>
    <t>OSAS Grave in trattamento con CPAP</t>
  </si>
  <si>
    <t>OSAS in CPAP a pressione fissa di 7 cm H20, edema polmonare acuto, severa disfunzione contrattile del Vsx nel 2018 con impianto di ICD</t>
  </si>
  <si>
    <t>OSAS in CPAP a pressione fissa di 7 cmH20</t>
  </si>
  <si>
    <t>OSAS in terapia con CPAP a pressione fissa di 10.5 cmH2O, BPCO in terapia inalatoria, ex fumatore.</t>
  </si>
  <si>
    <t>OSAS in terapia con CPAP a pressione di 9.5 cmH20, BPCO. Attualmente ha interrotto l'abitudine tabagica (stop 2022)</t>
  </si>
  <si>
    <t>OSAS in CPAP a pressione fissa di 6 cmH20.</t>
  </si>
  <si>
    <t>SOSTANZIALMENTE MUTA</t>
  </si>
  <si>
    <t>MUTA</t>
  </si>
  <si>
    <t>SI secca dopo uso di CPAP dopo 4h</t>
  </si>
  <si>
    <t>SI Tosse secca</t>
  </si>
  <si>
    <t>SI tosse secca dopo utilizzo della cpap</t>
  </si>
  <si>
    <t>SI Tosse stizzosa all'assunzione di cibi secchi (tipo cracker)</t>
  </si>
  <si>
    <t>SI produttiva, soprattutto la mattina</t>
  </si>
  <si>
    <t>SI secca, da sforzo. Riferisce anche tosse produttiva</t>
  </si>
  <si>
    <t>SI, quando utilizza apparecchio. Riferisce di non avere umidificatore.</t>
  </si>
  <si>
    <t>SI qualche colpo di tosse al risveglio, dopo risate, quando alza il tono vocale,</t>
  </si>
  <si>
    <t>SI riferisce tosse secca, attribuibile a MRGE</t>
  </si>
  <si>
    <t>SI tosse</t>
  </si>
  <si>
    <t>SI serale</t>
  </si>
  <si>
    <t>SI rifesce tosse produttiva da diverSI anni, peggiorata da gennaio 2020 (riferisce parziale miglioramento con trattamento antibiotico). Riferisce peggioramento in poSIzione supina.</t>
  </si>
  <si>
    <t>SI parosSIstica durante l'arco della giornata</t>
  </si>
  <si>
    <t>SI, secca</t>
  </si>
  <si>
    <t>SI, peggiorata da decubito supino</t>
  </si>
  <si>
    <t>SI, al mattino</t>
  </si>
  <si>
    <t>SI (peggioramento da circa 2- 3 giorni)</t>
  </si>
  <si>
    <t>SI Riferisce presenza di tosse stizzosa attribuibile a MRGE, in trattamento con terapia SIntomatica.</t>
  </si>
  <si>
    <t>SI Riferisce leggera tosse secca ed eccesSIva secchezza delle fauci durante utilizzo della CPAP. Attuale umidificazione impostata a 5, SI tara a 7 (8 max)</t>
  </si>
  <si>
    <t>SI Presente tosse notturna perSIstente, scarsamente produttiva.</t>
  </si>
  <si>
    <t>SI da anni</t>
  </si>
  <si>
    <t>SI in ex forte fumatrice (40 p/y);</t>
  </si>
  <si>
    <t>OCCASIONALMENTE</t>
  </si>
  <si>
    <t>OCCASIONALMENTE non produttiva</t>
  </si>
  <si>
    <t>OCCASIONALMENTE talvolta tosse stizzosa</t>
  </si>
  <si>
    <t>SI nell'ultimo periodo tosse secca</t>
  </si>
  <si>
    <t>RARAMENTE accesSI tusSIgeni</t>
  </si>
  <si>
    <t>RARAMENTE accesSI tusSIgeni non produttivi</t>
  </si>
  <si>
    <t>RARAMENTE accesSI tusSIgeni, sensazione di scolo retronasale</t>
  </si>
  <si>
    <t>RARAMENTE, secca</t>
  </si>
  <si>
    <t>RARAMENTE</t>
  </si>
  <si>
    <t>NEGA TOSSE (1=NEGA)</t>
  </si>
  <si>
    <t>OCCASIONALMENTE TOSSE BINARIO (1=SI)</t>
  </si>
  <si>
    <t>NDD</t>
  </si>
  <si>
    <t>OCCASIONALMENTE, secca</t>
  </si>
  <si>
    <t>NDD PER TOSSE (1=VUOTO)</t>
  </si>
  <si>
    <t>SI TOSSE (1=SI)</t>
  </si>
  <si>
    <t>RARAMENTE TOSSE (1=RARAMENTE)</t>
  </si>
  <si>
    <t>ESPETTORATO BINARIO (1=SI)</t>
  </si>
  <si>
    <t>SI, rara biancastra, soprattutto mattutina</t>
  </si>
  <si>
    <t>SI scarso</t>
  </si>
  <si>
    <t>SI scarsa epettorazione di muco giallastro</t>
  </si>
  <si>
    <t>SI talora espettorazione di muco biancastro</t>
  </si>
  <si>
    <t>SI talvolta</t>
  </si>
  <si>
    <t>SI di colore biancastro</t>
  </si>
  <si>
    <t>SI al mattino, non purulenta</t>
  </si>
  <si>
    <t>SI giallo e denso</t>
  </si>
  <si>
    <t>SI escreato scuro</t>
  </si>
  <si>
    <t>SI, molto, verdastro da circa 2 -3 giorni.</t>
  </si>
  <si>
    <t>SI presenza di espettorato di muco chiaro.</t>
  </si>
  <si>
    <t>SI Riferita presenza di secrezioni, di difficile espettorazione.</t>
  </si>
  <si>
    <t>SI Riferisce presenza di secrezione di difficile espettorazione</t>
  </si>
  <si>
    <t>SI raramente, giallastra</t>
  </si>
  <si>
    <t>SI presente, efficace</t>
  </si>
  <si>
    <t>SI espettorazione mattutina di catarro giallo</t>
  </si>
  <si>
    <t>SI verde</t>
  </si>
  <si>
    <t>SI Riferisce occaSIonale espettorazione biancastra.</t>
  </si>
  <si>
    <t>SI bianco/giallastro</t>
  </si>
  <si>
    <t>SI giallastro</t>
  </si>
  <si>
    <t>SI di colorito verdastro</t>
  </si>
  <si>
    <t>SI, biancastro</t>
  </si>
  <si>
    <t>SI (colore giallo chiaro o biancastro)</t>
  </si>
  <si>
    <t>SI, non possibile espettorazione</t>
  </si>
  <si>
    <t>SI, occaSIonalmente</t>
  </si>
  <si>
    <t>NEGA presenza di muco ma senza espettorazione</t>
  </si>
  <si>
    <t>NEGA riferisce catarro</t>
  </si>
  <si>
    <t>SI Riferisce presenza di secrezioni di difficile espettorazione, che alcune volte SI presenta di colore gialliNEGA.</t>
  </si>
  <si>
    <t>SI Presente espettorato chiaro, recente infezione delle vie reSIratorie con necesSItà di antibioticoterapia NEGAn meglio specificata.</t>
  </si>
  <si>
    <t>NEGA.</t>
  </si>
  <si>
    <t>SI al mattino biancastro</t>
  </si>
  <si>
    <t>NEGA ESPETTORAZIONE BINARIO (1=NEGA)</t>
  </si>
  <si>
    <t>NDD ESPETTORAZIONE BINARIO (1=NDD)</t>
  </si>
  <si>
    <t>NEGA, riferisce attacchi di panico anche la notte</t>
  </si>
  <si>
    <t>NEGA risvegli per dispnea</t>
  </si>
  <si>
    <t>NEGA Non più per l'affanno</t>
  </si>
  <si>
    <t>NEGA Riferisce insonnia.</t>
  </si>
  <si>
    <t>RISVEGLI NOTT BINARIO (1=SI, 0=NEGA)</t>
  </si>
  <si>
    <t>NON DISPNEA DA SFORZO BINARIO (1=NO)</t>
  </si>
  <si>
    <t>DISPNEA DA SFORZO BINARIO (1=SI)</t>
  </si>
  <si>
    <t>si per LIEVI sforzi</t>
  </si>
  <si>
    <t>dispnea per sforzi LIEVI</t>
  </si>
  <si>
    <t>frequenti per LIEVI sforzi</t>
  </si>
  <si>
    <t>frequente per LIEVI sforzi</t>
  </si>
  <si>
    <t>Dispnea per sforzi LIEVI(camminata in piano)</t>
  </si>
  <si>
    <t>per sforzi LIEVI</t>
  </si>
  <si>
    <t>si per sforzi LIEVI</t>
  </si>
  <si>
    <t>peggiorata, per sforzi LIEVI</t>
  </si>
  <si>
    <t>Presente per sforzi LIEVI (marcia in piano).</t>
  </si>
  <si>
    <t>si per sforzi LIEVI (marcia in piano)</t>
  </si>
  <si>
    <t>da sforzo LIEVI</t>
  </si>
  <si>
    <t>da sforzo MODERATI (scale, salita)</t>
  </si>
  <si>
    <t>da sforzo MODERATI</t>
  </si>
  <si>
    <t>Si per sforzo MODERATI</t>
  </si>
  <si>
    <t>per sforzi MODERATI (marcia in piano)</t>
  </si>
  <si>
    <t>sì per sforzi MODERATI</t>
  </si>
  <si>
    <t>sì per sforzi MODERATI (salire le scale, camminata in salita)</t>
  </si>
  <si>
    <t>si, per sforzi LIEVI -MODERATI.</t>
  </si>
  <si>
    <t>dispnea per sforzi MODERATI</t>
  </si>
  <si>
    <t>LIEVI-MODERATI</t>
  </si>
  <si>
    <t>Si, sforzi MODERATI</t>
  </si>
  <si>
    <t>LIEVI dispnea per sforzi MODERATI, marcia in piano conservata</t>
  </si>
  <si>
    <t>dispnea per sforzi LIEVI-MODERATI (marcia in piano), peggiorata dopo infezione da Sars-Cov-2, attualmente in LIEVI miglioramento</t>
  </si>
  <si>
    <t>dispnea per sforzi MODERATI, marcia in piano conservata</t>
  </si>
  <si>
    <t>Si per sforzi MODERATI</t>
  </si>
  <si>
    <t>LIEVI dispnea per sforzi MODERATI</t>
  </si>
  <si>
    <t>Si per sforzi MODERATI come salire le scale o fare salite</t>
  </si>
  <si>
    <t>riferisce dispnea per sforzi LIEVI e MODERATI.</t>
  </si>
  <si>
    <t>Riferisce dispnea per sforzi LIEVI MODERATI( lunga camminata, scale , salite), sensazione di costrizione al petto , e saltuari fischi e sibili.</t>
  </si>
  <si>
    <t>Dispnea per sforzi MODERATI (scale , salite)</t>
  </si>
  <si>
    <t>riferisce dispnea per sforzi LIEVI /MODERATI</t>
  </si>
  <si>
    <t>LIEVI da sforzi MODERATI</t>
  </si>
  <si>
    <t>si per sforzi MODERATI</t>
  </si>
  <si>
    <t>per sforzi MODERATI</t>
  </si>
  <si>
    <t>si, per sforzi MODERATI</t>
  </si>
  <si>
    <t>SI a sforzi MODERATI</t>
  </si>
  <si>
    <t>Riferisce dispnea per sforzi LIEVI/MODERATI. Marcia in piano conservata.</t>
  </si>
  <si>
    <t>Riferisce dispnea da sforzo per sforzi MODERATI (salire le scale), soprattutto con il tempo umido, princibilemnte atttribuibile all'asma</t>
  </si>
  <si>
    <t>Riferisce dispnea per sforzi MODERATI (fare una salita, le scale), marcia in piano conservata</t>
  </si>
  <si>
    <t>Riferisce dispnea per sforzi MODERATI (fare le scali/fare una salita). Marcia in piano parzialmente conservata.</t>
  </si>
  <si>
    <t>Dispnea per sforzi LIEVI MODERATI (difficoltà alla deambulazione)</t>
  </si>
  <si>
    <t>Riferisce dispnea per sforzi MODERATI, fare le scale, fare una salita. Marcia in piano non conservata</t>
  </si>
  <si>
    <t>si per sforzi MODERATI (salire le scale)</t>
  </si>
  <si>
    <t>presente per sforzi LIEVI-MODERATI (salire scale, percorrere salite, attività di vita quotidiana casalinga)</t>
  </si>
  <si>
    <t>si per sforzi MODERATI (aumentare il passo in piano)</t>
  </si>
  <si>
    <t>LIEVI da sforzo MODERATI-INTENSI</t>
  </si>
  <si>
    <t>si, da sforzo MODERATI - INTENSI (scale, salite)</t>
  </si>
  <si>
    <t>da sforzo MODERATI INTENSI (scale)</t>
  </si>
  <si>
    <t>per sforzi LIEVI, peggiora con aumento INTENSItà esercizio</t>
  </si>
  <si>
    <t>sforzi INTENSI\MODERATI</t>
  </si>
  <si>
    <t>Riferisce dispnea per sforzi MODERATI/LIEVI. Marcia in piano parzialmente conservata</t>
  </si>
  <si>
    <t>SFORZI LIEVI</t>
  </si>
  <si>
    <t>SFORZI MODERATI</t>
  </si>
  <si>
    <t>SFORZI INTENSI</t>
  </si>
  <si>
    <t>LIEVI</t>
  </si>
  <si>
    <t>per sforzi INTENSI</t>
  </si>
  <si>
    <t>DISPNEA A RIPOSO (1=NEGA)</t>
  </si>
  <si>
    <t>NEGA Riferisce fischi e sibili.</t>
  </si>
  <si>
    <t>DISPNEA A RIPOSO NDD BINARIO (1=NDD)</t>
  </si>
  <si>
    <t>SINTOMI RINITICI (1=SI)</t>
  </si>
  <si>
    <t>NEGA (pregressa chirurgia ORL, con operazione turbinati e setto nasale)</t>
  </si>
  <si>
    <t>NEGA al momento</t>
  </si>
  <si>
    <t>GERD BINARIO (1=SI)</t>
  </si>
  <si>
    <t>NEGA, in terapia con PPI</t>
  </si>
  <si>
    <t>NEGA, ma riferisce difficoltà alla deglutizione.</t>
  </si>
  <si>
    <t>ASTENIA BINARIO (1=SI)</t>
  </si>
  <si>
    <t>NEGA, ma riferisce sonno non ristoratore.</t>
  </si>
  <si>
    <t>NEGA particolari turbe mnesiche</t>
  </si>
  <si>
    <t>NEGA, presente in altri momenti della giornata.</t>
  </si>
  <si>
    <t>NEGA, lieve cefalea dopo pranzo</t>
  </si>
  <si>
    <t>NEGA, era presente</t>
  </si>
  <si>
    <t>N FUMATORI</t>
  </si>
  <si>
    <t>IN PENSIONE BINARIO</t>
  </si>
  <si>
    <t>EX autista AMT</t>
  </si>
  <si>
    <t>EX impiegata</t>
  </si>
  <si>
    <t>Pensionato, EX impegato</t>
  </si>
  <si>
    <t>EX carpentiere</t>
  </si>
  <si>
    <t>EX marmista, attualmente scultore</t>
  </si>
  <si>
    <t>EX gestore autoscuola</t>
  </si>
  <si>
    <t>EX- muratore</t>
  </si>
  <si>
    <t>EX-impiegato; EX-fumatore (stop 1 anno fa circa, 25 p/y)</t>
  </si>
  <si>
    <t>tecnico informatico; EX fumatore (8 p/y circa, stop 7 anni fa)</t>
  </si>
  <si>
    <t>attualmente idraulico, in passato elettricista; EX fumatore (stop 14 anni fa; 4 p/y)</t>
  </si>
  <si>
    <t>EX pizzaiolo</t>
  </si>
  <si>
    <t>casalinga (EX-parrucchiera); fumatrice attiva (attualmente 3-4 sigarette/die, dall'età di 18 anni)</t>
  </si>
  <si>
    <t>EX impiegata comunale</t>
  </si>
  <si>
    <t>pensionata, EX impiegata</t>
  </si>
  <si>
    <t>EX-impiegata</t>
  </si>
  <si>
    <t>EX elettricista</t>
  </si>
  <si>
    <t>EX tassista</t>
  </si>
  <si>
    <t>EX tecnico di laboratorio</t>
  </si>
  <si>
    <t>EX grafico, raramente in tipografia</t>
  </si>
  <si>
    <t>EX portalettere</t>
  </si>
  <si>
    <t>EX ferroviere</t>
  </si>
  <si>
    <t>EX operatore di telefonia</t>
  </si>
  <si>
    <t>EX-coloritore (Riferita esposizione professionale a polveri e vernici)</t>
  </si>
  <si>
    <t>EX idraulico e manutentore ilva</t>
  </si>
  <si>
    <t>EX fornaio, EX barista.</t>
  </si>
  <si>
    <t>EX ferroviere (nega esposizione professionale a polveri e inalanti)</t>
  </si>
  <si>
    <t>EX sommozzatore, al momento ristoratore</t>
  </si>
  <si>
    <t>EX tassista, nega familiarità per patologia polmonare</t>
  </si>
  <si>
    <t>EX portuale (esposizione a fumi e polveri)</t>
  </si>
  <si>
    <t>EX-bancario e giardiniere</t>
  </si>
  <si>
    <t>EX-matematico</t>
  </si>
  <si>
    <t>EX-commessa, attualmente disoccupata</t>
  </si>
  <si>
    <t>EX-marina mercantile</t>
  </si>
  <si>
    <t>EX-badante</t>
  </si>
  <si>
    <t>EX-operaio AMGA</t>
  </si>
  <si>
    <t>EX-meccanico</t>
  </si>
  <si>
    <t>EX-impiegato bancario</t>
  </si>
  <si>
    <t>LAVORATORI RISTORAZIONE BINARIO (1=SI)</t>
  </si>
  <si>
    <t>SETTORE EDILE (1=SI)</t>
  </si>
  <si>
    <t>LOGISTICA E TRASPORTI (1=SI)</t>
  </si>
  <si>
    <t>ARTIGIANATO (1=SI)</t>
  </si>
  <si>
    <t>SETTORE PORTUALE (1=SI)</t>
  </si>
  <si>
    <t>ASSISTENZA PERSONALE/DOMICILIARE E PULIZIE (1=SI)</t>
  </si>
  <si>
    <t>NDD BINARIO (1=SI)</t>
  </si>
  <si>
    <t>SANITA'/RI CERCA  Eattivita' di laboratorio (1=SI)</t>
  </si>
  <si>
    <t>NDD binario</t>
  </si>
  <si>
    <t>Allergie a Inalanti</t>
  </si>
  <si>
    <t>Allergie NDD</t>
  </si>
  <si>
    <t>LES con pregresso interessamento articolare, cutaneo e renale (glomerulonefrite membraNEGAsa con depositi di IgG, IgA e C3 in sede epiteliale nel 2019) e fibromialgia secondaria. Allergia a RTX, intolleranza a flexiban e duloxetina.</t>
  </si>
  <si>
    <t>NEGA (intollerante a lattosio), NEGA RAF</t>
  </si>
  <si>
    <t>NEGA allergia a farmaci e mdc; riferisce allergia ad acari e pollini</t>
  </si>
  <si>
    <t>NEGA RAF</t>
  </si>
  <si>
    <t>sensibilizzata a parietaria, NEGA RAF</t>
  </si>
  <si>
    <t>NEGA RAF.</t>
  </si>
  <si>
    <t>Allergico ad acari della polvere, parietaria, gatto. NEGA RAF.</t>
  </si>
  <si>
    <t>NEGA allergia ad inalanti. Riferisce malessere dopo assunzione di Augmentin</t>
  </si>
  <si>
    <t>Riferisce allergie alla parietaria. NEGA RAF</t>
  </si>
  <si>
    <t>NEGA RAF o allergie ad inalanti</t>
  </si>
  <si>
    <t>NEGA RAF e allergia ad inalanti.</t>
  </si>
  <si>
    <t>NEGA Raf o allergie ad inalanti</t>
  </si>
  <si>
    <t>NEGA RAF. Positività all'ISAAC: ole e1, Canf5, Fel d1, Der f1, Der F2, Der p1, Derp2, Lep d2, Blo t5.</t>
  </si>
  <si>
    <t>NEGA Raf o allergie ad inalanti.</t>
  </si>
  <si>
    <t>NEGA allergie ad inalanti, NEGA RAF</t>
  </si>
  <si>
    <t>NEGA allergia a Inalanti e RAF</t>
  </si>
  <si>
    <t>NEGA RAF o allergie ad inalanti.</t>
  </si>
  <si>
    <t>NEGA RAF o allergia ad inalanti</t>
  </si>
  <si>
    <t>NEGA allergie</t>
  </si>
  <si>
    <t>Parietaria, graminacee, merluzzo, lattice. NEGA RAF</t>
  </si>
  <si>
    <t>NEGA allergie a Raf e inalanti.</t>
  </si>
  <si>
    <t>NEGA allergie ad inalanti e NEGA RAF</t>
  </si>
  <si>
    <t>Acari della farina, acari della polvere, parietaria. NEGA RAF</t>
  </si>
  <si>
    <t>NEGA allergia ad inalanti. NEGA RAF</t>
  </si>
  <si>
    <t>NEGA Raf, NEGA allergia ad inalanti.</t>
  </si>
  <si>
    <t>NEGA allergie a farmaci. Mai eseguite prove allergologiche.</t>
  </si>
  <si>
    <t>Riferita allergia a pollini. NEGA RAF</t>
  </si>
  <si>
    <t>NEGA allergia a farmaci e inalanti.</t>
  </si>
  <si>
    <t>RAF: levofloxacina. NEGA allergia ad inalanti.</t>
  </si>
  <si>
    <t>NEGA. Controindicazioni epatologiche: flexiban.</t>
  </si>
  <si>
    <t>NEGA, edera</t>
  </si>
  <si>
    <t>NEGA allergie Note</t>
  </si>
  <si>
    <t>NEGA allergie Note.</t>
  </si>
  <si>
    <t>riferisce probabile reazione allergica all'ananas, NEGA altre allergie Note.</t>
  </si>
  <si>
    <t>NEGA allergie ad inalanti. Riferisce allergia ad antibiotico non specificato.</t>
  </si>
  <si>
    <t>non allergie Note</t>
  </si>
  <si>
    <t>Riferita sospetta allergia ad inalanti (non eseguite prove allergologiche). NEGA RAF</t>
  </si>
  <si>
    <t>non riferite allergie né RAF</t>
  </si>
  <si>
    <t>Eria hiatale, MRGE. non riferite allergie né RAF</t>
  </si>
  <si>
    <t>non allergie né RAF</t>
  </si>
  <si>
    <t>Riferita allergia al nocciolo. NEGA RAF</t>
  </si>
  <si>
    <t>Parietaria, Gatto, Olivo, nocciolo, Artemisia.</t>
  </si>
  <si>
    <t>scnosciuto</t>
  </si>
  <si>
    <t>scnosciuto, sospetta sensibilizzazione a pollini in attesa di visita allergologica</t>
  </si>
  <si>
    <t>polvere  e pollini._x000D_
scnosciuto RAF</t>
  </si>
  <si>
    <t>fragole, Novalgina</t>
  </si>
  <si>
    <t>Tollera solo Klacid 500, intolleranza a FANs, tachipirina e antibiotici che aumentano la psoriasi</t>
  </si>
  <si>
    <t>OKI (sensazione di bruciore in bocca), Novalgina</t>
  </si>
  <si>
    <t>bronchenolo</t>
  </si>
  <si>
    <t>Noci, acido acetilsalicilico</t>
  </si>
  <si>
    <t>mai esguito test allergologici, rinorrea e starnutazioni per mimosa</t>
  </si>
  <si>
    <t>Riferita allergia a pollini NEGA RAF.</t>
  </si>
  <si>
    <t>pregressa SCA (1997) e intollerante alla terapia con Atorvastatina e Rosuvastatina.  diagnosi di iniziale disfagia per solidi, deterioramento cognitivo , IPT arteriosa, diabete II, vasculopatia carotidea, insuff venosa aaii. non riferite allergie</t>
  </si>
  <si>
    <t>RAF: novalgina (ipotensione), tachipirina (diarrea e giramenti di testa)</t>
  </si>
  <si>
    <t>Polisensibilizzazione allergica non nota</t>
  </si>
  <si>
    <t>RAF binario</t>
  </si>
  <si>
    <t>Allergie alimentari binario</t>
  </si>
  <si>
    <t>Allergie da contatto binario</t>
  </si>
  <si>
    <t>Tiroide NDD</t>
  </si>
  <si>
    <t>NDD patol resp</t>
  </si>
  <si>
    <t>o2tp NDD</t>
  </si>
  <si>
    <t>ndd</t>
  </si>
  <si>
    <t>SONNOLENZA DIURNA BINARIO</t>
  </si>
  <si>
    <t>COMPLIANCE NDD BINARIO</t>
  </si>
  <si>
    <t>COMPLIANCE BUONA BINARIO</t>
  </si>
  <si>
    <t>INADEGUATA COMPLIANCE BINARIO</t>
  </si>
  <si>
    <t>OTTIMALE COMPLIANCE BINARIO</t>
  </si>
  <si>
    <t>% giorni di terapia/tempo valutato MEDIA</t>
  </si>
  <si>
    <t>DIABETE</t>
  </si>
  <si>
    <t>ALLERGIA A INALANTI</t>
  </si>
  <si>
    <t>CEREBRO VASCOLARI</t>
  </si>
  <si>
    <t>STORIA DI TVP/TEP</t>
  </si>
  <si>
    <t>OSAS NOTI</t>
  </si>
  <si>
    <t>PARALISI DIAFRAMMATICA</t>
  </si>
  <si>
    <t>REFLUSSO GE/ERNIA IATALE</t>
  </si>
  <si>
    <t>RAF</t>
  </si>
  <si>
    <t>EMATOLOGICHE</t>
  </si>
  <si>
    <t>DERMATITE ATOPICA</t>
  </si>
  <si>
    <t>IPERTENSIONE</t>
  </si>
  <si>
    <t>MIOCARDIOPT NON ISCHEMICHE</t>
  </si>
  <si>
    <t>REUMATOLOGICA</t>
  </si>
  <si>
    <t>DISPLIPIDEMIA</t>
  </si>
  <si>
    <t>CARDIOPATIA ISCHEMICA</t>
  </si>
  <si>
    <t>ATEROSCLEROSI TSA</t>
  </si>
  <si>
    <t>CALO PONDERALE</t>
  </si>
  <si>
    <t>STORIA ONCLOGICA</t>
  </si>
  <si>
    <t>15 +</t>
  </si>
  <si>
    <t>10+</t>
  </si>
  <si>
    <t>2+</t>
  </si>
  <si>
    <t>5+</t>
  </si>
  <si>
    <t>Testa Salvatore</t>
  </si>
  <si>
    <t>TSTSVT60P22D969N</t>
  </si>
  <si>
    <t>3356772539</t>
  </si>
  <si>
    <t>sospetta osas</t>
  </si>
  <si>
    <t>curante (La valle</t>
  </si>
  <si>
    <t>modico</t>
  </si>
  <si>
    <t>si ( triate, concor)c, cardura,</t>
  </si>
  <si>
    <t>ipotiroidismo autoimmune</t>
  </si>
  <si>
    <t>Sindrome da anticorpi antifosfolipidi, piastrinopatia autoimmune</t>
  </si>
  <si>
    <t>Carbamazepina per episodi epilettici</t>
  </si>
  <si>
    <t>si (antiistaminici al bisogno)</t>
  </si>
  <si>
    <t>turbe dispeptiche</t>
  </si>
  <si>
    <t>1 risveglio</t>
  </si>
  <si>
    <t>26,7</t>
  </si>
  <si>
    <t>nei limiti</t>
  </si>
  <si>
    <t>Si programma polisonnografia basale per il giorno 29 01 2021 ore 11:00</t>
  </si>
  <si>
    <t>Amoretti Fabio</t>
  </si>
  <si>
    <t>MRTFBA68H27D969I</t>
  </si>
  <si>
    <t>3468551532</t>
  </si>
  <si>
    <t>Riferite apnee nel sonno associate a russamento.</t>
  </si>
  <si>
    <t>Curante ( Sangalli)</t>
  </si>
  <si>
    <t>fumatore attivo, 45 pack/year</t>
  </si>
  <si>
    <t>DM2</t>
  </si>
  <si>
    <t>Metformina, Gliclazide, Giant, Seacor, sequacor, Total lip, pantoprazolo, cardioASA.</t>
  </si>
  <si>
    <t>Presa visione ecg, ecocardiogramma ed eco TSA.</t>
  </si>
  <si>
    <t>sì associata a isolati episodi sincopali.</t>
  </si>
  <si>
    <t>rinorrea e starnutazioni.</t>
  </si>
  <si>
    <t>sì, due volte</t>
  </si>
  <si>
    <t>Paziente vigile e orientato nel tempo e nello spazio, collaborante, EOP: MV ipotrasmesso bilateralmente, FVT normotrasmesso in tutto l'ambito, SCP in tutto l'ambito.  EOC: toni validi, ritmici, pause apparentemente libere.</t>
  </si>
  <si>
    <t>Esecuzione di MCR notturno,programmato per venerdì 19/02/2021 ore 12. Se sintomi rinitici avviare empiricamente terapia con Brusonex 1 spruzzo per narice per un ciclo di 15 giorni (ripetibile). Eseguire visita allergologica con Prick test.</t>
  </si>
  <si>
    <t>Molinaro Roberto</t>
  </si>
  <si>
    <t>MLNRRT68L05D969C</t>
  </si>
  <si>
    <t>3472305109</t>
  </si>
  <si>
    <t>Curante (Savino)</t>
  </si>
  <si>
    <t>Ex trasportatore-barista</t>
  </si>
  <si>
    <t>fumatore attivo (un pacchetto al giorno)</t>
  </si>
  <si>
    <t>inalanti stagionali</t>
  </si>
  <si>
    <t>DM 2</t>
  </si>
  <si>
    <t>MCR notturnobasale (ottobre 2020): AHI 57,9, ODI 81,5, T90 23%. MCR notturno in CPAP p11 cmH2O: AHI 0, ODI 2,4, T90 0,8.</t>
  </si>
  <si>
    <t>Metformina, CardioASA, antipertensivo non specificato.</t>
  </si>
  <si>
    <t>Pz eupnoico a riposo, tachipnoico all'eloquio,in attesa di intervento di chirurgia bariatrica.EOP: MV diffusamente ridotto,SCP e FVT in tutto l'ambito, non si riscontrano rumori respiratori patologici.EOC: toni validi ritmici, pause apparentemente libere.</t>
  </si>
  <si>
    <t>Si prescrive CPAP p 11 cmH2O. Visita di controllo con scarico dati a tre mesi dalla ricezione del presidio.</t>
  </si>
  <si>
    <t>Argurio Sandra</t>
  </si>
  <si>
    <t>RGRSDR41M57D969J</t>
  </si>
  <si>
    <t>3402677799</t>
  </si>
  <si>
    <t>Curante (Cogorno)</t>
  </si>
  <si>
    <t>Ex naturopata</t>
  </si>
  <si>
    <t>ex fumatrice (10 sigarette/die per 15 anni)</t>
  </si>
  <si>
    <t>Aspirina, antibiotici (riferisce escluso augmentin),trimeton, Tantum verde, Isomar, Nichel, Gaviscon, fenilefrina, delecit, vespidi.</t>
  </si>
  <si>
    <t>rx torace 13/08/2020: assenza di lesioni pleuro-polmonari in atto, sclerectomia dell'arco aortico.</t>
  </si>
  <si>
    <t>secca da circa un anno (riferita associazione con utilizzo mascherina)</t>
  </si>
  <si>
    <t>lievi da circa un anno con isolati episodi di epistassi.</t>
  </si>
  <si>
    <t>lievi disturbi della memoria a breve e a lungo termine da circa due mesi.</t>
  </si>
  <si>
    <t>Paziente vigile e collaborante, eupnoicoall'eloquio, EOP: MV normotrasmesso. SCP su tutto l'ambito; FVT su tutto l'ambito, assenza di grossolani rumori patologici polmonari. EOC: toni validi, ritmici, pause apparentemente libere.</t>
  </si>
  <si>
    <t>Effettuare MCR notturno programmato in data 26/02/2021 alle ore 11. Effettuare spirometria semplice.</t>
  </si>
  <si>
    <t>Aquaroli Maria Maddalena</t>
  </si>
  <si>
    <t>QRLMMD55R52D969R</t>
  </si>
  <si>
    <t>0102922761</t>
  </si>
  <si>
    <t>Controllo per sospetta OSAS</t>
  </si>
  <si>
    <t>Dietologa</t>
  </si>
  <si>
    <t>Ex addetta mensa</t>
  </si>
  <si>
    <t>mai fumatrice</t>
  </si>
  <si>
    <t>1 bicchiere di vino ai pasti</t>
  </si>
  <si>
    <t>nega allergie note</t>
  </si>
  <si>
    <t>Effettuata sostituzione valvolare aortica con bioprotesi e rivascolarizzazione miocardica mediante singolo by-pass aorto-coronarico (AMNI su IVA) nel gennaio 2018. Nel febbraio 2018 IC di emicolectomia destra  di ischemia intestinale.</t>
  </si>
  <si>
    <t>grave</t>
  </si>
  <si>
    <t>nega (riferisce ernia iatale nota)</t>
  </si>
  <si>
    <t>Polmonite a focolai multipli nel 2018 durante ricovero per IC di sostituzione valvolare aortica.</t>
  </si>
  <si>
    <t>non disponibile.</t>
  </si>
  <si>
    <t>Sequacor, Spirofur, Lansox, Torvast, Cardioaspirina, Palexia, Folina.</t>
  </si>
  <si>
    <t>11</t>
  </si>
  <si>
    <t>paziente eupnoica a riposo e all'eloquio. EOP: MV normotrasmesso su tutto l'ambito, lieve ipofonesi plessica diffusa, FVT ipotrasmesso su tutto l'ambito. EOC: toni validi, ritmici, pause apparentemente libere. Non edemi declivi.</t>
  </si>
  <si>
    <t>Si programma MCR notturno per il giorno 03/05/2021 ore 12:00. Effettuare EGA.</t>
  </si>
  <si>
    <t>Racovaz Livia</t>
  </si>
  <si>
    <t>RCVLVI51B61G778O</t>
  </si>
  <si>
    <t>3356447020</t>
  </si>
  <si>
    <t>Controllo in OSAS di grado moderato, attualmente non in terapia.</t>
  </si>
  <si>
    <t>Medicina interna Policlinico San Martino.</t>
  </si>
  <si>
    <t>intolleranza all'aspirina</t>
  </si>
  <si>
    <t>primo grado</t>
  </si>
  <si>
    <t>Riferisce Bronchite in età infantile con esiti non meglio specificati</t>
  </si>
  <si>
    <t>Lobivon, Giant, Trulicity 1,5 mg 1 iniezione/sett, Metformina 2vv/die, Cardirene 75 mg, Inegy 10/20, Colecalciferolo, Anastrozolo. Lansox.</t>
  </si>
  <si>
    <t>riferisce lieve tosse notturna</t>
  </si>
  <si>
    <t>lieve per sforzi moderati</t>
  </si>
  <si>
    <t>nega in terapia</t>
  </si>
  <si>
    <t>Paziente eupnoico a riposo e all'eloquio. EOP:</t>
  </si>
  <si>
    <t>Si programma monitoraggio in corso di CPAP notturna in modalità autoregolante per il giorno 19/03/2021.</t>
  </si>
  <si>
    <t>Scarcelli Maria</t>
  </si>
  <si>
    <t>SCRMRA53B48D123P</t>
  </si>
  <si>
    <t>3477612858</t>
  </si>
  <si>
    <t>riferito russamento e sonnolenza diurna in paziente con quadro bronchitico ostruttivo lieve</t>
  </si>
  <si>
    <t>nostro ambulatorio pneumologico</t>
  </si>
  <si>
    <t>OSS HSM</t>
  </si>
  <si>
    <t>20-30 sigarette/die per circa 30 anni, stop nel 2010.</t>
  </si>
  <si>
    <t>saltuario.</t>
  </si>
  <si>
    <t>nichel, intolleranza a glutine e lattosio.</t>
  </si>
  <si>
    <t>nega.</t>
  </si>
  <si>
    <t>non chiaro.</t>
  </si>
  <si>
    <t>ipotiroidismo in gozzo multinodulare non tossico.</t>
  </si>
  <si>
    <t>si, gastrite cronica atrofica.</t>
  </si>
  <si>
    <t>ostruzione bronchiale lieve in terapia inalatoria non meglio specificata.</t>
  </si>
  <si>
    <t>PFR 11.2019: FVC 94% (1.7L), FEV1 79% (1.20L), IT 70. TLC 112%(4.30L), RV 153% (2.6L), DLCO 70%. Ostruzione lieve con intrappolamento aereo. Riferisce frequenti risvegli notturni per affanno e sibili, 1-2 bronchiti all'anno.</t>
  </si>
  <si>
    <t>Reaptan, Cardiur, Tirosint, DiBase, Ramipril, terapia inalatoria non meglio specificata (LAMA breezhaler)</t>
  </si>
  <si>
    <t>rara.</t>
  </si>
  <si>
    <t>si, per sforzi lieve moderati (camminata in piano veloce).</t>
  </si>
  <si>
    <t>si, riferisce risvegli notturni e sibili frequenti.</t>
  </si>
  <si>
    <t>si, 4-5 volte.</t>
  </si>
  <si>
    <t>Torace: MV diffusamente ridotto, non franchi rumori aptologici aggiunti.</t>
  </si>
  <si>
    <t>Si consiglia monitoraggio cardiorespiratorio notturno in data 16 giugno 2021 alle ore 12.00 . Si consiglia di iniziare terapia con Foster spray 100/6 una inalazione mattino e sera tramite camera di distanziamento. Si consiglia di eseguire spirometria.</t>
  </si>
  <si>
    <t>Pino Gianluigi</t>
  </si>
  <si>
    <t>PNIGLG75M18D969G</t>
  </si>
  <si>
    <t>3383601564</t>
  </si>
  <si>
    <t>Chocking notturno e russamento.</t>
  </si>
  <si>
    <t>Medico curante (Dr. Scala Antonio)</t>
  </si>
  <si>
    <t>Impiegato - Ex-operaio in cimitero.</t>
  </si>
  <si>
    <t>Fumatore attivo ( 30 sigarette/die da circa 35 anni).</t>
  </si>
  <si>
    <t>1 birra/die.</t>
  </si>
  <si>
    <t>Nega.</t>
  </si>
  <si>
    <t>No, dal 2006.</t>
  </si>
  <si>
    <t>in corso valutazione.</t>
  </si>
  <si>
    <t>Nodulo tiroideo in FU.</t>
  </si>
  <si>
    <t>Ostruzione nasale soprattutto in inverno, ma presente tutto l'anno.</t>
  </si>
  <si>
    <t>V. Infettivologica 01.2021: nota HIV positività, HCV positività negativizzata dal 2018 dopo terapia, buone condizioni generali, diario pressorio._x000D_
V. Endocrinologica: nodulo tiroideo/paratiroideo dx , agoaspirato negativo. In FU.  CSM per S. Bipolare.</t>
  </si>
  <si>
    <t>Dibase 100.000 UI/mese, Zyprexa 5 mg, Pregabalin 75 mg 1, Litio 300 mg 1 c x 3 die, _x000D_
colibri 1 cp/die,  Odefsey.Tamsulosina.</t>
  </si>
  <si>
    <t>a volte, con espettorato giallo-marrone.</t>
  </si>
  <si>
    <t>Chocking notturno.</t>
  </si>
  <si>
    <t>Si, per sforzi moderati .</t>
  </si>
  <si>
    <t>Nega. Riferisce fischi e sibili.</t>
  </si>
  <si>
    <t>si, 1-2 volte.</t>
  </si>
  <si>
    <t>nega. Riferisce difficoltà di concentrazione.</t>
  </si>
  <si>
    <t>Si, riferisce sonno poco riposante e stanchezza al mattino.</t>
  </si>
  <si>
    <t>Pontiggia Roberto</t>
  </si>
  <si>
    <t>PNTRRT65H06A005K</t>
  </si>
  <si>
    <t>3516151555</t>
  </si>
  <si>
    <t>riferita apnea e russamento dalla moglie.</t>
  </si>
  <si>
    <t>MMG ( Dr. Atzei Massimiliano)</t>
  </si>
  <si>
    <t>libero professionista come consulente aziendale</t>
  </si>
  <si>
    <t>fumatore attivo ( 40 sigarette/die fino al 2020, ora 5-6 sigarette/die IQOS)</t>
  </si>
  <si>
    <t>SPT pos per acari della polvere e graminacee.</t>
  </si>
  <si>
    <t>Asma bronchiale.</t>
  </si>
  <si>
    <t>Marzo 2021 intervento per AAA. Riferisce aumento ponderale negli ultimi 2 anni (15 Kg).</t>
  </si>
  <si>
    <t>Bentelan al bisogno. Riferisce terapia inalatoria sospesa. cardioASA, terapia per ipercolesterolemia.</t>
  </si>
  <si>
    <t>no.</t>
  </si>
  <si>
    <t>si, (2-3 notti a settimana)</t>
  </si>
  <si>
    <t>Torace: MV diffusamente ridotto in assenza di franchi rumori di broncostenosi.</t>
  </si>
  <si>
    <t>Sospetta sindrome delle apnee notturne  in paziente affetto da asma bronchiale e forte fumatore. Si consiglia monitoraggio cardiorespiratorio notturno in data 4 giugno 2021 alle ore 12.00. Calo ponderale. Spirometria semplice di controllo. Inziare Relvar.</t>
  </si>
  <si>
    <t>Vignolo Giovanna</t>
  </si>
  <si>
    <t>VGNGNN68L53D969J</t>
  </si>
  <si>
    <t>3408603709</t>
  </si>
  <si>
    <t>Curante (Dr. Proietti)</t>
  </si>
  <si>
    <t>ex fumatrice (10-15 sigarette/die per circa 8 anni, stop 1999).</t>
  </si>
  <si>
    <t>nega allergie note. Riferisce celiachia.</t>
  </si>
  <si>
    <t>terapia ormonale per menopausa (Senshio)</t>
  </si>
  <si>
    <t>sì 1 volta/notte</t>
  </si>
  <si>
    <t>paziente eupnoico a riposo e all'eloquio. EOP: MV normotrasmesso, FVT normotrasmesso, normofonesi plessica, in assenza di grossolani rumori patologici aggiunti. EOC: toni validi, ritmici, pause apparentemente libere.</t>
  </si>
  <si>
    <t>Esecuzione di polisonnogramma notturno basale programmato per il giorno</t>
  </si>
  <si>
    <t>Govi Giovanni</t>
  </si>
  <si>
    <t>GVOGNN58H13D969B</t>
  </si>
  <si>
    <t>3204364534</t>
  </si>
  <si>
    <t>Curante (Dr. Malcotti)</t>
  </si>
  <si>
    <t>funzionario ispettivo del Ministero dell'Agricoltura</t>
  </si>
  <si>
    <t>mai fumatore</t>
  </si>
  <si>
    <t>Riferisce di aver nega</t>
  </si>
  <si>
    <t>Poliglobulia con valori di ht ai limiti alti. IC per tumore benigno del fegato non meglio specificato nel 2000. Pregressi asportazioni di lipomi. Appendicectomia, tonsillectomia, IC per deviazione del setto nasale, ipertrofia prostatica, scoliosi e dolore</t>
  </si>
  <si>
    <t>Bivis e farmaco per ipertrofia prostatica non meglio specificato.</t>
  </si>
  <si>
    <t>Riferisce occasionali risvegli notturni per affanno (1 volta ogni 10 giorni circa). Comparsa del disturbo solo in posizione prona o nelle variazioni di posizione (riferisce sensazione di ostruzione nasale).</t>
  </si>
  <si>
    <t>riferisce comparsa di dispnea per sforzi moderati-intensi da circa un anno e mezzo (riferisce concomitante diagnosi di poliglobulia).</t>
  </si>
  <si>
    <t>11 (riferisce sonnolenza diurna correlata a digestione)</t>
  </si>
  <si>
    <t>paziente eupnoico a riposo e all'eloquio. EOP: MV normotrasmesso, FVT normotrasmesso, normofonesi plessica, in assenza di rumori patologici aggiunti. EOC: toni validi, ritmici, pause apparentemente libere da soffi.</t>
  </si>
  <si>
    <t>Si programma polisonnogrammanotturno programmato per il giorno 8/06/2021 ore 12:00.</t>
  </si>
  <si>
    <t>Ferrando Teresio</t>
  </si>
  <si>
    <t>FRRTRS43L24D969F</t>
  </si>
  <si>
    <t>riferito russamento ed apnee da parte della moglie</t>
  </si>
  <si>
    <t>Cardiologo di riferimento (Dr.ssa Carazza)</t>
  </si>
  <si>
    <t>pensionato (ex-ferroviere)</t>
  </si>
  <si>
    <t>ex-fumatore (10 -15 sigarette/die per 20 anni, stop nel 1980 circa)</t>
  </si>
  <si>
    <t>saltuario bicchiere di vino.</t>
  </si>
  <si>
    <t>riferito episodio di cardiopalmo.</t>
  </si>
  <si>
    <t>si, in terapia con statine.</t>
  </si>
  <si>
    <t>riferita iperglicemia.</t>
  </si>
  <si>
    <t>nega (riferite aumentate dimensioni della tiroide, in attesa di FU)</t>
  </si>
  <si>
    <t>no, sovrappeso.</t>
  </si>
  <si>
    <t>riferisce sospetta asma in età giovanile, riferisce bronchiti frequenti, 3 anni fa ricovero per broncopolmonite. Eseguite PFR circa 5 anni fa riferite nella norma.</t>
  </si>
  <si>
    <t>Non in visione.</t>
  </si>
  <si>
    <t>statina e proscar per IPB.</t>
  </si>
  <si>
    <t>1 volta/notte.</t>
  </si>
  <si>
    <t>Eupnoico a riposo ed all'eloquio. Torace: MV presente, non franchi rumori patologici aggiunti. ACV toni cardiaci validi, soffio sistolico 2/6 udibile su focolaio aortico, lieve succulenza perimalleolare.</t>
  </si>
  <si>
    <t>Sospetta sindrome delle apnee notturne in riferito russamento e sonnolenza diurna. Si consiglia: Monitoraggio cardiorespiratorio notturno basale e spirometria semplice di controllo.</t>
  </si>
  <si>
    <t>Felleti Salvatore</t>
  </si>
  <si>
    <t>FLLSVT38S12C725M</t>
  </si>
  <si>
    <t>3288188836</t>
  </si>
  <si>
    <t>Visita in sospetta OSAS (eseguito test notturno presso farmacia con risultato patologico: AHI 56,86, ODI 3 , t90=4%).</t>
  </si>
  <si>
    <t>Pneumologo (Dr. Grosso)</t>
  </si>
  <si>
    <t>ex elettricista</t>
  </si>
  <si>
    <t>ex fumatore (stop nel 1997, 30 sigarette/die per circa 45-50 anni)</t>
  </si>
  <si>
    <t>Nega. Ultimo ecocardiogramma 08/03/2021: (…)VS non dilatato né ipertrofico con lieve ipocinesia parete posteriore e FE globale ai limiti inferiori. Bulbo aortico di normali dimensioni. Minima insufficienza aortica. Dilatazione biatriale.</t>
  </si>
  <si>
    <t>Fibrillazione atriale</t>
  </si>
  <si>
    <t>Pregressa polmonite eosinofila nel 2019. Enfisema polmonare.</t>
  </si>
  <si>
    <t>Ultima spirometria 12/04/2021: Anomalia volumetrica di tipo restrittivo di entità lieve. Riduzione della diffusione polmonare del CO di grado lieve.</t>
  </si>
  <si>
    <t>Coumadin, Triatec, inalatore non meglio specificato.</t>
  </si>
  <si>
    <t>riferisce occasionali episodi tosse secca cronica</t>
  </si>
  <si>
    <t>sì (2 volte/settimana)</t>
  </si>
  <si>
    <t>riferisce comparsa di lieve dispnea per sforzi lievi (vestirsi/svestirsi)</t>
  </si>
  <si>
    <t>paziente eupnoico a riposo e all'eloquio. EOP: MV normotrasmesso, FVT normotrasmesso, iperfonesi plessica agli apici, lievi crepitazioni in base sinistra. EOC: toni validi, aritmici in nota FA. Lievi edemi declivi AAII.</t>
  </si>
  <si>
    <t>Si programma adattamento a CPAP notturna per il giorno 20 luglio 2021 ore 10:00.</t>
  </si>
  <si>
    <t>Grandi Roberto</t>
  </si>
  <si>
    <t>GRNRRT54S14C621Y</t>
  </si>
  <si>
    <t>3283858353</t>
  </si>
  <si>
    <t>riferito russamento notturno ed apnea da parte della moglie</t>
  </si>
  <si>
    <t>MMG (Dr. De Ferrari E.)</t>
  </si>
  <si>
    <t>Pensionato (ex-dipendente ENEL)</t>
  </si>
  <si>
    <t>Ex-fumatore (40 sigarette/die per 12 anni , stop nel 1990)</t>
  </si>
  <si>
    <t>saltuario in compagnia.</t>
  </si>
  <si>
    <t>Lieve ipercolesterolemia.</t>
  </si>
  <si>
    <t>DM tipo II.</t>
  </si>
  <si>
    <t>In anamnesi pregressi IC di appendicectomia e per trauma vertebrale dopo caduta accidentale. In anamnesi S. Ansioso-depressiva. Nega patologie cardiovascolari e/o polmonari note. Nega aumento ponderale.</t>
  </si>
  <si>
    <t>Metformina 500 mg 1 cp pranzo e cena, Setralina 100 mg 1 cp.</t>
  </si>
  <si>
    <t>Lieve per sforzi intensi.</t>
  </si>
  <si>
    <t>Si (1-5 volte).</t>
  </si>
  <si>
    <t>Nega. Nega difficoltà di concentrazione. Nega difficoltà al risveglio.</t>
  </si>
  <si>
    <t>Torace: MV presente, lievemente aspro ai campi medi. ACV toni validi, ritmici, pause libere da soffi. Non edemi declivi.</t>
  </si>
  <si>
    <t>Sospetta sindrome delle apnee notturne in riferito russamento._x000D_
Si programma MCR notturno basale in data 16 luglio 2021 alle ore 10.</t>
  </si>
  <si>
    <t>Besate Pierpaolo</t>
  </si>
  <si>
    <t>BSTPPL67H18H536C</t>
  </si>
  <si>
    <t>3311984850</t>
  </si>
  <si>
    <t>MMG ( Dott. Chiama Alberto)</t>
  </si>
  <si>
    <t>trigliceridi 366- colesterolo 249</t>
  </si>
  <si>
    <t>documentazione urologica per follow up di rourine lieve ipertrofia prostatica</t>
  </si>
  <si>
    <t>eupnoico all'eloquio, Mv presente no rumori patologici aggiunti. Acv Toni validi ritmici. Arti inferiori vene varicose superficiali inetrno coscia</t>
  </si>
  <si>
    <t>si consiglia esame polisonografico basale per il 02.08.2021 h 10.00</t>
  </si>
  <si>
    <t>Morreale Gaetano</t>
  </si>
  <si>
    <t>MRRGTN88H15G273D</t>
  </si>
  <si>
    <t>3428626078</t>
  </si>
  <si>
    <t>mmG (DOTT. MARRè EZIO )</t>
  </si>
  <si>
    <t>si 1 pacchetto al giorno</t>
  </si>
  <si>
    <t>si col tot 231 , hdl 46, LDl 153 mg /dl</t>
  </si>
  <si>
    <t>privo di documentazione clinica</t>
  </si>
  <si>
    <t>riopan, pantorc</t>
  </si>
  <si>
    <t>Mv presente no rumori patologici aggiunti , acv toni validi, Assenza di edemi declivi. Aumento di peso di 10 Kg nell'ultimo anno, già in cura presso gastroenterologo per forte reflusso gastro esofageo</t>
  </si>
  <si>
    <t>esame polisonnografia notturna basale per 21.07.2021 h 11.30</t>
  </si>
  <si>
    <t>Mirto Ferdinando</t>
  </si>
  <si>
    <t>MRTFDN74M10D969K</t>
  </si>
  <si>
    <t>3482353792</t>
  </si>
  <si>
    <t>risvegli notturni con sensazione di dispnea</t>
  </si>
  <si>
    <t>Medico Curante (Pedullà)</t>
  </si>
  <si>
    <t>impresa di pulizia</t>
  </si>
  <si>
    <t>1 pacchetto/die da 3 mesi, in precedenza 2 pack/die, totale 30 anni di fumo circa</t>
  </si>
  <si>
    <t>diversi allergeni alimentari (mais, pomodoro, frutta a guscio)</t>
  </si>
  <si>
    <t>ernia jatale trattata con Ppi per 6 mesi</t>
  </si>
  <si>
    <t>zirtec e deltacortene al bisogno in caso di sintomatologia allergica</t>
  </si>
  <si>
    <t>il paziente riferisce risvegli notturni con sensazione di fame d'aria, con cadenza ogni circa dieci giorni. Lamenta anche dispnea</t>
  </si>
  <si>
    <t>dispnea dopo eloquio prolungato o per sforzi intensi</t>
  </si>
  <si>
    <t>88 bpm/R</t>
  </si>
  <si>
    <t>murmure ridotto in toto, qualche ronco sparso</t>
  </si>
  <si>
    <t>sospetta sindrome delle apnee notturne; quadro clinico anamnestico compatibile con malattia ostruttiva cronica, mai eseguite prove di funzionalità respiratoria._x000D_
Utile rivalutazione allergologica per eventuale prescrizione di adrenalina</t>
  </si>
  <si>
    <t>Castagnino Andrea</t>
  </si>
  <si>
    <t>3465388886</t>
  </si>
  <si>
    <t>sindrome delle apnee notturne diagnosticata nel 2011, paziente con interventi ORL</t>
  </si>
  <si>
    <t>MMG ( Dott. Riccardo Masserano )</t>
  </si>
  <si>
    <t>verniciatore</t>
  </si>
  <si>
    <t>ex fumatore 10 sifgarette al giorno 2 anni</t>
  </si>
  <si>
    <t>reazioni orticariodi non riferibili a causa specifica</t>
  </si>
  <si>
    <t>operato ad 8 anni DIA</t>
  </si>
  <si>
    <t>ipertrofia dei turbinati trattata chirurgicamente ed asportazione dell'ugola</t>
  </si>
  <si>
    <t>Ahi 77 nel 2011</t>
  </si>
  <si>
    <t>si , riferisce da quando c'è stato un aumento di 20 Kg di peso</t>
  </si>
  <si>
    <t>43,8</t>
  </si>
  <si>
    <t>eupnoico. Mv presente, assenza di rumori patologici . Acv toni validi pause libere. all'eloquio</t>
  </si>
  <si>
    <t>si consiglia eseme polissografia basale</t>
  </si>
  <si>
    <t>MODAFFARI GIANCARLO</t>
  </si>
  <si>
    <t>MDFGCR60R14E041A</t>
  </si>
  <si>
    <t>3209135847</t>
  </si>
  <si>
    <t>MMG ( Dott.eesa Coscia raffaella )</t>
  </si>
  <si>
    <t>impiegato per una cooperativa ambientale</t>
  </si>
  <si>
    <t>fumatore 6  sigarette al giorno da 10 anni</t>
  </si>
  <si>
    <t>si ai pasti</t>
  </si>
  <si>
    <t>si al mattino</t>
  </si>
  <si>
    <t>calo della concentrazione nell'ultimo anno</t>
  </si>
  <si>
    <t>23,8</t>
  </si>
  <si>
    <t>eupnoico all'eloquio,Mv presente assenza di rumori patologici aggiunti. AVC toni validi ritmici, assenza di edemi declivi</t>
  </si>
  <si>
    <t>Polisonnogramma basale in data odierna</t>
  </si>
  <si>
    <t>Carabellese Luca</t>
  </si>
  <si>
    <t>CRBLCU68T16D969G</t>
  </si>
  <si>
    <t>3471574305</t>
  </si>
  <si>
    <t>dopo visita neurologica (Dott. Giglioli )</t>
  </si>
  <si>
    <t>metalmeccanico</t>
  </si>
  <si>
    <t>ex fumatore 30 sigarette al giorno per 32 anni</t>
  </si>
  <si>
    <t>si , impianto  di Sten coronarico dicembre 2019</t>
  </si>
  <si>
    <t>tia nel 2019, impianto di stent cardiaco nel 2019, vertigine oggettive</t>
  </si>
  <si>
    <t>norvasc 2,5 mg, ramipril, diuresix, duoplavin, torvast,</t>
  </si>
  <si>
    <t>amnesia lacunare in cura , ex covid marzo 2021 neurologica</t>
  </si>
  <si>
    <t>secca al mattino</t>
  </si>
  <si>
    <t>si per lievi movimenti (camminata veloce 9</t>
  </si>
  <si>
    <t>si , riconducibile al Tia del 2019</t>
  </si>
  <si>
    <t>23,9</t>
  </si>
  <si>
    <t>polisonnogramma basale per il giorno</t>
  </si>
  <si>
    <t>Bolzacchini Marco</t>
  </si>
  <si>
    <t>BLZMRC49P27D969R</t>
  </si>
  <si>
    <t>3388724350</t>
  </si>
  <si>
    <t>Sindrome delle apnee del sonno di grado grave riscontrate con polisonnogramma notturno nel 2013 (AHI: 31,5)</t>
  </si>
  <si>
    <t>Ex bancario, in età giovanile falegname</t>
  </si>
  <si>
    <t>Ex fumatore stop da 50 anni circa</t>
  </si>
  <si>
    <t>Sindrome ansionsa con crisi di panico in passato, pregressa TURP, IC retina</t>
  </si>
  <si>
    <t>Porta in visione MCR notturno (2013): AHI 31,5; ODI 17,6; SpO2 media 93%; T90 4%</t>
  </si>
  <si>
    <t>Pantoprazolo, Gaviscon, Citalopram</t>
  </si>
  <si>
    <t>Saltuariamente tosse secca verosimilmente da reflusso.</t>
  </si>
  <si>
    <t>Si, riferisce stato confusionale soprattutto al mattino</t>
  </si>
  <si>
    <t>25,6</t>
  </si>
  <si>
    <t>99% in aa</t>
  </si>
  <si>
    <t>68 bpm R</t>
  </si>
  <si>
    <t>Al torace MV presente in toto, assenza di rumori patologici aggiunti</t>
  </si>
  <si>
    <t>Si consiglia eseguire monitoraggio cardiorespiratorio notturno basale. Il paziente dovrà recarsi presso il nostro ambulatoruio in data per il ritiro del dispositivo che dovrà essere riconsegnato il giorno successivo entro le ore 8.</t>
  </si>
  <si>
    <t>Lucà Carmela</t>
  </si>
  <si>
    <t>LCUCML67S65F158F</t>
  </si>
  <si>
    <t>3490561811 0100996793</t>
  </si>
  <si>
    <t>Visita di controllo in paziente con pregressa diagnosi di OSAS (2015: AHI 37,8)</t>
  </si>
  <si>
    <t>riferita esposizione a fumo passivo</t>
  </si>
  <si>
    <t>riferita allergia a emzzo di contrasto</t>
  </si>
  <si>
    <t>sì, in tp con Lobivon</t>
  </si>
  <si>
    <t>altera glicemia a digiugno</t>
  </si>
  <si>
    <t>sì, affetta da tiroidite di Hashimoto</t>
  </si>
  <si>
    <t>presente, in tp con Pantorc</t>
  </si>
  <si>
    <t>Seguita c/o Neurologia per cefalea, pregressi episodi sincopali, Pregresso (nel 2019) episodio di emiparesi destra per cui è in terapia_x000D_
con Cardioaspirin (RM encefalo nella norma).</t>
  </si>
  <si>
    <t>terapia steroidea, Pantorc, Lobivon</t>
  </si>
  <si>
    <t>accessi tussigeni durante la notte</t>
  </si>
  <si>
    <t>Si consiglia esecuzione di polisonnogramma basale</t>
  </si>
  <si>
    <t>Gobbi Adriana</t>
  </si>
  <si>
    <t>GBBDRN41E57D969C</t>
  </si>
  <si>
    <t>3477967303</t>
  </si>
  <si>
    <t>Sindrome delle apnee ostruttive del sonno, AHI 52,9</t>
  </si>
  <si>
    <t>assistente sanitaria, infermiera</t>
  </si>
  <si>
    <t>saltuarimente</t>
  </si>
  <si>
    <t>Tiroide nei limiti volumetrici, con ecostruttura modicamente disomogena e presenza di alcune formazioni nodulari conglomerata al III medio. Al doppler vascolarizzazione peri e intra nodulare. Qualche linfoadenomegalia laterocervicale bilaterale.</t>
  </si>
  <si>
    <t>MRC 28,06,2021: AHI 52,9, SO2 media 93%, T90% 4,8, ODI 51,6 Indice di russamento 305_x000D_
Visita ORL: stenosi fosse nasali da rinite ipertrofica, seni piriformi liberi, alla manovra di Muller lieve medializzazione pareta lat sinistra, Muller velare senza ridu</t>
  </si>
  <si>
    <t>Plaunac, Parie, Gaviscon, riso rosso, diverticolite, normix a cicli, Diver, Pentacol, tocalfa</t>
  </si>
  <si>
    <t>Riferisce rari accessi tussigeni, scatenati da scolo retronasale</t>
  </si>
  <si>
    <t>lieve affanno per sforzi moderata (salire le scale), marcia in piano conservara</t>
  </si>
  <si>
    <t>MV presente, assenza di rumori patologi aggiunti. ACV valida e ritmica.</t>
  </si>
  <si>
    <t>Sindrome delle apnee ostruttive del sonno di entità grave (AHI 52,9). Tentativo infruttuoso di adattamento a CPAP</t>
  </si>
  <si>
    <t>DE FRANCESCO ANGELO</t>
  </si>
  <si>
    <t>DFRNGL49L25D810Q</t>
  </si>
  <si>
    <t>3477450355</t>
  </si>
  <si>
    <t>OSAS in ventiloterapia con CPAP, BPCO</t>
  </si>
  <si>
    <t>fumatore attivo (10 sigarette/die, precedetemente 20 sigarette/die per 30 anni)</t>
  </si>
  <si>
    <t>Fibrillazione atriale cronica</t>
  </si>
  <si>
    <t>Trimbow 2 inalazioni al mattino + 2 inalazioni alla sera, Xarelto, Palexia, olprezide</t>
  </si>
  <si>
    <t>Visita cardiologica: Ecocardio in visione = FEVS conservata in VS non dilatato, non ipertrofico, normocinetico; atrio sn ingrandito; non cifrabile gradiente VD/AD._x000D_
ECG = TachiFA 105/m'; QRS normoconformato.</t>
  </si>
  <si>
    <t>dispnea per sforzi lievi (vestizione)</t>
  </si>
  <si>
    <t>lieve rinorrea mattutina</t>
  </si>
  <si>
    <t>Si programma visita pneumologica per scarico dati schedinaa CPAP. In data 21/10,2021 h 12,30 (dopo PFR già in programma h 12)</t>
  </si>
  <si>
    <t>DI BELLA MARILENA</t>
  </si>
  <si>
    <t>DBLMLN64C62Z133H</t>
  </si>
  <si>
    <t>3480904926</t>
  </si>
  <si>
    <t>Sospetta sindorme delle apnee ostruttive del sonno</t>
  </si>
  <si>
    <t>ex fumatrice da 2 settimane (10 sigarette/die per 5 anni, in maniera saltuaria)</t>
  </si>
  <si>
    <t>Tiroidite di Hashimoto</t>
  </si>
  <si>
    <t>Bivis, Eutirox, Sertralina</t>
  </si>
  <si>
    <t>lieve dispnea per sforzi moderati</t>
  </si>
  <si>
    <t>ostruzione nasale, sinusiti ricorrenti</t>
  </si>
  <si>
    <t>MV presente, asse3nza di rumori patologici aggiunti</t>
  </si>
  <si>
    <t>Si progrmma polisonnogramma notturno.</t>
  </si>
  <si>
    <t>DE Rosa Mauro</t>
  </si>
  <si>
    <t>DRSMRA65S20B990T</t>
  </si>
  <si>
    <t>010510208_x000D_
3319943050</t>
  </si>
  <si>
    <t>Sindrome delle apnee notturne  già diagnosticata nel 2018 AHI 41</t>
  </si>
  <si>
    <t>Inviato da IST Dott. Solari</t>
  </si>
  <si>
    <t>ex piazziolo</t>
  </si>
  <si>
    <t>ex fumatore di circa 2 pacchetti al giorno per 30 anni</t>
  </si>
  <si>
    <t>infarto luglio 2021 , trattato con stent</t>
  </si>
  <si>
    <t>si sovrappeso</t>
  </si>
  <si>
    <t>asportato melanoma nel settembre 2021, previsto studio linfonodo sentinella novembre 2021</t>
  </si>
  <si>
    <t>ramipril, metformina , più trattamento insulinico ozenpic, torvast, cardioaspirina</t>
  </si>
  <si>
    <t>Calo ponderale di 13 Kg da 5 mesi, Non ha mai fatto uso di Cpap che era stata precedentemente consigliata</t>
  </si>
  <si>
    <t>33,74</t>
  </si>
  <si>
    <t>eupnoico all'eloquio e a riposo, mv presente crepitazioni alle basi, FVT nornmo trasmesso, acv toni parafonici, lieve succulenza arti inferiori</t>
  </si>
  <si>
    <t>Polisonnografia basale per il giorno 22,10/2021</t>
  </si>
  <si>
    <t>Albanesi Angelo</t>
  </si>
  <si>
    <t>LBNNGL31P03D969D</t>
  </si>
  <si>
    <t>3280473747</t>
  </si>
  <si>
    <t>Ex pastaio</t>
  </si>
  <si>
    <t>Ex fumatore (8 p/y)</t>
  </si>
  <si>
    <t>1 bicchiere di vinno ai pasti</t>
  </si>
  <si>
    <t>In trattamento con Atorvastatina</t>
  </si>
  <si>
    <t>Si in terapi con Metformina</t>
  </si>
  <si>
    <t>Pantoprazolo, Captopril, Metforal, Totalip</t>
  </si>
  <si>
    <t>Alcuni risvegli notturni per affanno</t>
  </si>
  <si>
    <t>Attività cardiaca valida ritmica , con pause libere da soffi, Al torace MV presente in asseza di rumori patologici aggiunti</t>
  </si>
  <si>
    <t>Anamnesi compatibile con possibile quadro di apnee ostruttive del sonno. _x000D_
Si congilia polisonnografia basale.</t>
  </si>
  <si>
    <t>Perla Onorato</t>
  </si>
  <si>
    <t>PRLNRT54E24D969W</t>
  </si>
  <si>
    <t>3476472437</t>
  </si>
  <si>
    <t>Ex ristoratore</t>
  </si>
  <si>
    <t>ex fumatore da circa 40 anni.(15 p/y)</t>
  </si>
  <si>
    <t>Paracetamolo</t>
  </si>
  <si>
    <t>Si, in trattamento</t>
  </si>
  <si>
    <t>In trattamento.</t>
  </si>
  <si>
    <t>Ecocardio nella norma</t>
  </si>
  <si>
    <t>Statina, Cardioaspirina,Olpress</t>
  </si>
  <si>
    <t>Frequenti risvegli notturni durante la notte per affanno.</t>
  </si>
  <si>
    <t>Difficoltà a concentrarsi( leggere un libro)</t>
  </si>
  <si>
    <t>Eupnoico a riposo , Attività cardiaca valida , ritmica , con pause apparenemtente libere da soffi._x000D_
Al torace FVT normotrasmesse , Normofonesi plessica, MV presente in assenza di rumori patologici aggiunti.</t>
  </si>
  <si>
    <t>Anamnesi compatibile con possibile quadro di apnee ostruttive del sonno. _x000D_
Si consiglia di eseguire polisonnografia basale.</t>
  </si>
  <si>
    <t>Resce Marika</t>
  </si>
  <si>
    <t>RSCMRK85C59D969L</t>
  </si>
  <si>
    <t>3276592259</t>
  </si>
  <si>
    <t>medico curante (Dr. S.Leoncini)</t>
  </si>
  <si>
    <t>Si 35 p/y , 2 pacchetti al giorno.</t>
  </si>
  <si>
    <t>2 bicchiere ai pasti</t>
  </si>
  <si>
    <t>Si. Assume Malox alla sera.</t>
  </si>
  <si>
    <t>Familiarità per tetraparesi spastica, seguita presso centro di malattia rare S.Martino</t>
  </si>
  <si>
    <t>Dicloreum, Escitalopram.</t>
  </si>
  <si>
    <t>Riferisce tosse grassa al mattino</t>
  </si>
  <si>
    <t>Alcuni risvegli notturni per mancaza di aria.</t>
  </si>
  <si>
    <t>Riferisce dispnea per sforzi moderati ( scale salite.)</t>
  </si>
  <si>
    <t>Riferisce difficoltà a concentrarsi.</t>
  </si>
  <si>
    <t>Eupnouica a riposo, attività cardiaca valida , ritmica con pause apparentemnete libere da soffi._x000D_
Al torace MV presente in assenza di rumori patologici aggiunti.</t>
  </si>
  <si>
    <t>Paziente con quadro di roncopatia, obesità e moderata sonnolenza diurna. Anamnesi suggestiva per OSAS._x000D_
Si programma polisonnografia notturna.</t>
  </si>
  <si>
    <t>Gargiulo Pasqualina</t>
  </si>
  <si>
    <t>GRGPQL67E44D969S</t>
  </si>
  <si>
    <t>3483840233</t>
  </si>
  <si>
    <t>Ex agente di polizia</t>
  </si>
  <si>
    <t>ex fumatrice 40p/y</t>
  </si>
  <si>
    <t>3/4 bicchieri durante i pasti.</t>
  </si>
  <si>
    <t>TPSV</t>
  </si>
  <si>
    <t>Lebivololo.</t>
  </si>
  <si>
    <t>Riferisce tosse stizzosa da circa 3 mesi.</t>
  </si>
  <si>
    <t>Riferisce risvegli notturni frequenti per mancanza di aria.</t>
  </si>
  <si>
    <t>Riferisce dispnea durante la marcia con fischi e sibili espiratori e costrizione al petto.</t>
  </si>
  <si>
    <t>Riferisce sitomatologia compatibile a post-nasal drip.</t>
  </si>
  <si>
    <t>Riferisce occasionale deficit di memoria a breve termine.</t>
  </si>
  <si>
    <t>Riferisce episodi di cefalea soprattutto al risveglio</t>
  </si>
  <si>
    <t>Eupnoica a riposo, attività cardiaca valida , ritmica con pause apparentemente libere. Al torace MV presente, FVT normotrasmesso, assenza di rumori patologici aggiunti.</t>
  </si>
  <si>
    <t>Paziente con sintomatologia compatibile sia a quadro asmatico che a possibili apnee ostruttive del sonno.</t>
  </si>
  <si>
    <t>PASSALACQUA  FRANCESCO</t>
  </si>
  <si>
    <t>MEDICO DI BASE</t>
  </si>
  <si>
    <t>parietarie, gramincacee.</t>
  </si>
  <si>
    <t>si, in trattamento. Amblodipina, nebivololo</t>
  </si>
  <si>
    <t>si, in trattamento con barriere fisiche</t>
  </si>
  <si>
    <t>Paziente euponico a riposo e all'eloquio. In buono condizioni generali</t>
  </si>
  <si>
    <t>Ottonello Marco</t>
  </si>
  <si>
    <t>TTNMRC73M20D969L</t>
  </si>
  <si>
    <t>3478956683</t>
  </si>
  <si>
    <t>ambulatorio di neurofisiopatologia</t>
  </si>
  <si>
    <t>impiegato tecnico</t>
  </si>
  <si>
    <t>Porta in visione polisonnografia eseguita in data 04.12.2019 con riscontro di OSA di grado severo( AHI 93) ed insufficienza respiratoria notturna ( t90 48%)</t>
  </si>
  <si>
    <t>nessuna terapia domiciliare</t>
  </si>
  <si>
    <t>Eupnoico a riposo . Attività cardiaca valida,ritmica , con pause apparentemente libere da soffi. Al torace MV presente, FVT normotrasmesso , assenza di rumori patologici aggiunti</t>
  </si>
  <si>
    <t>Paziente con quadro di apnee ostruttive del sonno di grado severo. Alla luce di nessuna variazione di peso del paziente e di interventi chirugici ORL si procede ad eseguire adattamento con CPAP notturna.</t>
  </si>
  <si>
    <t>Velez Cantos Maria Janeth</t>
  </si>
  <si>
    <t>VLZMJN64E45Z605G</t>
  </si>
  <si>
    <t>3294230975</t>
  </si>
  <si>
    <t>normopeso</t>
  </si>
  <si>
    <t>si, in terapia con PPI</t>
  </si>
  <si>
    <t>riferisce episodi bronchitici frequenti (fino a 3 volte all'anno.), riferisce occasionali fischi e sibili espiratori e tosse esacerbati con la risata. Mai eseguita spirometria.</t>
  </si>
  <si>
    <t>Sequacor, Nicardiplus, Lansoprazolo, Eutirox, Lexotan, Tachipirina al bisogno</t>
  </si>
  <si>
    <t>occasionali</t>
  </si>
  <si>
    <t>riferisce dispnea per sforzi lievi/ moderati ( lunghe camminate, salite , scale)</t>
  </si>
  <si>
    <t>riferisce forte deficit di memoria a medio-breve termine.</t>
  </si>
  <si>
    <t>riferisce forte cefalea al risveglio.</t>
  </si>
  <si>
    <t>eupnoica a riposo. Attività cardiaca valida, ritmica , normofrequente con pause apparentemente libere da soffi. Al torace MV presente in assenza di rumori patologici aggiunti.</t>
  </si>
  <si>
    <t>Moretti Giorgio</t>
  </si>
  <si>
    <t>MRTGRG62H29D969V</t>
  </si>
  <si>
    <t>3284717701</t>
  </si>
  <si>
    <t>dipendente pubblico</t>
  </si>
  <si>
    <t>obesità di classe 1</t>
  </si>
  <si>
    <t>si, eseguita impedenziometria nel 2019</t>
  </si>
  <si>
    <t>Eseguita polisonografia in data 31.10.2019 con riscontro di OSAS di grado severo (Ahi 80,6)</t>
  </si>
  <si>
    <t>Farmaco antiipertensivo non specificato</t>
  </si>
  <si>
    <t>rifersci dispnea per sforzi moderati( scale)</t>
  </si>
  <si>
    <t>eupnoico a riposo. Al torace MV presente in assenza di rumori patologici aggiunti. Attività cardiaca valida, ritmica con pause apparentemente libere da soffi.</t>
  </si>
  <si>
    <t>Paziente con OSAS di grado severo , eseguita polisonnografia in data 31.10.1019 con riscontro di OSAS di grado severo (AHI 80,6). Alla luce di non significative variazione di peso e di nessun intervento ORL eseguito dal paziente di programma adattamaneto</t>
  </si>
  <si>
    <t>GJOKEJA ORGEST</t>
  </si>
  <si>
    <t>GJKRST89P28Z100W</t>
  </si>
  <si>
    <t>3429858035</t>
  </si>
  <si>
    <t>manovale</t>
  </si>
  <si>
    <t>forte fumatore da circa 15 anni</t>
  </si>
  <si>
    <t>si, requanti risvegli</t>
  </si>
  <si>
    <t>110</t>
  </si>
  <si>
    <t>paziente eupnoico a riposo e all'eloquio.</t>
  </si>
  <si>
    <t>Ronzitti Cinzia</t>
  </si>
  <si>
    <t>RNZCNZ62T70D969Z</t>
  </si>
  <si>
    <t>3477355703</t>
  </si>
  <si>
    <t>2 bicchieri di vino ai pasti.</t>
  </si>
  <si>
    <t>obesità di classe 2</t>
  </si>
  <si>
    <t>Operata di cancro al seno nel 2015.</t>
  </si>
  <si>
    <t>dispnea per sforzi moderati( scale, salite)</t>
  </si>
  <si>
    <t>Si , 4/5 volte per notte</t>
  </si>
  <si>
    <t>eupnoica a riposo. Attività cardiaca valida,ritmica con pause apparentemente libere da soffi, al torace MV presente, FVT normotrasmesso , assenza di rumori patologici aggiunti.</t>
  </si>
  <si>
    <t>Paziente con anamnesi e sintomatologia suggestiva per OSAs. Si programma polisonnografia notturna.</t>
  </si>
  <si>
    <t>d'amico Matteo</t>
  </si>
  <si>
    <t>dmcmtt83l05d969d</t>
  </si>
  <si>
    <t>3405242415</t>
  </si>
  <si>
    <t>portuale</t>
  </si>
  <si>
    <t>polvere, pollini</t>
  </si>
  <si>
    <t>b</t>
  </si>
  <si>
    <t>nasonex, zirtec, occasionalmente somnirem e paroxetina</t>
  </si>
  <si>
    <t>si, con catarro</t>
  </si>
  <si>
    <t>Paziente eupnoico a riposo e all'eloquio. Buone condizioni generali</t>
  </si>
  <si>
    <t>Mv diffusamente normotrasmesso, no rumori patologici aggiunti. Toni cardiaci validi, ritmici, pause apparentemente libere.</t>
  </si>
  <si>
    <t>GUIDI LUCIANO</t>
  </si>
  <si>
    <t>GDULCN43B08A493P</t>
  </si>
  <si>
    <t>010808643</t>
  </si>
  <si>
    <t>Pensionato (ex saldatore e postino)</t>
  </si>
  <si>
    <t>1 bicchiere vino/die</t>
  </si>
  <si>
    <t>iperuricemia</t>
  </si>
  <si>
    <t>Rx torace 02/2022: ispessimenti pleurici bilaterali. Accentuazione trama peribroncovascolare con affastellamento parenchimale perilare inf. E addensamenti pseudonodulari periferici ai campi medi</t>
  </si>
  <si>
    <t>Humalog, Zanipril, Natrilix, Omeprazen, Glucophage, Avodart, Cardioaspirina, Omnic, Allopurinolo, Tresiba</t>
  </si>
  <si>
    <t>con espettorazione, solitamente biancastra</t>
  </si>
  <si>
    <t>da sforzo</t>
  </si>
  <si>
    <t>starnuti soprattutto di notte</t>
  </si>
  <si>
    <t>1 volte/notte</t>
  </si>
  <si>
    <t>Lieve deficit memoria a breve termine</t>
  </si>
  <si>
    <t>Si consiglia monitoraggio cardiorespiratorio in data</t>
  </si>
  <si>
    <t>Bagni Guido</t>
  </si>
  <si>
    <t>BGNGDU72A14D969K</t>
  </si>
  <si>
    <t>3288249699_x000D_
bagni.guido@gmail.com</t>
  </si>
  <si>
    <t>Apnee avvertite e riferite</t>
  </si>
  <si>
    <t>Ex fumatore, 10-12 anni &lt; 20 py</t>
  </si>
  <si>
    <t>riferisce tachicardia</t>
  </si>
  <si>
    <t>Ipoteiroidismo autoimmune in definizione</t>
  </si>
  <si>
    <t>Eutirox, Vitamina D</t>
  </si>
  <si>
    <t>Choking</t>
  </si>
  <si>
    <t>Senso di oppressione al torace</t>
  </si>
  <si>
    <t>Si moderata</t>
  </si>
  <si>
    <t>non particolari</t>
  </si>
  <si>
    <t>110 Kg, 1.71 m_x000D_
BMI 37.6</t>
  </si>
  <si>
    <t>95% in aa</t>
  </si>
  <si>
    <t>106 r</t>
  </si>
  <si>
    <t>MV presente, nessun rumore patologico aggiunto, lieve ipomobilità base sinistra. Mallampati 4.</t>
  </si>
  <si>
    <t>Quadro clinico meritevole di approfondimento, si programma poligrafia basale, si richiede inoltre Spirometria Globale con DLCO</t>
  </si>
  <si>
    <t>CARBONE VALERIA</t>
  </si>
  <si>
    <t>CRBVLR62T67H212G</t>
  </si>
  <si>
    <t>3357325489</t>
  </si>
  <si>
    <t>OSA di grado lieve, con moderata roncopatia</t>
  </si>
  <si>
    <t>ex operatrice socio-sanitaria</t>
  </si>
  <si>
    <t>sì, 60 P/Y (30 sigarette/die da circa 40 anni)</t>
  </si>
  <si>
    <t>ex alcolista, con ricaduta agosto ad agosto dell'anno scorso di 10 giorni</t>
  </si>
  <si>
    <t>ritmo sinusale con emiblocco anteriore sinistro e ritardo di conduzione dx</t>
  </si>
  <si>
    <t>sì, i terapia con gaviscon</t>
  </si>
  <si>
    <t>leucoplachia, cordectomia di tipo II a febbraio 2018 per LIN 1 della cvv sinistra, diabete mellito iatrogeno, epatopatia HCV+, sindrome ansioso depressiva, neuropatia sensitiva-motoria.</t>
  </si>
  <si>
    <t>creon, pantoprazolo, topiramato, deursil, ferro per os, gaviscon, folina, benerva, luvion, neurontin, portolac, humalog e tresiba.</t>
  </si>
  <si>
    <t>lieve dispnea da sofrzo moderato-intenso</t>
  </si>
  <si>
    <t>deficit memoria a breve termine progressiva</t>
  </si>
  <si>
    <t>ALBERGHINI DELIA</t>
  </si>
  <si>
    <t>LBRDLE79P61H223C</t>
  </si>
  <si>
    <t>3275316858</t>
  </si>
  <si>
    <t>Pregressa infezione da SARS-CoV2 (ricovero ospedaliero dal 1 al 6 aprile 2022) con comparsa di afonia. Pregressa diagnosi di OSA (non in visione).</t>
  </si>
  <si>
    <t>fisiatria</t>
  </si>
  <si>
    <t>RAF eritromicina</t>
  </si>
  <si>
    <t>no (interrotta terapia con losartan losartan per ipotensione</t>
  </si>
  <si>
    <t>sì, in terapia con PPI e gaviscon al bisogno</t>
  </si>
  <si>
    <t>S. Ehlers-Danlos, diversione biliopancreatica e bypass gastrico nel 2021 (con calo ponderale di circa 51 kg), osteogenesi imperfetta, diabete mellito, obesità, artrite sieronegativa, Ipertensione arteriosa, dislipidemia</t>
  </si>
  <si>
    <t>atorvastatina, percussionaire, bariatric, bedrocan, cordicor, didrogyl, duloxetina, flexiban, furosemide, gabapentin, glucophage,  nicetile, pantoprazolo, rocaltrol, tresiba, victoza.</t>
  </si>
  <si>
    <t>2 l/min durante il giorno e sotto sforzo</t>
  </si>
  <si>
    <t>da sforzo lieve</t>
  </si>
  <si>
    <t>deficit di memoria a breve termine</t>
  </si>
  <si>
    <t>sì, dopo infezione da SARS-CoV2</t>
  </si>
  <si>
    <t>Eupnoica a riposo e all'eloquio. Al torace MV ridotto in toto, in assenza di grossolani rumori patologici aggiunti. Toni cardiaci ritmici</t>
  </si>
  <si>
    <t>-venerdì già in programma ecocardio di controllo per nota insufficienza mitralica_x000D_
-Si consiglia monitoraggio cardiorespiratorio in data 8 luglio alle ore 11.</t>
  </si>
  <si>
    <t>Camodeca Claudio</t>
  </si>
  <si>
    <t>CMDCLD76S12D969V</t>
  </si>
  <si>
    <t>3358265683</t>
  </si>
  <si>
    <t>esposizione professionale a polveri</t>
  </si>
  <si>
    <t>fumatore attivo (5 P/Y)</t>
  </si>
  <si>
    <t>nessuna terapia</t>
  </si>
  <si>
    <t>si frontale</t>
  </si>
  <si>
    <t>Corsini Daniele</t>
  </si>
  <si>
    <t>CRSDNL56C05D969A</t>
  </si>
  <si>
    <t>3494991893</t>
  </si>
  <si>
    <t>Russamento e apnne riferite da cognuge</t>
  </si>
  <si>
    <t>Pensione, ex autisma AMT</t>
  </si>
  <si>
    <t>Ex forte fumatore (fino a 60 sig die), interrotto nel 2006</t>
  </si>
  <si>
    <t>Moderato</t>
  </si>
  <si>
    <t>Si, epidermide gatto, Crostacei, Acari, Parietaria</t>
  </si>
  <si>
    <t>Asma allergica in infanzia</t>
  </si>
  <si>
    <t>Riferisce aver effettuato PFR _x000D_
per attività sportiva._x000D_
K prostatico operato nel 2010, sindrome ansiosa reattiva da lutto</t>
  </si>
  <si>
    <t>Lansoprazolo, Songar (BNZ), fitofibrato, Cialis</t>
  </si>
  <si>
    <t>si, stagionali o se esposto ad allergeni</t>
  </si>
  <si>
    <t>no, in terapia</t>
  </si>
  <si>
    <t>23.53</t>
  </si>
  <si>
    <t>64 ritmico</t>
  </si>
  <si>
    <t>Mallampati III._x000D_
Paziente eupnoico a riposo, non cianosi periferica, al torace: MV lievemente ridotto, respiro aspro, FVT normotrasmesso, suono chiaro polmonare alla percussione.</t>
  </si>
  <si>
    <t>IZZO SERGIO</t>
  </si>
  <si>
    <t>ZZISRG54R23D969C</t>
  </si>
  <si>
    <t>3474396222 (moglie)</t>
  </si>
  <si>
    <t>Sospetto di apnee del sonno (riferisce roncopatia, apnee notturne e sonnolenza). Il paziente riferisce dispnea da circa 2 anni e ageusia.</t>
  </si>
  <si>
    <t>pensionato (operaio ferrovia)</t>
  </si>
  <si>
    <t>sigaretta elettronica (precedentemente 50 P/Y, stop 10 anni fa)</t>
  </si>
  <si>
    <t>non note</t>
  </si>
  <si>
    <t>di tipo II in terapia medica</t>
  </si>
  <si>
    <t>non nota (sospetto di BPCO)</t>
  </si>
  <si>
    <t>Visita cardiologica 14.01.2022: P 130/100, edemi declivi di recente insorgenza. ECG con ritmo sinusale, atipie aspecifiche di ripolarizzazione._x000D_
RX torace 12/01/2022: ectasia arco aortico. Accentuazione trama bronco-vascolare diffusa bilateralmente.</t>
  </si>
  <si>
    <t>metformina, armolipid, ramipril, finasteride, cardicor, diuresix, protolac</t>
  </si>
  <si>
    <t>epatopatia a fibrosi elevata HCV relata (terapia eradicante 3 anni fa), malattia renale cronica stadio III con proteinuria(creatinina 1,5-1,6), iperrofia prostatica. Riferisce nuova diagnosi di BPCO, senza esecuzione di PFR</t>
  </si>
  <si>
    <t>presente deficit memoria a breve termine</t>
  </si>
  <si>
    <t>Riferisce aumento ponderale di circa 10-15 kg in 2 anni, dopo stop attività fisica. Paziente eupnoico a riposo e all'eloquio. MV ridotto in toto, soprattutto alle basi. Mmrc 2. Toni cardiaci parafonici, ritmici. Lievissimi edemi declivi agli AAII.</t>
  </si>
  <si>
    <t>15 luglio alle ore 10.00. eseguire spirometria globale con tecnica pletismografica e DLCO</t>
  </si>
  <si>
    <t>Figini Federico</t>
  </si>
  <si>
    <t>FGNFRC78H20D969U</t>
  </si>
  <si>
    <t>3402551430</t>
  </si>
  <si>
    <t>medco curante</t>
  </si>
  <si>
    <t>psicologo</t>
  </si>
  <si>
    <t>ex fumatore (15 P/Y)</t>
  </si>
  <si>
    <t>classe 3</t>
  </si>
  <si>
    <t>olprazide</t>
  </si>
  <si>
    <t>non riporta docuemti</t>
  </si>
  <si>
    <t>si (3-4 volte)</t>
  </si>
  <si>
    <t>spirometria semplice_x000D_
Si consiglia di eseguire polisonnogramma notturno basale. Presentarsi il giorno alle ore rpesso l'ambulatorio dei disturbi del sonno del pad maragliano</t>
  </si>
  <si>
    <t>De Luca Elvira</t>
  </si>
  <si>
    <t>DLCLVR54P48D969Z</t>
  </si>
  <si>
    <t>3478773016</t>
  </si>
  <si>
    <t>pensionta, ex capotreno</t>
  </si>
  <si>
    <t>sporadicamente</t>
  </si>
  <si>
    <t>D-Base</t>
  </si>
  <si>
    <t>si (1-2volte a notte)</t>
  </si>
  <si>
    <t>- adattamento il giorno agosto_x000D_
- EGA_x000D_
Spirometria</t>
  </si>
  <si>
    <t>Sbirziola Luigi</t>
  </si>
  <si>
    <t>SBRLGU55P13B302F</t>
  </si>
  <si>
    <t>3474555559</t>
  </si>
  <si>
    <t>Riferisce apnee notturne</t>
  </si>
  <si>
    <t>pensionato, ex banchiere</t>
  </si>
  <si>
    <t>ex fumatore, 50 p/y (stop fumo 09/21)</t>
  </si>
  <si>
    <t>2 bivvhieri di vino durante i pasti più saltuariamente extra pasti</t>
  </si>
  <si>
    <t>possibile alergia agli imenotteri</t>
  </si>
  <si>
    <t>DMII</t>
  </si>
  <si>
    <t>tipo I</t>
  </si>
  <si>
    <t>si, bruciore gastrico</t>
  </si>
  <si>
    <t>Portaq in visiona visita cardiologia: buone condizioni generali e di compenso, non necessità ad ulteriori accertamenti</t>
  </si>
  <si>
    <t>Lansoprazolo_x000D_
Olmesartan/amlodipina, Rybelsus, Slowmet</t>
  </si>
  <si>
    <t>1/2 volte a notte</t>
  </si>
  <si>
    <t>MV diffusamente presente in assenza di rumori patologici aggiunti, ACV toni netti, validi ritmici apparentemente liberi da soffi</t>
  </si>
  <si>
    <t>Data la sintomatologia descritta si consiglia esecuzione di monitoraggio cardiorespiratorio</t>
  </si>
  <si>
    <t>Tuci Maria</t>
  </si>
  <si>
    <t>TCUMRA59S69L219V</t>
  </si>
  <si>
    <t>3471382028 - 3715520291</t>
  </si>
  <si>
    <t>Sindrome delle apnee notturne</t>
  </si>
  <si>
    <t>ex fumatrice (stop nel 2009) 32 p/y</t>
  </si>
  <si>
    <t>astemia</t>
  </si>
  <si>
    <t>taxoli</t>
  </si>
  <si>
    <t>tiroidite di Hashimoto nel 20090</t>
  </si>
  <si>
    <t>di secondo grado</t>
  </si>
  <si>
    <t>chemioterapia con vinorelbina e trastuzumab; eutirox 75 mcg; Lorazepam e Olpress; Depakin; Quietiapina</t>
  </si>
  <si>
    <t>monitoraggio cardio respiratorio (09.06.22): OSAS di grado</t>
  </si>
  <si>
    <t>per sforiz moderati</t>
  </si>
  <si>
    <t>10 - sonnolenza anormale</t>
  </si>
  <si>
    <t>eupnoica a riposo, lievemente dispnoica all'eloquio. Al torace MV diffusamente presenza, riscontro di ronchi sparsi. Assenti altri rumori patologici. Assenza di edemi declivi.</t>
  </si>
  <si>
    <t>Garreffa Rocco</t>
  </si>
  <si>
    <t>GRRRCC43S15H558Q</t>
  </si>
  <si>
    <t>3491905937</t>
  </si>
  <si>
    <t>Sindrome delle Apnee Notturne (utilizzo di CPAP da circa 7 anni)</t>
  </si>
  <si>
    <t>ex fumatore 50 p/y (stop circa 13 anni fa)</t>
  </si>
  <si>
    <t>pregresso infarto (circa 13 anni fa)</t>
  </si>
  <si>
    <t>sindrome depressiva</t>
  </si>
  <si>
    <t>non specificata</t>
  </si>
  <si>
    <t>ultimo monitoraggio cardiorespiratorio circa 2 anni fa (non porta in visione il referto)</t>
  </si>
  <si>
    <t>presente anche per sforzi lievi</t>
  </si>
  <si>
    <t>scolo nasale, starnuti</t>
  </si>
  <si>
    <t>si, non ben controllati</t>
  </si>
  <si>
    <t>si, dimentica dove posiziona gli oggetti</t>
  </si>
  <si>
    <t>vigile ed orientato, eupnoico a ripoos e all'eloquio. Al torace MV lievemente ridotto in toto con presenza di fini crepitazioni in base destra</t>
  </si>
  <si>
    <t>SUDERMANIA STEFANO</t>
  </si>
  <si>
    <t>SDRSFN52P24F862B</t>
  </si>
  <si>
    <t>3404823040</t>
  </si>
  <si>
    <t>collega internista</t>
  </si>
  <si>
    <t>ex fumatore (9 P/Y)</t>
  </si>
  <si>
    <t>polisensibilizzato, sintomi oculorinitici  non controllati dalla terapia</t>
  </si>
  <si>
    <t>I grado</t>
  </si>
  <si>
    <t>sl</t>
  </si>
  <si>
    <t>PPI, framaco per IPB, Brintellix 10 mg, antistaminico</t>
  </si>
  <si>
    <t>pregresso intervenmto di turbinectomia 6 mesi fa</t>
  </si>
  <si>
    <t>si circa 2 volte a notte</t>
  </si>
  <si>
    <t>Rivarola Gianmatteo</t>
  </si>
  <si>
    <t>RVRGMT72T23D969R</t>
  </si>
  <si>
    <t>3478205320</t>
  </si>
  <si>
    <t>sospetta Sindrome delle Apnee Notturne</t>
  </si>
  <si>
    <t>polizia</t>
  </si>
  <si>
    <t>ex fumatore (57 p/y) stop circa 20 anni fa, al momento riferisce di fumare sigaro saltuariamente</t>
  </si>
  <si>
    <t>si di II/III grado, riferisce aumento ponderale di circa 50 kg negli ultimi anni</t>
  </si>
  <si>
    <t>eliquis, candesartan, moduretic, amlodipina</t>
  </si>
  <si>
    <t>talvolta riferisce tosse produttiva efficace</t>
  </si>
  <si>
    <t>presenti ma non con sensazione di affanno</t>
  </si>
  <si>
    <t>presenti, dimentica dove posiziona gli oggetti</t>
  </si>
  <si>
    <t>Vigile ed orientato, eupnoico a riposo e all'eloquio.</t>
  </si>
  <si>
    <t>LIBERTI ENRICA</t>
  </si>
  <si>
    <t>LBRNRC52L69E341T</t>
  </si>
  <si>
    <t>3485394628</t>
  </si>
  <si>
    <t>n0</t>
  </si>
  <si>
    <t>lambrogina,  duloxetina</t>
  </si>
  <si>
    <t>moderato deficit della memoria a breve termine</t>
  </si>
  <si>
    <t>Paziente eupnoica a riposo e all'eloqui. Mv presente in toto, in assenza di rumori aggiunti. Attività cardiac valida e ritmica.</t>
  </si>
  <si>
    <t>rivalutazione polisonnografica</t>
  </si>
  <si>
    <t>Grenci Andrea</t>
  </si>
  <si>
    <t>GRNNDR86T18D969R</t>
  </si>
  <si>
    <t>3475870006</t>
  </si>
  <si>
    <t>Sertralina</t>
  </si>
  <si>
    <t>secca</t>
  </si>
  <si>
    <t>Effettuare spirometria</t>
  </si>
  <si>
    <t>Sacconi Luca</t>
  </si>
  <si>
    <t>SCCLCU55E13H501G</t>
  </si>
  <si>
    <t>3474357627</t>
  </si>
  <si>
    <t>collega cardiologo</t>
  </si>
  <si>
    <t>ex artigiano. In anamnesi BPCO in terapia con Spiolto, ex fumatore (40 P/Y). Ultima PFR effettuata nel 2020.</t>
  </si>
  <si>
    <t>1 bicchiere di vino a cena</t>
  </si>
  <si>
    <t>Spiolto, Olpress</t>
  </si>
  <si>
    <t>nella stagione invernale</t>
  </si>
  <si>
    <t>si consiglia di effettuare posi</t>
  </si>
  <si>
    <t>Poggi Giuliana Santitìna</t>
  </si>
  <si>
    <t>PGGGNS49S41D969X</t>
  </si>
  <si>
    <t>3284071476</t>
  </si>
  <si>
    <t>ex impiegata amministrativa</t>
  </si>
  <si>
    <t>ex fumatrice 19p/y (stop da 35 anni)</t>
  </si>
  <si>
    <t>intolleranza ad amoxicillina</t>
  </si>
  <si>
    <t>extrasistoli</t>
  </si>
  <si>
    <t>pregressa Tiroidite di Hashimoto</t>
  </si>
  <si>
    <t>colon irritabile, artrite psoriasica, ernioplastica ombelicale</t>
  </si>
  <si>
    <t>cosentyx 150 2/mese, lexotan, omeprazolo, cardicor</t>
  </si>
  <si>
    <t>riferisce calo ponderale di circa 15 kg negli ultimi 2 mesi e mezzo, in lista per intervento di protesi al ginocchio sinistro</t>
  </si>
  <si>
    <t>ZINI ENZO</t>
  </si>
  <si>
    <t>ZNINZE47D13B825F</t>
  </si>
  <si>
    <t>3472516049</t>
  </si>
  <si>
    <t>NEUROFISIOPATOLOGIA</t>
  </si>
  <si>
    <t>PENSIONATO</t>
  </si>
  <si>
    <t>EX FUMATORE</t>
  </si>
  <si>
    <t>ASPIRINA.</t>
  </si>
  <si>
    <t>SI, IN TRATTAMENTO</t>
  </si>
  <si>
    <t>CLOPIDOGREL, RAMIPRIL</t>
  </si>
  <si>
    <t>1 VOLTA</t>
  </si>
  <si>
    <t>LIEVE DEFICIT DELLA MEMORIA A BREVE TERMINE</t>
  </si>
  <si>
    <t>Paziente in buone condizioni generale. Con importante sonnolenza diurna.</t>
  </si>
  <si>
    <t>Edia Stefano</t>
  </si>
  <si>
    <t>DEISFN72E25D969M</t>
  </si>
  <si>
    <t>3927142095</t>
  </si>
  <si>
    <t>sospetto Osa</t>
  </si>
  <si>
    <t>montatore arredamenti</t>
  </si>
  <si>
    <t>attivo 20 p/y</t>
  </si>
  <si>
    <t>visita ORL di maggio 22: deviazione, iperemia dei pilastri anteriori</t>
  </si>
  <si>
    <t>vigile orientato eupnoico a riposo ed all'eloquio</t>
  </si>
  <si>
    <t>Agostino Giuseppe</t>
  </si>
  <si>
    <t>GSTGPP51C22E873E</t>
  </si>
  <si>
    <t>3478792019</t>
  </si>
  <si>
    <t>sonnolenza diurna</t>
  </si>
  <si>
    <t>ex operaio</t>
  </si>
  <si>
    <t>ex forte fumatore ( 80p/y)</t>
  </si>
  <si>
    <t>Zantepride, Metformina, Cardirene, Torvast</t>
  </si>
  <si>
    <t>PFR di gennaio 2022: FVC 85% ( 3,17L); FEV1 85% (2,42L); IT 76; TLC 81% ( 5,19L); VR 76% ( 1,91L); DLCO 126%. Restrizione lieve.</t>
  </si>
  <si>
    <t>Al torace MV lievemente ridotto in toto, non rumori patologici sggiunti</t>
  </si>
  <si>
    <t>Sospetto OSA.</t>
  </si>
  <si>
    <t>Sasso Annamaria</t>
  </si>
  <si>
    <t>SSSNMR46P49D969C</t>
  </si>
  <si>
    <t>3346023327 (figlia)</t>
  </si>
  <si>
    <t>prima visita in sospetto di sindrome delle apnee nottune</t>
  </si>
  <si>
    <t>collega reumatologo</t>
  </si>
  <si>
    <t>ex impegata poste</t>
  </si>
  <si>
    <t>non nota</t>
  </si>
  <si>
    <t>Pantoprazolo, Prednisone 5 mg, Pregabalin, Targin, Lasix, Trittico, Spiriva, Cardioaspirina, Folina, Armolipid, Di Base, Rivotrill, Citalopram.</t>
  </si>
  <si>
    <t>2.5 L/min durante la notte ( la paziente è scesa autonomamente da circa due mesi a 1.5L/min)</t>
  </si>
  <si>
    <t>si per sforzi</t>
  </si>
  <si>
    <t>si a volte</t>
  </si>
  <si>
    <t>28,9</t>
  </si>
  <si>
    <t>Al torace MV trasmesso in toto, crepitii bibasali.</t>
  </si>
  <si>
    <t>Fregosi Maria Rosa</t>
  </si>
  <si>
    <t>FRGMRS50L53D969H</t>
  </si>
  <si>
    <t>3401047600</t>
  </si>
  <si>
    <t>Irbesartan</t>
  </si>
  <si>
    <t>si soprattutto in posizione supina</t>
  </si>
  <si>
    <t>si ( tutte le notti)</t>
  </si>
  <si>
    <t>Pisani Mario</t>
  </si>
  <si>
    <t>PSNMRA71E20B655V</t>
  </si>
  <si>
    <t>3492415817</t>
  </si>
  <si>
    <t>controllo CPAP 12 cmH2O maschera oronasale Amara tg M ( prescritto da neurofisiopatologia)</t>
  </si>
  <si>
    <t>ex  lieve fumatore</t>
  </si>
  <si>
    <t>ulivo, parietaria,vespe</t>
  </si>
  <si>
    <t>ricovero per angina nel 2012</t>
  </si>
  <si>
    <t>OSAS e asma bronchiale</t>
  </si>
  <si>
    <t>MCR eseguito nel 2020: AHI 25</t>
  </si>
  <si>
    <t>si la mattina con espettorato biancastro</t>
  </si>
  <si>
    <t>si rinorrea</t>
  </si>
  <si>
    <t>Per scarsa tolleranza con l'attuale maschera si propone cambio maschera</t>
  </si>
  <si>
    <t>Ferraioli Marino</t>
  </si>
  <si>
    <t>FRRMRN80D14L682Q</t>
  </si>
  <si>
    <t>34931170002</t>
  </si>
  <si>
    <t>fumatore attivo ( 10 p/y)</t>
  </si>
  <si>
    <t>lieve tachicardia</t>
  </si>
  <si>
    <t>dopo i pasti e la mattina</t>
  </si>
  <si>
    <t>Ha eseguito MRC presso neurofisiopatologia a settembre 2021 ( AHI 4,8).</t>
  </si>
  <si>
    <t>Rosuvastatina</t>
  </si>
  <si>
    <t>Intervento di settoplastica e rimozione formazione cistica 2017</t>
  </si>
  <si>
    <t>si circa ogni notte</t>
  </si>
  <si>
    <t>Al torace MV normotrasmesso non rumori patologicci aggiunti</t>
  </si>
  <si>
    <t>RIVAROLA SERGIO</t>
  </si>
  <si>
    <t>RVRSRG56T28D969S</t>
  </si>
  <si>
    <t>3421259628</t>
  </si>
  <si>
    <t>roncopatia, e riferisce apnea notturna</t>
  </si>
  <si>
    <t>benzinaio</t>
  </si>
  <si>
    <t>protesi alle anche, e protesi spalla dx,</t>
  </si>
  <si>
    <t>olpress, lasix, Ryaltris (da circa 3 mesi)</t>
  </si>
  <si>
    <t>da sforzo moderato/intenso</t>
  </si>
  <si>
    <t>rinite</t>
  </si>
  <si>
    <t>Paziente vigile, collaborante, orientato. Al torace MV presente,lievemente ridotto in toto, no rumori patologici aggiunti. Toni cardiaci validi, ritmici, apparentemente libere da soffi. Edemi deglivi AAII poco improntabili</t>
  </si>
  <si>
    <t>Si consiglia ecocolordoppler venosa AAII (già in programma) ed effettuazione monitoraggio cardiorespiratorio notturno in data</t>
  </si>
  <si>
    <t>Criaco Pietro Nicola</t>
  </si>
  <si>
    <t>CRCPRN49B08D969V</t>
  </si>
  <si>
    <t>3489249706</t>
  </si>
  <si>
    <t>meccanico</t>
  </si>
  <si>
    <t>fumatore attivo ( 6-7 /die, in passato 20/die)</t>
  </si>
  <si>
    <t>nessun</t>
  </si>
  <si>
    <t>raramente la mattina</t>
  </si>
  <si>
    <t>Al torace MV ridotto in sede biapicale, non franchi rumori patologici aggiunti.</t>
  </si>
  <si>
    <t>Spinetta Stefano</t>
  </si>
  <si>
    <t>SPNSFN70T29D969O</t>
  </si>
  <si>
    <t>3495657321</t>
  </si>
  <si>
    <t>sospetto OSAS e roncopatia</t>
  </si>
  <si>
    <t>epitelio gatto</t>
  </si>
  <si>
    <t>nege</t>
  </si>
  <si>
    <t>si per sforzi intensi</t>
  </si>
  <si>
    <t>Al torace MV normotrasmesso, non rumori patologici aggiunti. ACV toni validi e ritmici</t>
  </si>
  <si>
    <t>sospetto OSAS. Si consiglia di esecuzione polisonnografia il 07/02/2023 ore 11.30</t>
  </si>
  <si>
    <t>Bartoli Andrea</t>
  </si>
  <si>
    <t>BRTNDR73T01D969X</t>
  </si>
  <si>
    <t>3281150127</t>
  </si>
  <si>
    <t>fumatore attivo 30 p/y</t>
  </si>
  <si>
    <t>si media</t>
  </si>
  <si>
    <t>micardis plus, zyloric,totalip,motilex</t>
  </si>
  <si>
    <t>MV normotrasmesso in assenza di rumori patologici aggiunti, qualche sibilo espiratorio a dx</t>
  </si>
  <si>
    <t>Vitale Francesco</t>
  </si>
  <si>
    <t>3381435604</t>
  </si>
  <si>
    <t>avvocato</t>
  </si>
  <si>
    <t>nasonex</t>
  </si>
  <si>
    <t>vigile e collaborante alla visita, eupnoico a riposo e all'eloquio. MV normotrasmesso in assenza di rumori patologici aggiunti.</t>
  </si>
  <si>
    <t>sospetta OSAS, si consiglia polisonnografia notturna (già prescritta per il giorno 11.01.23 )</t>
  </si>
  <si>
    <t>Taino Gianfranco</t>
  </si>
  <si>
    <t>338736532</t>
  </si>
  <si>
    <t>pensionato (ex operaio traslochi)</t>
  </si>
  <si>
    <t>giant e cardura</t>
  </si>
  <si>
    <t>portatore di pacemaker</t>
  </si>
  <si>
    <t>valutazione con monitoraggio cardiorespiratorio notturno</t>
  </si>
  <si>
    <t>Ferravante Raffaele-Carmine</t>
  </si>
  <si>
    <t>FRRRFL65L17G227V</t>
  </si>
  <si>
    <t>3294138039</t>
  </si>
  <si>
    <t>russamento notturno e verosimili apnee del sonno</t>
  </si>
  <si>
    <t>Agente di polizia penitenziaria con turnazioni anche notturne</t>
  </si>
  <si>
    <t>satuariamente ai pasti</t>
  </si>
  <si>
    <t>ipotiroidismo (riscontro di nodulazioni in attesa di IC per asportazione)</t>
  </si>
  <si>
    <t>Talvolta con secrezioni</t>
  </si>
  <si>
    <t>Frequenti in assenza di sintomatologia dispnoica</t>
  </si>
  <si>
    <t>Talvolta per sforzi intensi</t>
  </si>
  <si>
    <t>Presenti</t>
  </si>
  <si>
    <t>30,67</t>
  </si>
  <si>
    <t>vigile, eupnoico a riposo ed all'eloquio. Al torac MV presente obiquitariamente in assenza di franchi rumori patologici aggiunti</t>
  </si>
  <si>
    <t>PPI_x000D_
Basale_x000D_
Calo ponderale</t>
  </si>
  <si>
    <t>Mazzola Rita Caterina</t>
  </si>
  <si>
    <t>3476973600</t>
  </si>
  <si>
    <t>ex fumatrice 15 p/y</t>
  </si>
  <si>
    <t>solanace</t>
  </si>
  <si>
    <t>tosse residua in miglioramento post influenzale</t>
  </si>
  <si>
    <t>MV normotrasmesso crepitii bibasali.</t>
  </si>
  <si>
    <t>Madeddu Ignazio</t>
  </si>
  <si>
    <t>34475043411</t>
  </si>
  <si>
    <t>ex fumatore 20 p/y</t>
  </si>
  <si>
    <t>norvasc,lobidur e bivis, pantoprazolo</t>
  </si>
  <si>
    <t>si con espettorato chiaro</t>
  </si>
  <si>
    <t>MV normotrasmesso, con crepitii secchi basali</t>
  </si>
  <si>
    <t>Trecarichi Katiuscia</t>
  </si>
  <si>
    <t>TRCKSC77S52A940C</t>
  </si>
  <si>
    <t>3935757134</t>
  </si>
  <si>
    <t>roncopatia ed apnee durante la notte</t>
  </si>
  <si>
    <t>Ex-fumatrice da 3 anni (per 20 anni circa 35 sig/die), attualmente utilizza sigaretta elettronica</t>
  </si>
  <si>
    <t>sospetta iscehmia miocardica nel 2020</t>
  </si>
  <si>
    <t>saltuariamente accessi tussigeni in assenza di espettorazione</t>
  </si>
  <si>
    <t>per sforzi moderati (salita)</t>
  </si>
  <si>
    <t>lieve  deficit concentrazione e memoria a breve termine.</t>
  </si>
  <si>
    <t>37,5</t>
  </si>
  <si>
    <t>vigile, eupnoica a riposo ed all'eloquio</t>
  </si>
  <si>
    <t>-Calo ponderale_x000D_
-Monitoraggio_x000D_
-Spirometria semplice</t>
  </si>
  <si>
    <t>Oliveri Carlo Aldo</t>
  </si>
  <si>
    <t>3494093109</t>
  </si>
  <si>
    <t>roncopatia</t>
  </si>
  <si>
    <t>ex cloratore</t>
  </si>
  <si>
    <t>ziloric</t>
  </si>
  <si>
    <t>sospette apnee notturne eseguire polisonnogramma basalee  e spirometri semplice in in data</t>
  </si>
  <si>
    <t>Mozzo Giogio</t>
  </si>
  <si>
    <t>MZZGRG44C25D969O</t>
  </si>
  <si>
    <t>3491835258</t>
  </si>
  <si>
    <t>ex ingegnere</t>
  </si>
  <si>
    <t>amiloidosi cardiaca</t>
  </si>
  <si>
    <t>nono</t>
  </si>
  <si>
    <t>eseguire nuovo adattamento in data</t>
  </si>
  <si>
    <t>Sebastiani Roberto</t>
  </si>
  <si>
    <t>SBSRRT66H22D969J</t>
  </si>
  <si>
    <t>3393749325</t>
  </si>
  <si>
    <t>impiegato; fumatore attivo di sigaretta elettronica da 4 anni (35 p/y circa)</t>
  </si>
  <si>
    <t>fumatore attivo di sigaretta elettronica da 4 anni (35 p/y circa)</t>
  </si>
  <si>
    <t>tiroidectomia per gozzo nodulare (2014)</t>
  </si>
  <si>
    <t>riferisce roncopatia e episodi di apnea evidenziati dai conviventi durante il sonno; 2007 orchiectomia sinistra per sospetto K (non confermato), varicocele.</t>
  </si>
  <si>
    <t>olmesartan, eutirox</t>
  </si>
  <si>
    <t>referto vivisata cardiologica (Febbario 2023)</t>
  </si>
  <si>
    <t>24,49</t>
  </si>
  <si>
    <t>paziente vigile, orientato e collaborante. Al torace MV ubiquitario, non grossolani rumori patologici aggiunti. Attività cardiaca valida, ritmica, pause libere da soffi.</t>
  </si>
  <si>
    <t>Liu Jinjie</t>
  </si>
  <si>
    <t>LIUJNJ85H09Z210E</t>
  </si>
  <si>
    <t>3463646710</t>
  </si>
  <si>
    <t>attualmente inoccupato; fumatore attivo di sigaretta elettorinica (in passato sigarette, 8 p/y)</t>
  </si>
  <si>
    <t>fumatore attivo di sigaretta elettorinica (in passato sigarette, 8 p/y)</t>
  </si>
  <si>
    <t>si (non in terapia)</t>
  </si>
  <si>
    <t>no (riferisce familiarità per DM)</t>
  </si>
  <si>
    <t>la moglie riferisce roncopatia e apnee; il paziente riferisce sonno non ristoratore</t>
  </si>
  <si>
    <t>si, 1 volta/notte</t>
  </si>
  <si>
    <t>22,84</t>
  </si>
  <si>
    <t>paziente vigile, orientato e collaborante. Al torace MV ubiquitario, non rumori patologici aggiunti. ACV ritmica, pause libere da soffi. Non edemi declivi.</t>
  </si>
  <si>
    <t>Curcio Donatella</t>
  </si>
  <si>
    <t>CRCDTL60R68G590C</t>
  </si>
  <si>
    <t>3803054907</t>
  </si>
  <si>
    <t>impiegata; fumatrice attiva 5 sigarette/die massimo (da circa 30 anni)</t>
  </si>
  <si>
    <t>fumatrice attiva 5 sigarette/die massimo (da circa 30 anni)</t>
  </si>
  <si>
    <t>novalgina, cobalto, dicromato di potassio</t>
  </si>
  <si>
    <t>pregressi TIA (2018 e 2021)</t>
  </si>
  <si>
    <t>si, riferita presenza di: gastrite cronica con HP; ulcera duodenale con recente anemizzazione trattata con trasfusioni (Febbraio 2023)</t>
  </si>
  <si>
    <t>riferisce pregressa PSG nel 2020 con comunicazione telefonica di riscontro di OSAS moderata-grave (non disponibile referto, BMI del 2020 = 27.1)</t>
  </si>
  <si>
    <t>cardioASA (al momento sospesa per sanguinamento ulcera duodenale), laroxil 15 gtt la sera</t>
  </si>
  <si>
    <t>riferita importante roncopatia da parte del marito</t>
  </si>
  <si>
    <t>si, in primavera</t>
  </si>
  <si>
    <t>25.81</t>
  </si>
  <si>
    <t>Al torace MV ubiquitario in assenza di rumori patologici aggiunti. Attività cardiaca, valida, ritmica, apparentemente non soffi. Non edemi declivi.</t>
  </si>
  <si>
    <t>Maiquez Myrna</t>
  </si>
  <si>
    <t>MQZMRN56A50Z216G</t>
  </si>
  <si>
    <t>3245982244</t>
  </si>
  <si>
    <t>collaboratrice domestica</t>
  </si>
  <si>
    <t>lansoprazolo, d base, enalapril</t>
  </si>
  <si>
    <t>Sata Sarie</t>
  </si>
  <si>
    <t>STASRA64E60Z100P</t>
  </si>
  <si>
    <t>3207137816_x000D_
3201966659</t>
  </si>
  <si>
    <t>altro centro</t>
  </si>
  <si>
    <t>enalapril</t>
  </si>
  <si>
    <t>Bailo Federico</t>
  </si>
  <si>
    <t>BLAFRC89E23D969U</t>
  </si>
  <si>
    <t>3518657206</t>
  </si>
  <si>
    <t>MMG dopo esecuzione PSG presso Neurofisiopatologia</t>
  </si>
  <si>
    <t>borsa lavoro gioelliere mai fumatore</t>
  </si>
  <si>
    <t>rifampicina, ketoprofene</t>
  </si>
  <si>
    <t>settoplastica e FESS nel 2016</t>
  </si>
  <si>
    <t>in visione PSG (28.03.23): AHI 96.6, ODI 97.7, snoring index 263.2, non evidenza di componente posizionale, t90 = 40.9%)</t>
  </si>
  <si>
    <t>citalopram 40 mg, metformina 500 mg, fenofibrato, olmesartan, biochetasi al bisogno</t>
  </si>
  <si>
    <t>al torace MV ubiquitario lievemente ridotto, non rumori patologici aggiunti. Attività cardiaca valida, ritmica, pause apparentemente libere da soffi. Non edemi declivi.</t>
  </si>
  <si>
    <t>si consiglia adattamento a CPAP.</t>
  </si>
  <si>
    <t>Deraco Concetta</t>
  </si>
  <si>
    <t>DRCCCT42A41C747H</t>
  </si>
  <si>
    <t>3285696528</t>
  </si>
  <si>
    <t>si, al mattino</t>
  </si>
  <si>
    <t>si, per sforzi moderati, marcia in piano conservata</t>
  </si>
  <si>
    <t>si disturbo mnesico di gravità intermedia</t>
  </si>
  <si>
    <t>Grisà Armando</t>
  </si>
  <si>
    <t>GRSRND56A19G508I</t>
  </si>
  <si>
    <t>3473234593</t>
  </si>
  <si>
    <t>autotrasportatore</t>
  </si>
  <si>
    <t>ex fumatore con diverse sospensioni negli anni, attualmente stop da 8 anni</t>
  </si>
  <si>
    <t>moderato durantei pasti</t>
  </si>
  <si>
    <t>si, guidatore attivo</t>
  </si>
  <si>
    <t>stenosi arto inferiore destro</t>
  </si>
  <si>
    <t>terazosina, cardioASA, totalip</t>
  </si>
  <si>
    <t>neoplasia vescicale in attesadi intervento chirurgico</t>
  </si>
  <si>
    <t>presente, circa 4 volte a notte</t>
  </si>
  <si>
    <t>Arisci Efisio</t>
  </si>
  <si>
    <t>RSCFSE68D12E281B</t>
  </si>
  <si>
    <t>3397171123</t>
  </si>
  <si>
    <t>ex artigiano edile, attualmente in pensione dopo infortunio</t>
  </si>
  <si>
    <t>seguito da centro antitabacco in terapia</t>
  </si>
  <si>
    <t>sulfamidici, favico</t>
  </si>
  <si>
    <t>pregresso IMA  circa 4 anni fa</t>
  </si>
  <si>
    <t>DM tipo II</t>
  </si>
  <si>
    <t>sequacor, briliqua, triatec, cardioASA, elettrotimolatore pettorale, lyrica, baclofene, tavor, statina, pantoprazolo, furosemide, insulina</t>
  </si>
  <si>
    <t>pregesso K polmone, pregressa positività per HCV trattata</t>
  </si>
  <si>
    <t>si, circa 4 volte a notte</t>
  </si>
  <si>
    <t>Corbella Alessandro</t>
  </si>
  <si>
    <t>CRBLSN71P15D969O</t>
  </si>
  <si>
    <t>3483696611</t>
  </si>
  <si>
    <t>sospette apnee notturne e russamento</t>
  </si>
  <si>
    <t>fumatore attivo (6 sigarette al giorno da circa 20 anni)</t>
  </si>
  <si>
    <t>Bivis</t>
  </si>
  <si>
    <t>30,78</t>
  </si>
  <si>
    <t>eupnoico a riposo e all'eloquio. Al torace mv presente in toto, non rumori patologici aggiunti. Attività cardiaca ritmica, toni netti, pause apparentemente libere. Non edemi declivi.</t>
  </si>
  <si>
    <t>Olivares Crespin Pablo Oswaldo</t>
  </si>
  <si>
    <t>LVRPLS62E30Z605X</t>
  </si>
  <si>
    <t>3452279580 (moglie)</t>
  </si>
  <si>
    <t>sospetto OSA in russamento</t>
  </si>
  <si>
    <t>collega pneumologa (Dott.ssa Cattaneo)</t>
  </si>
  <si>
    <t>carpentiere navale</t>
  </si>
  <si>
    <t>nega terapia in atto</t>
  </si>
  <si>
    <t>26,67</t>
  </si>
  <si>
    <t>eupnoico a riposo e all'eloquio. Al torace mv presente in toto, non rumori patologici aggiunti. Toni cardiaci netti, pause apparentemente libere. Non edemi declivi.</t>
  </si>
  <si>
    <t>Si consiglia monitoraggio cardio respiratorio notturno.</t>
  </si>
  <si>
    <t>Rodriguez Peralta Ruben Enrique</t>
  </si>
  <si>
    <t>RDRRNN41R17Z603W</t>
  </si>
  <si>
    <t>3382822392 (moglie)</t>
  </si>
  <si>
    <t>visita di controllo e cambio maschera</t>
  </si>
  <si>
    <t>pensionato, ex operaio fincantieri</t>
  </si>
  <si>
    <t>ex fumatore (ha smesso da 30 anni, fumava 20 sigarette al giorno per 20 anni)</t>
  </si>
  <si>
    <t>allergeni inalanti non meglio specificati</t>
  </si>
  <si>
    <t>sostituzione di valvola aortica</t>
  </si>
  <si>
    <t>Relvar 184/22, metformina, aplactin, coumadin, tamsulosina, avodart, risperidone, sequacor</t>
  </si>
  <si>
    <t>ad aprile 23 per cui effettuava terapia con azitromicina</t>
  </si>
  <si>
    <t>Si effettua cambio maschera.</t>
  </si>
  <si>
    <t>Montano Barbara</t>
  </si>
  <si>
    <t>MNTBBR73M69D969X</t>
  </si>
  <si>
    <t>3471012713</t>
  </si>
  <si>
    <t>sospetto apnee notturne</t>
  </si>
  <si>
    <t>oss</t>
  </si>
  <si>
    <t>10 sigarette/die da 35 anni</t>
  </si>
  <si>
    <t>Riferita allergia a saridon, vicks, pelo gatto, acaro della polvere</t>
  </si>
  <si>
    <t>integratori per coxartrosi e ferro</t>
  </si>
  <si>
    <t>saltuariamente per sforzi moderati</t>
  </si>
  <si>
    <t>20,03</t>
  </si>
  <si>
    <t>Utile monitoraggio cardio respiratorio notturno</t>
  </si>
  <si>
    <t>CUGNETTO MATTEO</t>
  </si>
  <si>
    <t>CGNMTT90D03D969G</t>
  </si>
  <si>
    <t>3463750229</t>
  </si>
  <si>
    <t>sospetto apnee del sonno</t>
  </si>
  <si>
    <t>operaio (turnista per lavori stradali)</t>
  </si>
  <si>
    <t>fumatore attivo, 17p/y</t>
  </si>
  <si>
    <t>nega RAF, Acari della polvere, nocciolo.</t>
  </si>
  <si>
    <t>IC tiroidectomia (2013)</t>
  </si>
  <si>
    <t>Gaviscon ed IPP al bisogno, eutirox</t>
  </si>
  <si>
    <t>76 R</t>
  </si>
  <si>
    <t>BARRERA EDOARDO</t>
  </si>
  <si>
    <t>BRRDRD61P03A182A</t>
  </si>
  <si>
    <t>3518555281</t>
  </si>
  <si>
    <t>da Neurologo (Osp. Evangelico)</t>
  </si>
  <si>
    <t>ez-guardia giurata</t>
  </si>
  <si>
    <t>ex-fumatore ( 22 p/y)</t>
  </si>
  <si>
    <t>si, birra</t>
  </si>
  <si>
    <t>penicillina.</t>
  </si>
  <si>
    <t>ai</t>
  </si>
  <si>
    <t>ai, FA</t>
  </si>
  <si>
    <t>si, lieve</t>
  </si>
  <si>
    <t>eliquis, torvast, ezetimibe, velafaxina, olazanpina, cardicor, pantorc, trittico, en.</t>
  </si>
  <si>
    <t>raramente, secca</t>
  </si>
  <si>
    <t>si, per sforzi lieve</t>
  </si>
  <si>
    <t>si, 4-5 vv/notte</t>
  </si>
  <si>
    <t>11, sonnolenza anomala</t>
  </si>
  <si>
    <t>90 AR</t>
  </si>
  <si>
    <t>GELLI ROBERTA</t>
  </si>
  <si>
    <t>OSA di grado moderato (AHI 17)</t>
  </si>
  <si>
    <t>docente</t>
  </si>
  <si>
    <t>mai</t>
  </si>
  <si>
    <t>nega RAF.</t>
  </si>
  <si>
    <t>si, 1-2 vv/notte</t>
  </si>
  <si>
    <t>si, in peggioramento</t>
  </si>
  <si>
    <t>79 bpm</t>
  </si>
  <si>
    <t>Sanchez Aponte Franco Alexander</t>
  </si>
  <si>
    <t>SNCFNC76M02Z605A</t>
  </si>
  <si>
    <t>3500300135</t>
  </si>
  <si>
    <t>valutazione polisonnografica</t>
  </si>
  <si>
    <t>ambulatorio ORL Asl3Sestri ponente</t>
  </si>
  <si>
    <t>addetto pulizie attualmente disoccupato</t>
  </si>
  <si>
    <t>saltuariamente 2-3 birre/settimana</t>
  </si>
  <si>
    <t>acari, pollini graminacee.</t>
  </si>
  <si>
    <t>non sa</t>
  </si>
  <si>
    <t>Si visita ORL del 2/8/23</t>
  </si>
  <si>
    <t>arinit spray nasale 1 spruzzo/narice, in attesa di intervento etmoidectomia anteroposterioire bilaterale</t>
  </si>
  <si>
    <t>ESS 11</t>
  </si>
  <si>
    <t>27.68</t>
  </si>
  <si>
    <t>NIEDDU Maura</t>
  </si>
  <si>
    <t>NDDMRA56B64I452H</t>
  </si>
  <si>
    <t>3497884492</t>
  </si>
  <si>
    <t>riferito da conviventi russamento e apnee, risvegli con cardiopalmo e dispnea</t>
  </si>
  <si>
    <t>MGG</t>
  </si>
  <si>
    <t>ex impiegata, e coltivatrice.</t>
  </si>
  <si>
    <t>fumatrice 10/die,  40 p/y</t>
  </si>
  <si>
    <t>si,guida</t>
  </si>
  <si>
    <t>ultimo ECGa maggio .23 riferito  negativo</t>
  </si>
  <si>
    <t>si terpia al bisogno</t>
  </si>
  <si>
    <t>riferita visita ORL circa 8 aa fa in f.u. ogni 2 aa (2021 ultimo) per iperostosi ? Mascellare sx non influenzante la respirazione (non porta documentazione</t>
  </si>
  <si>
    <t>scarsa, muco bianco</t>
  </si>
  <si>
    <t>più di 4 a notte</t>
  </si>
  <si>
    <t>2-4/ notte</t>
  </si>
  <si>
    <t>27.5</t>
  </si>
  <si>
    <t>eupnoica a riposo e nell'eloquio al torace MV presente ma ridotto in toto, non rumori patologici, ACV valida ritmica normofrequente, non edemi AAII</t>
  </si>
  <si>
    <t>Caltagirone Giovanni</t>
  </si>
  <si>
    <t>CLTGNN64L04D969W</t>
  </si>
  <si>
    <t>3703225329</t>
  </si>
  <si>
    <t>russamento notturno e sonnolenza diurna</t>
  </si>
  <si>
    <t>carrozziere</t>
  </si>
  <si>
    <t>ex fumatore da 20 anni (1.5 pack/die per 20 anni)</t>
  </si>
  <si>
    <t>Pantoprazolo, fermenti lattici</t>
  </si>
  <si>
    <t>espettorazione biancastro</t>
  </si>
  <si>
    <t>2 vv/notte</t>
  </si>
  <si>
    <t>29,38</t>
  </si>
  <si>
    <t>Al torace MV conservato in assenza di franchi rumori patologici. Toni netti, validi, ritmici. Non edemi declivi.</t>
  </si>
  <si>
    <t>-Calo ponderale_x000D_
-Monitoraggio cardiorespiratorio notturno</t>
  </si>
  <si>
    <t>Carlini Paola</t>
  </si>
  <si>
    <t>CRLPLA69S69D969D</t>
  </si>
  <si>
    <t>3472447838</t>
  </si>
  <si>
    <t>Iapnee notturne grado moderato</t>
  </si>
  <si>
    <t>Controllo dopo esecuzione prima visita a Osp. Cogoleto</t>
  </si>
  <si>
    <t>Collaboratrice familiare</t>
  </si>
  <si>
    <t>acari, graminacee ,ulivo,</t>
  </si>
  <si>
    <t>di Duotens 5/5</t>
  </si>
  <si>
    <t>QT con tendenza allungamento (2021 490 ms migliorato dopo riduzione steroide inalatorio,ultimo 2022 430ms,</t>
  </si>
  <si>
    <t>no,lieve intolleranza glucidica</t>
  </si>
  <si>
    <t>si, classe II</t>
  </si>
  <si>
    <t>Asma in trattamento inalatorio, ripreso da un mese 160/4.6 1 puff ,sospeso da qualche giorno</t>
  </si>
  <si>
    <t>porta in visione:_x000D_
 visita centro Asl3  arenzano Centro DRS: il 24.3.22: visto MCR del 23.3.22 AHI 16.3,  Supino :non supino 1.25:1,  ODI 13.4._x000D_
caloponderale, valutazione odontoiatrica per eventuale dispositivo di avanzamento mandibolare avanzamento</t>
  </si>
  <si>
    <t>riferisce indicazione ad intervento per prolasso vescicale e iperreattività vescicale.</t>
  </si>
  <si>
    <t>costante, al momento si coricarsi</t>
  </si>
  <si>
    <t>5-6/notte</t>
  </si>
  <si>
    <t>per sforzi moderati, salite</t>
  </si>
  <si>
    <t>3-4/notte</t>
  </si>
  <si>
    <t>difficoltà si, nella concentrazione. Eseguita visita centro disturbi cognitivi riferita nella norma in attesa di v. di controllo</t>
  </si>
  <si>
    <t>Al torace MV presente,non rumori aggiuntirumori aggiunti, ACV valida ritmica , normofrequente, non</t>
  </si>
  <si>
    <t>paziente asmatica, con sintomi da Eccessiva  sonnolenza diurna, ipertensione, reflussoGE, s. depresiiva  seguita _x000D_
in terapia con Pantorc 40, duotens 5/5lamictal100,x2, resilient, felison 15, abilify 5_x000D_
_x000D_
En all'occorrenza  1._x000D_
_x000D_
Si coonsiglia calo</t>
  </si>
  <si>
    <t>Zito Silvio</t>
  </si>
  <si>
    <t>ZTISLV86B12D969E</t>
  </si>
  <si>
    <t>3461619783</t>
  </si>
  <si>
    <t>fumatore attivo (21 p/y)</t>
  </si>
  <si>
    <t>graminacee, parietaria acari della polvere</t>
  </si>
  <si>
    <t>asma</t>
  </si>
  <si>
    <t>lansoprazolo, daparox, relvar, fulcosupra</t>
  </si>
  <si>
    <t>ACT: 15</t>
  </si>
  <si>
    <t>eseguire polisonnogramma notturno;_x000D_
proseguire terapia con Relvar una inalazione al mattino;_x000D_
Utilizzare Ventolin al bisogno;_x000D_
Spirometria semplice;_x000D_
effettuare controllo pneumologic annuali per follow-up in asma</t>
  </si>
  <si>
    <t>Re Silvano Emanuele</t>
  </si>
  <si>
    <t>REXSVN56P15D969J</t>
  </si>
  <si>
    <t>3460655106</t>
  </si>
  <si>
    <t>Pneumologia</t>
  </si>
  <si>
    <t>ex verniciatore</t>
  </si>
  <si>
    <t>visita pneumologica (24.8.2023): possibile OSAS in paziente cardiopatico affetto da m. di Parkinson</t>
  </si>
  <si>
    <t>madopar, torvast, pantoprazolo, sequacor, cardioasa</t>
  </si>
  <si>
    <t>eupnoico a riposo e all'eloquio. Al torace mv presente in toto, non apprezzabili rumori patologici aggiunti</t>
  </si>
  <si>
    <t>utile eseguire polisonnogramma notturno</t>
  </si>
  <si>
    <t>Orsi Enrico</t>
  </si>
  <si>
    <t>RSONRC53H20F225R</t>
  </si>
  <si>
    <t>3356903880</t>
  </si>
  <si>
    <t>ex fumatore (12 p/y)</t>
  </si>
  <si>
    <t>Recente intervento di protesi d'anca.</t>
  </si>
  <si>
    <t>torvast, carvedilolo, nebivololo, quetiapina</t>
  </si>
  <si>
    <t>eupnoico a riposo e all'eloquio. Al torace non apprezzabili rumori patologici aggiunti.</t>
  </si>
  <si>
    <t>SANZANI-BOCCI ANDREA</t>
  </si>
  <si>
    <t>SNZNDR62C05D969P</t>
  </si>
  <si>
    <t>3403134157</t>
  </si>
  <si>
    <t>pollini, parietaria</t>
  </si>
  <si>
    <t>d</t>
  </si>
  <si>
    <t>si, asma</t>
  </si>
  <si>
    <t>levotiroxina, lercadinipina, omnic, olmesartan, alvesco</t>
  </si>
  <si>
    <t>eupnoico a riposo e all'eloquio, al torace mv normotrasmesso in toto, non apprezzabiuli rumori patologici aggiunti.</t>
  </si>
  <si>
    <t>sospetta apnee del sonno._x000D_
Si consiglia monitoraggio cardiorespiratorio notturno.</t>
  </si>
  <si>
    <t>PERVEZ ASHRAF</t>
  </si>
  <si>
    <t>PRVSRF65S01Z236L</t>
  </si>
  <si>
    <t>3713765274</t>
  </si>
  <si>
    <t>acari della polvere, pollini</t>
  </si>
  <si>
    <t>asma bronchiale</t>
  </si>
  <si>
    <t>rupatadina, gibiter, insulina</t>
  </si>
  <si>
    <t>si (2 volte a notte)</t>
  </si>
  <si>
    <t>paziente eupnoico a riposo e all'eloquio, al torace mv normotrasmesso in toto, non apprezzabili rumori patologici aggiunti.</t>
  </si>
  <si>
    <t>ROBLES VEGA NATALIA MARGOT</t>
  </si>
  <si>
    <t>RBLNLM72A71Z611G</t>
  </si>
  <si>
    <t>3515548656</t>
  </si>
  <si>
    <t>ex fumatrice (5p/y)</t>
  </si>
  <si>
    <t>ha effettuato polisonnogramma presso centro di cura per l'obesità, che segnalava OSA grave (referto non in visione)</t>
  </si>
  <si>
    <t>eupnoico a riposo e all'eloquio. Al torace mv normotrasmesso in toto</t>
  </si>
  <si>
    <t>CABRERA MEZA DIETMAR ONOFRE</t>
  </si>
  <si>
    <t>CBRDMR65H12Z605S</t>
  </si>
  <si>
    <t>3333594052</t>
  </si>
  <si>
    <t>addetto alle pulizie</t>
  </si>
  <si>
    <t>sospetta asma bronchiale</t>
  </si>
  <si>
    <t>candesartan</t>
  </si>
  <si>
    <t>eupnoico a riposo e all'eloquio. Al torace mv normotrasmesso in toto, non apprezzabili rumori patologici aggiunti</t>
  </si>
  <si>
    <t>polisonnogramma notturno;_x000D_
pannelli allergeni alimentari;_x000D_
dosaggio IGG, IGA, IGE, IGM, complento C1h</t>
  </si>
  <si>
    <t>Quaglia Lorena</t>
  </si>
  <si>
    <t>QGLLRN74P51D969Y</t>
  </si>
  <si>
    <t>3478396019</t>
  </si>
  <si>
    <t>fumatrice da 2 anni di sigaretta elettronica; fumo per 5-6 anni in adolescenza</t>
  </si>
  <si>
    <t>nichel</t>
  </si>
  <si>
    <t>Pregresso COVID circa 1 anno fa trattato a domicilio</t>
  </si>
  <si>
    <t>sì, circa 1-2 volte a settimana (il marito riferisce più episodi di apnea a notte)</t>
  </si>
  <si>
    <t>ostruzione nasale post  COVID</t>
  </si>
  <si>
    <t>1 volte a notte</t>
  </si>
  <si>
    <t>Eupnoica a ripos e all'eloquio. ACV valida, ritmica; toni netti pause apparentemente libere. Al torace, MV diffusamente lievemente ridotto, non rumori patologici aggiunti</t>
  </si>
  <si>
    <t>-Valutazione ORL_x000D_
-Calo ponderale_x000D_
-Esecuzione di monitoraggio cardiorespiratorio notturno</t>
  </si>
  <si>
    <t>Bisio Giacomo</t>
  </si>
  <si>
    <t>BSIGCM51L28D969U</t>
  </si>
  <si>
    <t>3703351554</t>
  </si>
  <si>
    <t>ex bancario</t>
  </si>
  <si>
    <t>zitromax</t>
  </si>
  <si>
    <t>B</t>
  </si>
  <si>
    <t>pantecta, deursil, cantabilin</t>
  </si>
  <si>
    <t>vellichio in gola</t>
  </si>
  <si>
    <t>per sforzi intensi</t>
  </si>
  <si>
    <t>26.5</t>
  </si>
  <si>
    <t>eupnoico a riposo e all'eloquio, al torace mv normotrasmesso in toto</t>
  </si>
  <si>
    <t>monitoraggio cardiorespiratorio notturno;_x000D_
spirometria</t>
  </si>
  <si>
    <t>Pesciallo Giorgio</t>
  </si>
  <si>
    <t>PSCGRG40E11D969M</t>
  </si>
  <si>
    <t>3388128034</t>
  </si>
  <si>
    <t>OSA confermata di grado severo con AHI 30,1 e adattamento apparentme</t>
  </si>
  <si>
    <t>ex tapezziere</t>
  </si>
  <si>
    <t>stop 8 mesi fa, 45 P/Y)</t>
  </si>
  <si>
    <t>riferita come presente ma non ricorda quale</t>
  </si>
  <si>
    <t>diabete</t>
  </si>
  <si>
    <t>OSA, BPCO in tp inalatoria</t>
  </si>
  <si>
    <t>omnic, pillola antipertensiva, inalatore non meglio specificato</t>
  </si>
  <si>
    <t>colecistectomia</t>
  </si>
  <si>
    <t>talvolta rinorrea anteriore</t>
  </si>
  <si>
    <t>raramente qualche episodio</t>
  </si>
  <si>
    <t>Eupnoico a riposo e all'eloquio. ACV valida, ritmica. Toni netti, pause</t>
  </si>
  <si>
    <t>-Calo ponderale_x000D_
Si prescrive su</t>
  </si>
  <si>
    <t>Mignone Alberto</t>
  </si>
  <si>
    <t>MGNLRT48D02E341W</t>
  </si>
  <si>
    <t>3313370247</t>
  </si>
  <si>
    <t>sospetta OSA e dispnea</t>
  </si>
  <si>
    <t>ex Saldatore, autista (riferito contatto con sostanza inquinanti).</t>
  </si>
  <si>
    <t>ex fumatore (55p/y)</t>
  </si>
  <si>
    <t>nega RAF</t>
  </si>
  <si>
    <t>sospesa</t>
  </si>
  <si>
    <t>riferito pregresso IMA</t>
  </si>
  <si>
    <t>visita pneumologica 2018._x000D_
PFR18.09.2023_x000D_
-visita cardiologica 1.08.2023</t>
  </si>
  <si>
    <t>ramipril, idroclorotiazide, lacidipina, sinemet, pantoprazolo, levitiracetam, rosumibe</t>
  </si>
  <si>
    <t>scarsa, riferito per lo più abbondante produzione di muco.</t>
  </si>
  <si>
    <t>diversi</t>
  </si>
  <si>
    <t>dispnea per sforzi lievi-moderati (camminare in piano oer lunghi tratti).</t>
  </si>
  <si>
    <t>rinorrea pe rlo più acquosa</t>
  </si>
  <si>
    <t>34.8</t>
  </si>
  <si>
    <t>97% in aa</t>
  </si>
  <si>
    <t>80 R</t>
  </si>
  <si>
    <t>Eupnoico a riposo e all'eloquio, nons egni di cianosi periferica. Al torace MV ridotto in toto, non franchi rumori patologici aggiunti.</t>
  </si>
  <si>
    <t>Ceparano Lorenzo</t>
  </si>
  <si>
    <t>CPRLNZ65A19I293A</t>
  </si>
  <si>
    <t>ex fumatore (stop abitudine nel 2014, 55 P/Y), ora solo occasionalmente, circa 4 sigarette al mese)</t>
  </si>
  <si>
    <t>STEMI 2014</t>
  </si>
  <si>
    <t>riferitta dispnea parossistica sporadica</t>
  </si>
  <si>
    <t>CardioASA, ranexa, gastroloc, zantipress, rosuvastatina/ezetimibe</t>
  </si>
  <si>
    <t>Riferito dal partner di letto apnea e roncopatia. Il pz riferisce risvegli notturni con insonnia conseguente</t>
  </si>
  <si>
    <t>sì, occasionale pirosi</t>
  </si>
  <si>
    <t>raramente presente ostruzione nasale</t>
  </si>
  <si>
    <t>sì, 1-2 volte a notte</t>
  </si>
  <si>
    <t>lievemente presente al mattino</t>
  </si>
  <si>
    <t>Eupnoico a riposo e all'eloquio. ACV valida, ritmica. Toni netti, pause apparentemente libere. Al torace, MV normotrasmesso su tutto l'ambito, non rumori patologici aggiunti</t>
  </si>
  <si>
    <t>-spirometria semplice nel sospetto di BPCO</t>
  </si>
  <si>
    <t>Oggiano Tomaso</t>
  </si>
  <si>
    <t>GGNTMS51D05E747Q</t>
  </si>
  <si>
    <t>3406973726</t>
  </si>
  <si>
    <t>Torvast, sequacor, coumadin, ASA, trulicity, Jardiance, metotrexate</t>
  </si>
  <si>
    <t>si, con sensazione ci soffocamento (da circa 10 gioprni)</t>
  </si>
  <si>
    <t>80 bpm R</t>
  </si>
  <si>
    <t>eupnoico a riposo e all'eloquio, non segni di cianois periferica. Al torace Mv ridotto in toto, non franchi rumori patologici aggiunti.</t>
  </si>
  <si>
    <t>Anamnesi positiva per sonnolenza dirna e risvegli notturni con sensazione di soffocmaneto. Si consiglia polisonnogramma notturno.</t>
  </si>
  <si>
    <t>20/12/1948</t>
  </si>
  <si>
    <t>Dispnea</t>
  </si>
  <si>
    <t>medicO curante</t>
  </si>
  <si>
    <t>ex massaggiatrice</t>
  </si>
  <si>
    <t>intolleranza a solanacee</t>
  </si>
  <si>
    <t>si, talvolta produttiva, con espettorazione di muco biancastro.</t>
  </si>
  <si>
    <t>no. Riferisce di utilizzare CPAP )</t>
  </si>
  <si>
    <t>dispnea per sforzi lievi da circa un anno (pochi poassi)</t>
  </si>
  <si>
    <t>Al torace MV presente in toto, non franchi rumori patologici aggiunti.</t>
  </si>
  <si>
    <t>Pereira Jose Henrique</t>
  </si>
  <si>
    <t>PRRJHN82L23Z602Q</t>
  </si>
  <si>
    <t>3490697362</t>
  </si>
  <si>
    <t>corriere</t>
  </si>
  <si>
    <t>fumatore attivo (25 P/Y)</t>
  </si>
  <si>
    <t>Effettuato MCR in data 11.05.21: AHI 66 eventi/ora, ODI 70,9 t90: 45,3. Veniva adattato a CPAP P 9 cm H2O con maschera nasale che il paziente ha noleggiato autonomamente da circa 2 anni. Riferito calo ponderale nel frattempo di circa 20 kg.</t>
  </si>
  <si>
    <t>presente qualche sporadico episodio di risveglio. Riferito da partner di letto roncopatia associata ad episodi di pausa respiratoria</t>
  </si>
  <si>
    <t>talvolta qualche episodi di pirosi</t>
  </si>
  <si>
    <t>Si programma monitoraggio cardiorespiratorio notturno in corso di CPAP. Il paziente è atteso</t>
  </si>
  <si>
    <t>Ponte Sandro</t>
  </si>
  <si>
    <t>PNTSDR71L24D969A</t>
  </si>
  <si>
    <t>3495536480</t>
  </si>
  <si>
    <t>Carpenteria (esposizione professionale con fumi, polveri, carboni)</t>
  </si>
  <si>
    <t>Saltuario fumatore per circa 10 anni</t>
  </si>
  <si>
    <t>Nega RAF o allergie ad inalanti.</t>
  </si>
  <si>
    <t>Frequenti, non trattata.</t>
  </si>
  <si>
    <t>MRC ( 09/12/2019): il pattern respiratorio eviedenzia eventi respiratori di tipo ostruttivo (AHI 50), in assenza di ocmponente posturale di rilievo, ODI 52,2, T90% 9,9, indice variazione pulsazione 31,2, con successiva prescrizione di CPAP a 13 cm H20 con</t>
  </si>
  <si>
    <t>Plaunac 20 mg</t>
  </si>
  <si>
    <t>Riferisce tosse secca, in assenza di espettorazione.</t>
  </si>
  <si>
    <t>Riferisce al minimo 2 risvegli per notte, la moglie riferisce comparsa di apnee. Riferita notte non ristoratrice con sensazione di fame d'aria al risveglio.</t>
  </si>
  <si>
    <t>Riferisce lieve dispnea per sforzi intensi.</t>
  </si>
  <si>
    <t>riferito setto nasale deviato, con frequente ostruzione nasale.</t>
  </si>
  <si>
    <t>Si, migliorata con l'assunzione di antiipertensivo</t>
  </si>
  <si>
    <t>29,7</t>
  </si>
  <si>
    <t>Paziente eupnoico a ripsoo e all'qloquio, non segni di cianosi periferica. Al torace, MV presente, non apprezzabile rumori patologici aggiunti. Attività cardiaca valida e ritmica, toni netti, pause apparentemente.</t>
  </si>
  <si>
    <t>Ruina Davide</t>
  </si>
  <si>
    <t>RNUDVD84S30D969N</t>
  </si>
  <si>
    <t>3338334464</t>
  </si>
  <si>
    <t>Meccanico (esposizione professionale con fumi e polveri)</t>
  </si>
  <si>
    <t>Riferita allergia per graminacee, ambrosia, pelo del gatto, polvere. Nega RAF</t>
  </si>
  <si>
    <t>Sarcoidosi polmonare (seguito presso altro centro)</t>
  </si>
  <si>
    <t>MCR (31,01,24): AHI 20.4, t90% 0,7%, ODI 21.5, presente componente posizionale.</t>
  </si>
  <si>
    <t>Ramipril 1/2 cp 5 mg, Foster 200/6 1 inalazione mattina e sera.</t>
  </si>
  <si>
    <t>Nega tosse</t>
  </si>
  <si>
    <t>La moglie del paziente riferisce apnee durante la notte, riferita roncopatia. Riferiti episodi di chocking. Sonno non ristoratore.</t>
  </si>
  <si>
    <t>Riferisce dispnea per sfrorzi moderati (salire le scale). Marcia in piano conservata</t>
  </si>
  <si>
    <t>Riferisce ostruzione nasale.</t>
  </si>
  <si>
    <t>lieve turbe della memoria, con rallentamento ideomotorio.</t>
  </si>
  <si>
    <t>25,5</t>
  </si>
  <si>
    <t>Paziente eupnoico a riposo e all'eloquio, non segni di cianosi periferica, al torace MV presente, lievemente ridotto, non apprezzbaili rumori patologici aggiunti. Attività cardiaca valida e ritmica, toni netti, pause libere.</t>
  </si>
  <si>
    <t>Franza Daniele</t>
  </si>
  <si>
    <t>FRNDNL90S29D969J</t>
  </si>
  <si>
    <t>3470632231</t>
  </si>
  <si>
    <t>Sospetto apnee ostruttive del sonno</t>
  </si>
  <si>
    <t>Otorino</t>
  </si>
  <si>
    <t>Corriere</t>
  </si>
  <si>
    <t>Mai fumatore</t>
  </si>
  <si>
    <t>Riferisce risveglio con sensazione di fame d'aria circa un mese fa</t>
  </si>
  <si>
    <t>Al torace mv presente in toto non rumori patologici aggiunti</t>
  </si>
  <si>
    <t>Abruzzese Moreno</t>
  </si>
  <si>
    <t>BBRMRN98P21D969X</t>
  </si>
  <si>
    <t>3451650464</t>
  </si>
  <si>
    <t>ditta di manutenzione per impianti di calcetruzzo</t>
  </si>
  <si>
    <t>fumatore attivo di circa 10 sigarette/die da 8-9 anni</t>
  </si>
  <si>
    <t>Allergia a mentolo</t>
  </si>
  <si>
    <t>possibile</t>
  </si>
  <si>
    <t>Valutazione ORL 02/04/24; Non micrognazia. In orofaringoscopia tonsille ipertrofiche, criptiche, nei limiti le restanti mucose del cavo orale. Rinoscopia anteriore deviazione settale dx convessa, ipertrofia turbinati inferiori bilat. Consigliato arinit sp</t>
  </si>
  <si>
    <t>talvolta presente con espettorazione tendenzialmente bianco-giallognola</t>
  </si>
  <si>
    <t>no. Riferito da partner di letto presenza di roncopatia e episodi di pausa respiratoria</t>
  </si>
  <si>
    <t>ostruzione nasale ricorrente e qualche episodio di rinorrea</t>
  </si>
  <si>
    <t>Riferito qualche episodio</t>
  </si>
  <si>
    <t>1 episodio a notte</t>
  </si>
  <si>
    <t>presente. Risoluzione con FANS</t>
  </si>
  <si>
    <t>Eupnoico a riposo e all'eloquio. Al torace MV normotrasmesso in toto, non rumori patologici aggiunti</t>
  </si>
  <si>
    <t>Pirlo Gianfranco</t>
  </si>
  <si>
    <t>PRLGFR61L04D969K</t>
  </si>
  <si>
    <t>3426200240</t>
  </si>
  <si>
    <t>urologo</t>
  </si>
  <si>
    <t>non fumatore</t>
  </si>
  <si>
    <t>probabile allergia a pollini (non indagata). Nega RAF</t>
  </si>
  <si>
    <t>carvedilolo, luvion, ercapren, glucophage, allopurinolo, depakin</t>
  </si>
  <si>
    <t>sinusite odontogena (operazione chirurgica nel 2000), TURP nel 2023</t>
  </si>
  <si>
    <t>vigile, orientato, eupnoico. Al torace MV lievemente ridotto in toto</t>
  </si>
  <si>
    <t>monitoraggio cardiorepiratorio in data alle ore</t>
  </si>
  <si>
    <t>Sorini Fabio</t>
  </si>
  <si>
    <t>SRNFBA77P03D969J</t>
  </si>
  <si>
    <t>3358483129</t>
  </si>
  <si>
    <t>Ingegnere della sonorità e degli impianti elettrici</t>
  </si>
  <si>
    <t>non allergie note</t>
  </si>
  <si>
    <t>in corso di indagine</t>
  </si>
  <si>
    <t>Seguito da Ematologia per policitemia in tp con salassi. Visionato ECG che mostra deviazione assiale sx in ritmo sinusale (75 bpm). RX torace di controllo 09/04 us: ipoespansione toracica. Accentuazione della trama vasculo-interstiziale polmonare e delle</t>
  </si>
  <si>
    <t>cardioASA da 2 settimane, omega3, pantoprazolo</t>
  </si>
  <si>
    <t>Riferiti risvegli notturni con sensazione di fame d'aria e talvolta, forse anche chocking. Riferito da partner di letto roncopatia e sensazione di pausa respiratoria</t>
  </si>
  <si>
    <t>starnutazioni frequenti</t>
  </si>
  <si>
    <t>riferito qualche episodio</t>
  </si>
  <si>
    <t>Sospetta OSA. Si programma monitoraggio cardiorespiratorio notturno</t>
  </si>
  <si>
    <t>DI NATALE CLARA</t>
  </si>
  <si>
    <t>DNTCLR00D46F899I</t>
  </si>
  <si>
    <t>3917506581</t>
  </si>
  <si>
    <t>si, 15 sigaretta al giorno</t>
  </si>
  <si>
    <t>si, B</t>
  </si>
  <si>
    <t>si,</t>
  </si>
  <si>
    <t>si, lievedefficit dellamemoria a breve termie</t>
  </si>
  <si>
    <t>98%,</t>
  </si>
  <si>
    <t>Paziente eupnoica a rispos e all'eloquio</t>
  </si>
  <si>
    <t>Cpanna Saverio</t>
  </si>
  <si>
    <t>CPNSVR90T04D969Y</t>
  </si>
  <si>
    <t>3467698176</t>
  </si>
  <si>
    <t>collaboratore scolastico</t>
  </si>
  <si>
    <t>Fumatore solo sporadico con sospensione definitva circa 1 anno fa; consumo di circa mezzo sigaro al giorno</t>
  </si>
  <si>
    <t>allergia ad acaro della polvere, pelo di coniglio, graminacee ed alcuni pollini</t>
  </si>
  <si>
    <t>al limite col sovrappeso</t>
  </si>
  <si>
    <t>episodi di broncospasmo e crisi asmatiche nell'infanzia e prima adolescenza con miglioramento della sintomatologia con lo sviluppo</t>
  </si>
  <si>
    <t>Relvar 92/22 mcg solo al bisogno in caso di broncospasmo</t>
  </si>
  <si>
    <t>Presente in forma stizzosa nell'ultimo periodo (allergopatia nota)</t>
  </si>
  <si>
    <t>sì, riferiti risvegli improvvisi con sensazione di mancanza di fiato; avvengono sia di notte che di pomeriggio. Riferita presenza di roncopatia</t>
  </si>
  <si>
    <t>frequente sensazione di ostruzione nasale</t>
  </si>
  <si>
    <t>Sospetta OSA. Si programma monitoraggio cardiorespiratorio notturno. Il paziente è atteso in data alle ore</t>
  </si>
  <si>
    <t>Palanga Patrizia Luciana</t>
  </si>
  <si>
    <t>PLNPRZ56M56D969I</t>
  </si>
  <si>
    <t>3386205837</t>
  </si>
  <si>
    <t>Collega Pneumologa</t>
  </si>
  <si>
    <t>Lavoro automobilistico, riferita epsosizione professionale a fmi e polveri</t>
  </si>
  <si>
    <t>Ex fumatrice ( stop 2013, 38 packs/year)</t>
  </si>
  <si>
    <t>riferita allergia allo ioidio.</t>
  </si>
  <si>
    <t>No, riferito dolore allo stomaco, presenza di ernia iatale.</t>
  </si>
  <si>
    <t>2015 lobectomia superiore sinistra ADK,</t>
  </si>
  <si>
    <t>Intervento per posizionamento di stent a livello iliaco-femorale (2013)</t>
  </si>
  <si>
    <t>cardioASA, liposcudil, ezetimibe, micardis 80/25, pantocr 20 mg, Trimbow 88/5/9 2 inalazioni mattina e sera, felison, normix, movicol al bisogno.</t>
  </si>
  <si>
    <t>Solitamente no, riferisce recente episodio bronchitico, con tosse produttiva, a carattre non purulento.</t>
  </si>
  <si>
    <t>Nega risvegli frequenti, riferita roncopatia. Riferito sonno non particolarmente ristoratore.</t>
  </si>
  <si>
    <t>Riferita dispnea per sforzi lievi (anche durante le commissioni di casa). Marcia in piano parzialmente conservata.</t>
  </si>
  <si>
    <t>Riferito.</t>
  </si>
  <si>
    <t>28,3</t>
  </si>
  <si>
    <t>Trevisani Marco</t>
  </si>
  <si>
    <t>TRVMRC73C20D969M</t>
  </si>
  <si>
    <t>3357465214</t>
  </si>
  <si>
    <t>Frequenti risvegli notturni (talvolta con sensazione di fame d'aria) e russamento</t>
  </si>
  <si>
    <t>Medico curante per sospetto apnee notturne</t>
  </si>
  <si>
    <t>Artigiano</t>
  </si>
  <si>
    <t>riferita allergia a Rocefin (edema del volto, reazione eritematosa diffusa)</t>
  </si>
  <si>
    <t>30,49</t>
  </si>
  <si>
    <t>Al torace mv presente in toto, non rumori paqtologici aggiunti</t>
  </si>
  <si>
    <t>Sospetto apnee notturne</t>
  </si>
  <si>
    <t>Crosara Raffaella</t>
  </si>
  <si>
    <t>CRSRFL73C44D969I</t>
  </si>
  <si>
    <t>3382918725</t>
  </si>
  <si>
    <t>casellante</t>
  </si>
  <si>
    <t>ex fumatrice ha smesso da 3 anni (3 p/Y)</t>
  </si>
  <si>
    <t>nega terapia domiciliare</t>
  </si>
  <si>
    <t>23,71</t>
  </si>
  <si>
    <t>Sospetto OSA. Utile eseguire monitoraggio cardio respiratorio notturno.</t>
  </si>
  <si>
    <t>Marullo Giuseppa</t>
  </si>
  <si>
    <t>MRLGPP48R65I240V</t>
  </si>
  <si>
    <t>3494513427/0108369630</t>
  </si>
  <si>
    <t>ex-Impiegata (nega esposizione professionale a polveri fibrosanti</t>
  </si>
  <si>
    <t>Nichel, Digifar collirio</t>
  </si>
  <si>
    <t>K mammella recidivato bilateralmente (6 anni fa) trattato con terapia ormonale.</t>
  </si>
  <si>
    <t>Clopidogrel, Calcio e vitamina D, Pantoprazolo, statine (non specificato), biorinil uno spruzzo per narice</t>
  </si>
  <si>
    <t>Lieve tosse secca, soprattutto post prandiale.</t>
  </si>
  <si>
    <t>Riferito sonno ristoratore, tuttavia riportati episodi di chocking e roncopatia. Riferisce molta sonnolenza durante il giorno, con necessità di dormire anche durante tutta la mattina.</t>
  </si>
  <si>
    <t>Riferita dispnea per sforzi moderati (fare una salita), marcia in piano ocnservato.</t>
  </si>
  <si>
    <t>Riferita frequente ostruzione nasale e starnutazioni</t>
  </si>
  <si>
    <t>Riferite frequenti</t>
  </si>
  <si>
    <t>Paziente eupnoica a riposo e all'eloquio, non segni di cianosi periferica. Al torace, MV presente in toto, non apprezzabili grossolani rumori patologici aggiunti. Attività cardiaca valida e ritmca, toni netti, pause apparentemente libere.</t>
  </si>
  <si>
    <t>Ferrara Franco</t>
  </si>
  <si>
    <t>FRRFNC49H01D969V</t>
  </si>
  <si>
    <t>3485295705</t>
  </si>
  <si>
    <t>medico di medicina generale.</t>
  </si>
  <si>
    <t>Ex impiegato ILVA (per 26 anni), attualmente gestisce officina meccanica.</t>
  </si>
  <si>
    <t>Ex modesto fumatore (circa 3 p/y).</t>
  </si>
  <si>
    <t>Assume vino in maniera discontinua ai pasti (circa 1 bicchiere).</t>
  </si>
  <si>
    <t>Non riferite allergie.</t>
  </si>
  <si>
    <t>pregressa trombosi in terapia con eliquis, in programma biopsia renale.</t>
  </si>
  <si>
    <t>si in terapia con statina.</t>
  </si>
  <si>
    <t>noduli tiroidei in follow-up (ultima ecografia riferita negativa).</t>
  </si>
  <si>
    <t>No, paziente sovrappeso.</t>
  </si>
  <si>
    <t>In passato presenti sintomi MRGE (attualmente il paziente assume pantoprazolo).</t>
  </si>
  <si>
    <t>non patologie respiratorie note.</t>
  </si>
  <si>
    <t>TD: tenormin 100 mg e valsartan, cardura 1/2 cp al mattino e 1/2 cp alla sera, 320 + diuetici, eliquis mattino e sera, statina, pantoprazolo. Allergie: non riferite.</t>
  </si>
  <si>
    <t>Non presente.</t>
  </si>
  <si>
    <t>Presenti risvegli notturni che il paziente riferisce ascrivibili ad ansia.</t>
  </si>
  <si>
    <t>Sporadici dopo esposizione a polveri irritanti.</t>
  </si>
  <si>
    <t>Non presenti attualmente.</t>
  </si>
  <si>
    <t>Si presente, circa 1 risveglio/notte.</t>
  </si>
  <si>
    <t>Talvolta riferisce difficoltà nel ricordarsi i nomi delle persone, non particolari ulteriori turbe della memoria.</t>
  </si>
  <si>
    <t>non presente cefalea mattutina, talvolta presente lieve cefalea notturna.</t>
  </si>
  <si>
    <t>29.07</t>
  </si>
  <si>
    <t>78 bpm</t>
  </si>
  <si>
    <t>apiretico, eupnoico a riposo e all'eloquio in aria ambiente, al torace basi mobili MV presente su tutto l'ambito, ACV valida e ritmica, toni netti con pause libere. Non edemi declivi.</t>
  </si>
  <si>
    <t>Polisonnogramma notturno Calo ponderale</t>
  </si>
  <si>
    <t>Pezzana Marta</t>
  </si>
  <si>
    <t>PZZMRT81M66D969S</t>
  </si>
  <si>
    <t>3401615112</t>
  </si>
  <si>
    <t>impiegata (smart working)</t>
  </si>
  <si>
    <t>ex-fumor (stop 15 anni fa, 3-4 sigarette/die per 5 anni circa)</t>
  </si>
  <si>
    <t>visita ORL (30/05): cavo orale nella norma, tonsille e palato normotrofici, lieve deviazione settale non stenosante, fosse nasali pervie, lieve ipertrofia linfatica rinofaringe, base linguale, ipfaringe e lingua nella norma.</t>
  </si>
  <si>
    <t>riferisce roncopatia notturna e verosimili episodi apneici notturni</t>
  </si>
  <si>
    <t>si, in primavera (talvolta ricorre a terapia con Kestine con beneficio)</t>
  </si>
  <si>
    <t>si, talvota</t>
  </si>
  <si>
    <t>al torace MV conservato su tutti i campi, non rumori patologici aggiunti. ACV ritmica, pause libere da soffi. None demi declivi.</t>
  </si>
  <si>
    <t>utile esecuzione di monitoraggio cardio respiratorio notturno</t>
  </si>
  <si>
    <t>Bruzzone Rosanna</t>
  </si>
  <si>
    <t>BRZRNN61E49D969J</t>
  </si>
  <si>
    <t>388.4073442</t>
  </si>
  <si>
    <t>Fisioterapista (nega esposizione professionale a fumi ed inalanti).</t>
  </si>
  <si>
    <t>Nega bitudine tabagica</t>
  </si>
  <si>
    <t>Rireritre prove allergiche negative.</t>
  </si>
  <si>
    <t>Riferita difficoltà alla respirazione durante la notte dall'infanzia. Riferite diverse parasonnie.</t>
  </si>
  <si>
    <t>-MCR notturno (28/01/2021): l'esame eseguito non ha evidenziato eventi di rilevanza clinica. Utile calo ponderale ed eventuale valutazione odontoiatrica per posizionale di dispositivo di avanzamento mandibolare. AHI 2,3, ODI 3,1, valori di saturazione med</t>
  </si>
  <si>
    <t>Triatec, Tamoxifene, Trittico gocce 18-20 gtt.</t>
  </si>
  <si>
    <t>Riferita tosse produttiva a seguito di episodio influenzale.</t>
  </si>
  <si>
    <t>riferisce diversi risvegli durante la notte, per tachicardia e senso di oppressione toracica. Riferisce inoltre episodi di desaturazione associata.</t>
  </si>
  <si>
    <t>Riferiti rinocongiuntiviti allergiche.</t>
  </si>
  <si>
    <t>21,45</t>
  </si>
  <si>
    <t>Paziente eupnoica a riposo e all'eloquio. Non segni di cianosi periferica. Al torace, MV presente in toto, respiro aspro diffuso, apprezzabili alcuni rari fischi.</t>
  </si>
  <si>
    <t>Michelini Giancarlo</t>
  </si>
  <si>
    <t>MCHGCR52C06D969V</t>
  </si>
  <si>
    <t>3335712786</t>
  </si>
  <si>
    <t>Impiegato (riferita esposizione professionale a polvere)</t>
  </si>
  <si>
    <t>Nega abitudine tabagica</t>
  </si>
  <si>
    <t>Nega RAF o allergie a farmaci</t>
  </si>
  <si>
    <t>Intervento di Bypass.</t>
  </si>
  <si>
    <t>CardioASA, Cholecomb, Norvasc, besalip.</t>
  </si>
  <si>
    <t>Riferita comparsa di apnee da parte della moglie. Riferisce risvegli durante la notte e sonno non ristoratore.</t>
  </si>
  <si>
    <t>In corso di sforzi moderati (fare una scala/fare una salita)</t>
  </si>
  <si>
    <t>Riferita ostruzione nasale e rinorrea mattutina.</t>
  </si>
  <si>
    <t>39,9</t>
  </si>
  <si>
    <t>Coccoli Laura</t>
  </si>
  <si>
    <t>CCCLRA61E51D969I</t>
  </si>
  <si>
    <t>3496640801</t>
  </si>
  <si>
    <t>Impiegata (nega esposizione professionale a polverie e inalanti)</t>
  </si>
  <si>
    <t>Un bicchiere di vino rosso al giorno.</t>
  </si>
  <si>
    <t>Riferita allergia a due antibiotici (Zimox e zitromax)</t>
  </si>
  <si>
    <t>intolleranza glucidica.</t>
  </si>
  <si>
    <t>K papillare trattato con tiroidectomia e terapia con radioiodio(2000)</t>
  </si>
  <si>
    <t>Riferito GERD, associato anche a reflusso biliare.</t>
  </si>
  <si>
    <t>Riferita esecuzione di monitoraggio cardiroespiratorio notturna (non in visione), in cui riferisce comparsa di sindrome delle apnee notturne del sonno.</t>
  </si>
  <si>
    <t>Non in visione il monitoraggio cardiorespiratorio eseguito molti anni fa.</t>
  </si>
  <si>
    <t>Eutirox, Ribelsus, xanax, lucen 40 mg, Levobren, Antespin, melatonina, statina</t>
  </si>
  <si>
    <t>Nega franchi episodi di choking. Riferito roncopatia. Riferita importante sonnolenza diurna.</t>
  </si>
  <si>
    <t>Rifgerita dispnea per sforzi moderati (fare le scale/fare una salita). Marcia in piano conservata</t>
  </si>
  <si>
    <t>1 volte per notte.</t>
  </si>
  <si>
    <t>riferita emicrania, in corrispondenza dell'occhio sinistro.</t>
  </si>
  <si>
    <t>30,4</t>
  </si>
  <si>
    <t>Paziente con precedente diagnosi di OSA.</t>
  </si>
  <si>
    <t>Sifuentes Zegarra Edoardo Luis</t>
  </si>
  <si>
    <t>SFNDDL02R04I480A</t>
  </si>
  <si>
    <t>3348826601</t>
  </si>
  <si>
    <t>Studente lavoratore (riferita esposizione professionale a polvere e inquinanti)</t>
  </si>
  <si>
    <t>Intolleranza al lattosio. Nega RAF</t>
  </si>
  <si>
    <t>Tiroidectomia, per K tiroideo (2021 in follow up).</t>
  </si>
  <si>
    <t>Bronchiti ricorrenti fino alla tonsillectomia (all'età di 6 anni).</t>
  </si>
  <si>
    <t>Tirosint.</t>
  </si>
  <si>
    <t>Riferita importante roncopatia e riferita comparsa di apnee durante la notte. Nega chiaro choking. Nega sonno ristorante.</t>
  </si>
  <si>
    <t>25,97</t>
  </si>
  <si>
    <t>OSA sospetta. _x000D_
Si consiglia: -Monitoraggio cardiorespiratorio notturno. Paziente atteso in data</t>
  </si>
  <si>
    <t>Montalto Fabrizio</t>
  </si>
  <si>
    <t>MNTFRZ70M26D969E</t>
  </si>
  <si>
    <t>3397511657</t>
  </si>
  <si>
    <t>PS a cui accedeva 3 volte in 3 mesi per episodi di peridta di coscienza alla guida con prodromi associati a dolore toracico ed innalzamento della PA. Già seguito da neurologia e cardiologia di questo ospedale.</t>
  </si>
  <si>
    <t>Rappresentante commerciale.</t>
  </si>
  <si>
    <t>Presenti episodi di rialzo pressorio attualmente in studio.</t>
  </si>
  <si>
    <t>Ha eseguito ECG holter che dimostrava unicamente rarissimi BESV. Ecocardio nella norma (FE 65%), Ecodoppler TSA nella norma.</t>
  </si>
  <si>
    <t>In programma esecuzione Holter pressorio ed ECG da sforzo.</t>
  </si>
  <si>
    <t>Doppler per studio di pervietà del forame ovale nella norma;</t>
  </si>
  <si>
    <t>All' EEG presente attività instabile per sonnolenza, con abbozzi di figure di sonno compatibili con fluttuazioni di vigilanza, non anomalie epilettiformi. TC cerebrale nella norma.</t>
  </si>
  <si>
    <t>Si di grado lieve.</t>
  </si>
  <si>
    <t>Si in terapia con PPI, assume vit.B12 a cicli per gastrite atrofica.</t>
  </si>
  <si>
    <t>amlodipina, valsartan, cardirene, dobetin, PPI.</t>
  </si>
  <si>
    <t>Non risvegli notturi, riferiti dalla partner sensazione di pausa respiratoria</t>
  </si>
  <si>
    <t>Talvolta presente.</t>
  </si>
  <si>
    <t>Presente anche per sforzi lievi.</t>
  </si>
  <si>
    <t>Si presenti in terapia.</t>
  </si>
  <si>
    <t>Si, in media 1 volta/notte.</t>
  </si>
  <si>
    <t>Presenti turbe della memoria nel riportare alla mente nomi e date, qualche difficoltà  anche nella fase di formulazione di concetti.</t>
  </si>
  <si>
    <t>31.35 kg/m2</t>
  </si>
  <si>
    <t>Apiretico, eupnoicoa riposo e all'eloquio.</t>
  </si>
  <si>
    <t>ECG da sforzo; polisonnogramma notturno come da pregressa programmazione.</t>
  </si>
  <si>
    <t>Tassara Adriana</t>
  </si>
  <si>
    <t>TSSDRN59H49D969B</t>
  </si>
  <si>
    <t>3396289576</t>
  </si>
  <si>
    <t>pirma visita in paziente già seguita presso neurofisiopatologia H87 dove eseguiva a giugno 2024 MCR notturno con dg di OSA di grado lieve.</t>
  </si>
  <si>
    <t>H87 Neurologia.</t>
  </si>
  <si>
    <t>Impiegata comunale</t>
  </si>
  <si>
    <t>Ex fumatrice, stop 40 anni fa.</t>
  </si>
  <si>
    <t>IMA nel 2006, osteosintesi tibia e perone post-traumatica, pregressa flebite, ipercolesterolemia familiare, schiacciamento vertebrale L4 da rivalutare al termine della terapia. osteoporosi, LNH-B in follow up con rituximab (stop 22)</t>
  </si>
  <si>
    <t>Si, pregresso IMA nel 2006.</t>
  </si>
  <si>
    <t>No, familiarità per malattie cardiovascolari</t>
  </si>
  <si>
    <t>Noduli tiroidei in follow-up</t>
  </si>
  <si>
    <t>Presenti sintomi da reflusso gastroesofageo non in terapia.</t>
  </si>
  <si>
    <t>MCR notturno 13.06.2024 AHI 11.6; ODI 12.5; sat media 95%; snoring index 7.1; AHI supino: non supino= 8.54:1, tempo in supino 91%. Desaturazione media 93%.</t>
  </si>
  <si>
    <t>Cardioaspirina, bisoprololo, praluent, nustendi, dibase, estriolo.</t>
  </si>
  <si>
    <t>Frequenti risvegli notturni, in passato risvegli con sensazione di soffocamento.</t>
  </si>
  <si>
    <t>Allergia a statine</t>
  </si>
  <si>
    <t>Si, in media 4 volte/notte.</t>
  </si>
  <si>
    <t>Deficit di memoria a breve termine nel riportare alla mente nomi e date.</t>
  </si>
  <si>
    <t>Talvolta cefalea al risveglio.</t>
  </si>
  <si>
    <t>21.11 kg/m2</t>
  </si>
  <si>
    <t>Apiretica, eupnoica in aria ambiente a riposo e all'eloquio, MV presente non rumori aggiunti.</t>
  </si>
  <si>
    <t>OSAS di grado lieve on paziente con multipli fattori di rischio cardiovascolari.</t>
  </si>
  <si>
    <t>Biaggiotti Tiziana</t>
  </si>
  <si>
    <t>BGGTZN73S60D969K</t>
  </si>
  <si>
    <t>3405235409</t>
  </si>
  <si>
    <t>prima visita in OSA di grado grave. Inoltre, episodio di polmonite a fine febbraio con tosse residua. Paziente istituzionalizzata.</t>
  </si>
  <si>
    <t>RSA ove la paziente è istituzionalizzata; affetta da sd Down.</t>
  </si>
  <si>
    <t>Non allergie, in passato test allergometrici negativi. Celiachia, Intolleranza al lattosio</t>
  </si>
  <si>
    <t>Ipotensione</t>
  </si>
  <si>
    <t>Pregressa chiusura del dotto di botallo chirurgica a 5 anni di età; safenectomia, tonsillectomia, appendicectomia.</t>
  </si>
  <si>
    <t>No, bradicardia.</t>
  </si>
  <si>
    <t>Tiroidite di Hashimoto in terapia sostitutiva</t>
  </si>
  <si>
    <t>No, tuttavia pregressi molteplici episodi di polmonite.</t>
  </si>
  <si>
    <t>MCR</t>
  </si>
  <si>
    <t>citalopra, quetiapina, eutirox, folina, haldol, sucramal, midodrina.</t>
  </si>
  <si>
    <t>SI poco produttiva</t>
  </si>
  <si>
    <t>No, tuttavia riferite dalla madre pause respiratorie</t>
  </si>
  <si>
    <t>Non particolari turbe della memoria</t>
  </si>
  <si>
    <t>Talvolta presente, rallentamento nei movimenti.</t>
  </si>
  <si>
    <t>27 kg/m2</t>
  </si>
  <si>
    <t>Spiaggia Francesco</t>
  </si>
  <si>
    <t>SPGFNC46T04D969C</t>
  </si>
  <si>
    <t>3281879949 (figlia)</t>
  </si>
  <si>
    <t>Collega otorinolaringoiatrica.</t>
  </si>
  <si>
    <t>Ex taxista (nega esposizione professionale a polveri inorganiche)</t>
  </si>
  <si>
    <t>Ex fumatore (stop 30 anni fa, 10 p/y)</t>
  </si>
  <si>
    <t>nega allergie ad inalanti o farmaci.</t>
  </si>
  <si>
    <t>Nodulo tiroideo in FU</t>
  </si>
  <si>
    <t>Nega precedenti pneumologici di rilievo. Episodio sincopale 5 anni fa (eseguiti controlli cardiologici nella norma)</t>
  </si>
  <si>
    <t>-MCR notturno (10/07/2024): AHI 49,5, ODI 58,9, indice di russamento 63,2, t90% 70,3%, non valutabile componente posizionale.</t>
  </si>
  <si>
    <t>Plaunazide 40/25 mg, Ossibutina/cloridrato 5 mg, Congescor 1.25 mg, totalip 20 mg, CardioASA, Norvasc 5 mg.</t>
  </si>
  <si>
    <t>nega franchi episodi di choking. Riferita roncopatia. Riferito sonno ristoratore.</t>
  </si>
  <si>
    <t>Lieve dispnea per sforzi moderati (fare le scale/fare una salita), marcia in piano conservata.</t>
  </si>
  <si>
    <t>1 volta per notte (IPB)</t>
  </si>
  <si>
    <t>Paziente eupnoico a riposo e all'eloquio. Non segni di cianosi periferica. Al toracer, MV presente in toto, diffusamente ridotto, non apprezzabili rumori patologici aggiunti.</t>
  </si>
  <si>
    <t>-Calo ponderale; -Adattamento a CPAP, si programma presso io nostro centro dei disturbi del sonno.</t>
  </si>
  <si>
    <t>Trabona Giuseppe</t>
  </si>
  <si>
    <t>TRBGPP84A02F830I</t>
  </si>
  <si>
    <t>3285788221</t>
  </si>
  <si>
    <t>prim visita dopo esecuzione di monitoraggo cardiorepsiratorio notturno</t>
  </si>
  <si>
    <t>Neurofisiopatologia di questo ospedale.</t>
  </si>
  <si>
    <t>Fumatore attivo, circa 40 p/y</t>
  </si>
  <si>
    <t>Aulin.</t>
  </si>
  <si>
    <t>No, familiarità per diabete</t>
  </si>
  <si>
    <t>( AHI 80), associata a significative variazioni ossiemoglobiniche ( nadir 53%-valore medio 86%-t90% 49), in un quadro di roncopatia.</t>
  </si>
  <si>
    <t>Non assume terapia in cronico ad eccezione di pantoprazolo.</t>
  </si>
  <si>
    <t>Si presente con astenia generalizzata</t>
  </si>
  <si>
    <t>39.55 kg/m2</t>
  </si>
  <si>
    <t>Apiretico, eupnoico a riposo e all'eloquio in aria ambiente, al torace Mv ridotto, non rumori aggiunti.</t>
  </si>
  <si>
    <t>OSA di grado grave.</t>
  </si>
  <si>
    <t>Blondi Adelaide</t>
  </si>
  <si>
    <t>BLNDLD63D53C621T</t>
  </si>
  <si>
    <t>3474362909</t>
  </si>
  <si>
    <t>prima vista</t>
  </si>
  <si>
    <t>Mai fumatrice</t>
  </si>
  <si>
    <t>Allergia ad ASA e noci.</t>
  </si>
  <si>
    <t>recente rialzo della pressione diastolica, in terapia .</t>
  </si>
  <si>
    <t>Si gozzo tiroideo in eutiroidismo</t>
  </si>
  <si>
    <t>normavasc, plaunac, cardiolipid.</t>
  </si>
  <si>
    <t>Si presente sensazione di vellichio faringeo con tosse secca successiva.</t>
  </si>
  <si>
    <t>Non particolari risvegli notturni</t>
  </si>
  <si>
    <t>Si presente per sforzi moderati-lievi.</t>
  </si>
  <si>
    <t>Si in media 1-2 volte/notte.</t>
  </si>
  <si>
    <t>Lievi turbe nel ricordare date e nomi, presente da sempre</t>
  </si>
  <si>
    <t>31.99 kg/m2</t>
  </si>
  <si>
    <t>84 bpm</t>
  </si>
  <si>
    <t>Apiretica, eupnoica a riposo e all'eloquio in aria ambiente.</t>
  </si>
  <si>
    <t>Sospette OSA.</t>
  </si>
  <si>
    <t>Pagano Stefania</t>
  </si>
  <si>
    <t>PGNSFN69H67D969G</t>
  </si>
  <si>
    <t>3334815351</t>
  </si>
  <si>
    <t>specialista ORL dopo accesso al PS per crisi ipertensiva associata ad epistassi.</t>
  </si>
  <si>
    <t>macellaia</t>
  </si>
  <si>
    <t>Fumatrice attiva circa 25 p/y.</t>
  </si>
  <si>
    <t>Ipertensione arteriosa con recenti crisi ipertensive, pregresso incidente con deviazione del setto nasale. Non riferite allergie né RAF.</t>
  </si>
  <si>
    <t>tripliam 10/2.5/5 mg, nebivololo 1/2 cp 5 mg , amlodipina 5 mg 1 cp al mattino. Captopril al bisogno in caso di crisi ipertensiva.</t>
  </si>
  <si>
    <t>Presente tosse, talvolta produttiva, mai eseguita spirometria.</t>
  </si>
  <si>
    <t>risvegli notturni con sensazione di affanno, riferita roncopatia dal partner di camera.</t>
  </si>
  <si>
    <t>Si in posizione supina</t>
  </si>
  <si>
    <t>Infrequente</t>
  </si>
  <si>
    <t>Presenti turbe mensiche della memoria a breve termine (nomi/date).</t>
  </si>
  <si>
    <t>23.31 kg/m2</t>
  </si>
  <si>
    <t>Apiretica, eupnoica a riposo e all'eloquio in aa, al torace Mv presente, non rumoir aggiunti.</t>
  </si>
  <si>
    <t>sospette OSA in paziente fumatrice attiva.</t>
  </si>
  <si>
    <t>D'Angelo Cosima</t>
  </si>
  <si>
    <t>DNGCSM44C70L049U</t>
  </si>
  <si>
    <t>348/6607199</t>
  </si>
  <si>
    <t>prima visita per sospette OSA</t>
  </si>
  <si>
    <t>Occasionale ai pasti</t>
  </si>
  <si>
    <t>ASA, lidocaina, codeina, clexane, penicillina, calciparina</t>
  </si>
  <si>
    <t>Rialzo pressorio in tp con Parvati, ora sospeso per normalizzazionePA</t>
  </si>
  <si>
    <t>Si, pregresso IMA</t>
  </si>
  <si>
    <t>Si gozzo mulinodulare</t>
  </si>
  <si>
    <t>No, lieve sovrappeso</t>
  </si>
  <si>
    <t>fibromialgia, ipotonia del nervo vago, due pregressi interventi di ernioplastica cervicale e lombosacrale, IMA pregresso. Nel 2001 intervento di mastectomia sn. Ipoacusia, incontinenza urinaria involontaria.</t>
  </si>
  <si>
    <t>praluent, procoloran, pantorc, ticlopidina. Vertiserc al bisogno, vitamina D. Parvati (ora sospeso per normalizzazione valori PA). Spray nasale e kestine al bisogno in cas di sintomi oculorinitici</t>
  </si>
  <si>
    <t>Si per circa 4 mesi a verosimile eziologia allergica</t>
  </si>
  <si>
    <t>Saltuari risvegli notturni</t>
  </si>
  <si>
    <t>Si, scolo retronasale elicitante tosse, in buon controllo</t>
  </si>
  <si>
    <t>Si in media 1 volta/notte , accentata da Cymbalta</t>
  </si>
  <si>
    <t>Si lievi</t>
  </si>
  <si>
    <t>Si presente al risveglio</t>
  </si>
  <si>
    <t>26.85 kg/m2</t>
  </si>
  <si>
    <t>Apiretica, eupnoica a riposo e all'eloquio in aa. Al torace Mv presente, non rumori aggiunti</t>
  </si>
  <si>
    <t>Sospette Osa in paziente nota cardiopatica; si segnala ipotonia vagale. Si consiglia polisonnogramma notturno che si programma presso i ns ambulatori.</t>
  </si>
  <si>
    <t>Pastorino Lorenza</t>
  </si>
  <si>
    <t>PSTLNZ66S57D969P</t>
  </si>
  <si>
    <t>3357448897</t>
  </si>
  <si>
    <t>cymbalta, cardicor</t>
  </si>
  <si>
    <t>una volta a notte</t>
  </si>
  <si>
    <t>monitoraggio cardiorespiratorio notturno, programmato per il</t>
  </si>
  <si>
    <t>Fiori Pierpaolo</t>
  </si>
  <si>
    <t>FRIPPL62H29D969E</t>
  </si>
  <si>
    <t>3355967862</t>
  </si>
  <si>
    <t>10 p/y</t>
  </si>
  <si>
    <t>si, per le scale</t>
  </si>
  <si>
    <t>Si, 1-2 volte</t>
  </si>
  <si>
    <t>28,72</t>
  </si>
  <si>
    <t>Omoruyi Tessy Igunbor</t>
  </si>
  <si>
    <t>MRYTSY68E45Z335D</t>
  </si>
  <si>
    <t>3887476076</t>
  </si>
  <si>
    <t>ex assistente per anziani</t>
  </si>
  <si>
    <t>nega ( ma esposizione a fumo passivo)</t>
  </si>
  <si>
    <t>si in primavera e per la polvore</t>
  </si>
  <si>
    <t>Coverlam, Atorvastatina, Livial, Ditralia,</t>
  </si>
  <si>
    <t>RX torace del 09/08/2024 lieve e diffusa</t>
  </si>
  <si>
    <t>si produttiva (1 ricorso ad antibiotico terapia l'anno scorso)</t>
  </si>
  <si>
    <t>talvolta no</t>
  </si>
  <si>
    <t>Al torace non rumori patologici aggiunit</t>
  </si>
  <si>
    <t>sospetta sindrome delle apnee ostruttive del sonno e sospetto asma bronchiale</t>
  </si>
  <si>
    <t>Gibertini Rosa</t>
  </si>
  <si>
    <t>GBRRSO53E47F202Y</t>
  </si>
  <si>
    <t>3336395114</t>
  </si>
  <si>
    <t>specialista neurologo e reumatologo presso i quali la paziente è in follow-up per fibromialgia, AR e claudicatio.</t>
  </si>
  <si>
    <t>Ex cantante e casalinga</t>
  </si>
  <si>
    <t>Mai fumatrice, ma esposizione a fumo passivo</t>
  </si>
  <si>
    <t>rinite allergica (agli ultimi EE, eos 300 c/mcL), riferita allergia ad acari della polvere, non RAF. Intolleranza a statina e MTX (leucopenia).</t>
  </si>
  <si>
    <t>Si in terapia con ramipril</t>
  </si>
  <si>
    <t>Si in terapia dietetica</t>
  </si>
  <si>
    <t>Ipotiroidismo in eutirox</t>
  </si>
  <si>
    <t>Di grado lieve</t>
  </si>
  <si>
    <t>APR: pregressa frx polso sn, sd tunnel carpale bilaterale, AR, familiarità per psoriasi, dislipidmia, ipotiroidismo, sd ansioso depressiva, rinite allegicva, fibromialgia, sd delle gambe senza riposo. Ernia hiatale. Ipertensione arteriosa.</t>
  </si>
  <si>
    <t>arava, ramipril, eutirox, lucen, dibase, cymbalta, mirapexin, cantabylin, obispax, leflunomide, nabuser e nicetile a cicli, capillarema.</t>
  </si>
  <si>
    <t>Presente, secca</t>
  </si>
  <si>
    <t>Si in media 2 volte/notte in noto prolasso vescicale</t>
  </si>
  <si>
    <t>Si presenti lievi turbe della memoria a breve termine, soprattutto in tarda mattinata</t>
  </si>
  <si>
    <t>No, tuttvia rferita talvolat sensazione di confusione e sbandamentou durante la marcia in piano.</t>
  </si>
  <si>
    <t>33.12 kg/m2</t>
  </si>
  <si>
    <t>71 bpm R</t>
  </si>
  <si>
    <t>Apiretica, eupnoica a riposo in aria ambiente buone condizioni mediche generale.</t>
  </si>
  <si>
    <t>Vicidomini Marco</t>
  </si>
  <si>
    <t>VCDMRC82M21G964U</t>
  </si>
  <si>
    <t>3398137457</t>
  </si>
  <si>
    <t>Mai</t>
  </si>
  <si>
    <t>si, 1</t>
  </si>
  <si>
    <t>Longo Michele</t>
  </si>
  <si>
    <t>LNGMHL42H18H644Z</t>
  </si>
  <si>
    <t>3473615862 (figlia)</t>
  </si>
  <si>
    <t>prima visita dopo esecuzione di MCR notturno a settembre 2024 conr iscontro di OSA grave (AHI basale 55) associato ad insufficienza respiratoria notturna (t90 84%; ODI 21).</t>
  </si>
  <si>
    <t>ns ambulatori (paziente inviato a polisonnogramma da Imperia dove precedentemente risulatava in cura).</t>
  </si>
  <si>
    <t>Ex carrozziere</t>
  </si>
  <si>
    <t>Ex fumatore</t>
  </si>
  <si>
    <t>AI pasti</t>
  </si>
  <si>
    <t>Decadimento cognitivo ingravescente, IPB, FA.</t>
  </si>
  <si>
    <t>Si, non in uso</t>
  </si>
  <si>
    <t>Ipertensiva, lieve IM</t>
  </si>
  <si>
    <t>FA in NAO</t>
  </si>
  <si>
    <t>eliquis, sertralina, alprazolam 5 gtt, omnic, ezemantis (ora sospeso).</t>
  </si>
  <si>
    <t>SI, in media 2 volte/notte</t>
  </si>
  <si>
    <t>Si in noto decadimento cognitivo</t>
  </si>
  <si>
    <t>No, talvolta sensazione di capogiro</t>
  </si>
  <si>
    <t>24.8 kg/m2</t>
  </si>
  <si>
    <t>86 bpm ar in FAP</t>
  </si>
  <si>
    <t>Apuretico, eupnoico a riposo e all'eloquio in aa.</t>
  </si>
  <si>
    <t>24.02.2025 ore 11:00</t>
  </si>
  <si>
    <t>Olcese Giuliano</t>
  </si>
  <si>
    <t>LCSGLN47L14E737I</t>
  </si>
  <si>
    <t>3203905333</t>
  </si>
  <si>
    <t>apnee del sonno di grado moderato</t>
  </si>
  <si>
    <t>Neurofisiopatologia H87, presso cui ha eseguito MCR notturno in data 19.09.2024.</t>
  </si>
  <si>
    <t>Ex saldatore ed infermiere in pensione</t>
  </si>
  <si>
    <t>Ex fumatore (circa 30 p/y, stop 1993)</t>
  </si>
  <si>
    <t>Ipertensione, IC ernia inguinale, bilat, colecistectomia, sd tunnel carpale, stabilizz colonna lombare, TURP, safenectomia bilaterale, FA, BPCO. Non allergie né RAF riferite.</t>
  </si>
  <si>
    <t>Si, in passato addormentamento con incidente alla guida.</t>
  </si>
  <si>
    <t>SI ipertensiva</t>
  </si>
  <si>
    <t>Si in tp con statina</t>
  </si>
  <si>
    <t>SI in terapia con PPI</t>
  </si>
  <si>
    <t>BPCO e OSA moderate</t>
  </si>
  <si>
    <t>MCR notturno settembre 2024. sindrome delle apnee ostruttive  di grado moderato ( AHI 25, ODI 26), associata a importanti variazioni ossiemoglobiniche ( nadir 70%-valore medio 90%-t90 15%) in un  quadro di roncopatia.</t>
  </si>
  <si>
    <t>statina, laventair, lasix, lixiana, plaunac, amiodarone, tavor, gastroloc, dutasteride.</t>
  </si>
  <si>
    <t>PFR settembre 2024 FEV1 1.20, 63%; FVC 2.25, 84%; IT 58.</t>
  </si>
  <si>
    <t>rara tosse stizzosa associata a sensazione di vellichio faringeo</t>
  </si>
  <si>
    <t>No, solo sensazione di xerostomia</t>
  </si>
  <si>
    <t>Si in tp con PPI</t>
  </si>
  <si>
    <t>In media 1 volta/notte</t>
  </si>
  <si>
    <t>23.9 kg/m2</t>
  </si>
  <si>
    <t>45 bpm</t>
  </si>
  <si>
    <t>apiretico, eupnoico a riposo e all'eloquio, al torace MV presente ma ridotto, non rumori aggiunti.</t>
  </si>
  <si>
    <t>Adattamento a CPAP che si programma presso i ns ambulatori in data</t>
  </si>
  <si>
    <t>SATTA ERIK</t>
  </si>
  <si>
    <t>STTRKE86E10D969Z</t>
  </si>
  <si>
    <t>3496262222</t>
  </si>
  <si>
    <t>sospetto OSA per sonno non riposante e frequenti risvegli notturni, roncopatia</t>
  </si>
  <si>
    <t>guardia</t>
  </si>
  <si>
    <t>parietaria, nocciolo, pelo gatto, plurisensibilizzato</t>
  </si>
  <si>
    <t>setto nasale deviato</t>
  </si>
  <si>
    <t>stabilizzatore dell'umore non meglio specificato, foster 100/6 mcg al bisogno</t>
  </si>
  <si>
    <t>riferisce episodi di difficoltà nella deglutizione. Riferisce umento ponderale importante in circa 10 anni da quando ha interrotto attività sportiva.</t>
  </si>
  <si>
    <t>presente soprattutto la notte, solitamente non produttiva</t>
  </si>
  <si>
    <t>eupnoico a riposo e all'eloquio in aria ambiente</t>
  </si>
  <si>
    <t>- valutazione ORL_x000D_
- Calo ponderale_x000D_
- monitoraggio cardiorespiratorio in data</t>
  </si>
  <si>
    <t>Babusci Egle Antonella</t>
  </si>
  <si>
    <t>BBSGNT67E49Z614I</t>
  </si>
  <si>
    <t>3398135001</t>
  </si>
  <si>
    <t>ex fumatrice da 6 anni (9 p/y)</t>
  </si>
  <si>
    <t>Si lieve</t>
  </si>
  <si>
    <t>Maculopatia autoimmune, asma bronchiale</t>
  </si>
  <si>
    <t>Eutirox, zurtec,</t>
  </si>
  <si>
    <t>Si, 4 episodi a notte</t>
  </si>
  <si>
    <t>30,1</t>
  </si>
  <si>
    <t>Scaramuccia Paola</t>
  </si>
  <si>
    <t>SCRPLA55H63D969K</t>
  </si>
  <si>
    <t>3496367091</t>
  </si>
  <si>
    <t>otorino</t>
  </si>
  <si>
    <t>Ex impiegata</t>
  </si>
  <si>
    <t>- Polisonnogramma notturno 29/05/2014: si evidenzia sindrome delle apnee notturne ostruttive di grado moderato (AHI 27).</t>
  </si>
  <si>
    <t>olmesartan 40mg, atenololo 50mg, cardura 4mg.</t>
  </si>
  <si>
    <t>Si produttiva</t>
  </si>
  <si>
    <t>Si non quantificabile per presidio assorbente</t>
  </si>
  <si>
    <t>25,7</t>
  </si>
  <si>
    <t>Caiani Cinzia</t>
  </si>
  <si>
    <t>CNACNZ60T48D969N</t>
  </si>
  <si>
    <t>3407702295</t>
  </si>
  <si>
    <t>Ex fumatrice dal 2007 (10 p/y)</t>
  </si>
  <si>
    <t>nega raf (intolleranza ad augmentin).</t>
  </si>
  <si>
    <t>noduli tiroidei</t>
  </si>
  <si>
    <t>HBV</t>
  </si>
  <si>
    <t>sonnirem, rivotril, oxibutinina</t>
  </si>
  <si>
    <t>No, ma riferisce scolo retronasale</t>
  </si>
  <si>
    <t>23,4</t>
  </si>
  <si>
    <t>Segura Molano Maria Lorena</t>
  </si>
  <si>
    <t>STP0701030013306</t>
  </si>
  <si>
    <t>3201784751</t>
  </si>
  <si>
    <t>servizio di pulizia</t>
  </si>
  <si>
    <t>olmesartan/amlodipina</t>
  </si>
  <si>
    <t>si per sforzi lievi (marcia in piano)</t>
  </si>
  <si>
    <t>si 5-6 episodi a notte</t>
  </si>
  <si>
    <t>42,4</t>
  </si>
  <si>
    <t>Frau Danny</t>
  </si>
  <si>
    <t>FRADNY94L22L093M</t>
  </si>
  <si>
    <t>3791597658</t>
  </si>
  <si>
    <t>Vigile del fuoco aziendale</t>
  </si>
  <si>
    <t>Ex fumatore da 4 mesi (4 p/y)</t>
  </si>
  <si>
    <t>ADHD</t>
  </si>
  <si>
    <t>Xanax</t>
  </si>
  <si>
    <t>Si per sforzi intensi</t>
  </si>
  <si>
    <t>Orocchi Lino</t>
  </si>
  <si>
    <t>RCCLNI49D26D509D</t>
  </si>
  <si>
    <t>3408054354</t>
  </si>
  <si>
    <t>medico PS</t>
  </si>
  <si>
    <t>ex meccanico</t>
  </si>
  <si>
    <t>Fumatore attivo (50 p/y)</t>
  </si>
  <si>
    <t>parkinson</t>
  </si>
  <si>
    <t>stalevo, sidio, azilect, neupro</t>
  </si>
  <si>
    <t>nicturia 3 episodi a notte</t>
  </si>
  <si>
    <t>Maione Laura</t>
  </si>
  <si>
    <t>MNALRA65P66D969Q</t>
  </si>
  <si>
    <t>3386008314</t>
  </si>
  <si>
    <t>ex fumatrice da 27 anni (5 p/y)</t>
  </si>
  <si>
    <t>mezzo bicchiere di vino ai pasti</t>
  </si>
  <si>
    <t>insufficienza mitro-aortica lieve</t>
  </si>
  <si>
    <t>patoplogia ostruttiva</t>
  </si>
  <si>
    <t>nefrectomia dx per rene grinzo 1990, protesi ginocchia,  glaucoma</t>
  </si>
  <si>
    <t>cardicor, moduretic, vit D, safutan.</t>
  </si>
  <si>
    <t>tosse secca la mattina, nega catarro</t>
  </si>
  <si>
    <t>di per sforzi lievi (marcia in piano)</t>
  </si>
  <si>
    <t>33,8</t>
  </si>
  <si>
    <t>Eupnoica a riposo e all'eloquio in aria ambeinte</t>
  </si>
  <si>
    <t>PERALTA VACAARLENE YIMABEL</t>
  </si>
  <si>
    <t>PRLRNY80M63Z605G</t>
  </si>
  <si>
    <t>3886491356</t>
  </si>
  <si>
    <t>Acaro della polvare, pelo di gatto</t>
  </si>
  <si>
    <t>Asma bronchiale</t>
  </si>
  <si>
    <t>Adenoma surrenale, fibroma uterino</t>
  </si>
  <si>
    <t>Terapia antipertensiva,</t>
  </si>
  <si>
    <t>Si tosse produttiva notturna con espettorazione di muco bianco, riferisce fischio respiratorio, nega costrizione toraccia</t>
  </si>
  <si>
    <t>si oculorinite allergica</t>
  </si>
  <si>
    <t>si 3 episodi a notte</t>
  </si>
  <si>
    <t>Buonarrivo Roberto</t>
  </si>
  <si>
    <t>BNRRRT67C30Z326P</t>
  </si>
  <si>
    <t>3385901438</t>
  </si>
  <si>
    <t>necroforo, cameriere</t>
  </si>
  <si>
    <t>mai fumatore (esposizione a fumo passivo)</t>
  </si>
  <si>
    <t>Prostib</t>
  </si>
  <si>
    <t>La notte ostruzione nasale con necessità di respirare con la bocca</t>
  </si>
  <si>
    <t>No, saltuariamente risvegli con bocca asciutta</t>
  </si>
  <si>
    <t>Eupnoico a riposo e all'eloquio in aria ambiente</t>
  </si>
  <si>
    <t>Federighi Gabriella Elisa</t>
  </si>
  <si>
    <t>FDRGRL52A65D969F</t>
  </si>
  <si>
    <t>3393487138</t>
  </si>
  <si>
    <t>ex fumatrice occasionale (&lt; 1 p/y)</t>
  </si>
  <si>
    <t>in passato fieno (ha eseguito SCIT)</t>
  </si>
  <si>
    <t>sereupin, bivis, lovinacol, cardioaspirina</t>
  </si>
  <si>
    <t>Merlo Andrea</t>
  </si>
  <si>
    <t>MRLNDR87L30D969F</t>
  </si>
  <si>
    <t>3408453277</t>
  </si>
  <si>
    <t>Agenzia di scommesse</t>
  </si>
  <si>
    <t>Fumatore attivo  (15p/y)</t>
  </si>
  <si>
    <t>Norvasc 5mg,</t>
  </si>
  <si>
    <t>Prima di iniziare la terapia antipertensiva</t>
  </si>
  <si>
    <t>37,4</t>
  </si>
  <si>
    <t>105</t>
  </si>
  <si>
    <t>Mongiardino Fabio</t>
  </si>
  <si>
    <t>MNGFBA70P13D969A</t>
  </si>
  <si>
    <t>3356761717 (Dott.ssa Campostano)</t>
  </si>
  <si>
    <t>Istituto Paverano</t>
  </si>
  <si>
    <t>Tetraparesi spastica infantile</t>
  </si>
  <si>
    <t>Ex-fumatore (40p/y)</t>
  </si>
  <si>
    <t>Intolleranza ad Amoxicillina/Acido Clavulanico</t>
  </si>
  <si>
    <t>Baclofene 25mg, Bediol 112mL, Lansoprazolo 30mg, Latuda 74mg, Lyrica 75mg, Macrogol, Oxypronal 5mg/2.5mg, Tamsulosina 0.4mg, Trittico 75mg, Depalgos 5mg/325mg, Diazepam 10mg</t>
  </si>
  <si>
    <t>Tosse stizzosa soprattutto di notte</t>
  </si>
  <si>
    <t>2 volte per note</t>
  </si>
  <si>
    <t>Eupnoico a riposo e all'eloquio, al torace MV diffusamente ridotto su tutto l'ambito polmonare, ronchi bibasali parzialmente modificabili con i colpi di tosse</t>
  </si>
  <si>
    <t>Maffulli Roberto</t>
  </si>
  <si>
    <t>MFFRRT86C05D643W</t>
  </si>
  <si>
    <t>3516963994</t>
  </si>
  <si>
    <t>adenoidectomia, protesi su zigomo sinistro per incidente</t>
  </si>
  <si>
    <t>Eupnoico a riposo e all'eloquio. Al torace MV presente su tutto l'ambito polmonare in assenza di grossolani rumori patologici aggiunti</t>
  </si>
  <si>
    <t>La Micela Simonetta</t>
  </si>
  <si>
    <t>LMCSNT57A61D969A</t>
  </si>
  <si>
    <t>3474083752</t>
  </si>
  <si>
    <t>Ex-insegnante</t>
  </si>
  <si>
    <t>Ex-fumatrice (15p/y)</t>
  </si>
  <si>
    <t>acari della polvere, betulla, graminacee, parietaria, nocciolo, olivo, cipresso, epitelio di cane e gatto. Sucralfato</t>
  </si>
  <si>
    <t>Foster spray 100/6 1 inalazione al mattino, Xanax 4gtt, Gastrotuss bustine, Lansoprazolo 30mg, Spasmomen, Dicoflor</t>
  </si>
  <si>
    <t>Tosse stizzosa</t>
  </si>
  <si>
    <t>25,4</t>
  </si>
  <si>
    <t>Eupnoica a riposo e all'eloquio.</t>
  </si>
  <si>
    <t>Salvi Liliana</t>
  </si>
  <si>
    <t>SLVLLN60A52D969I</t>
  </si>
  <si>
    <t>3481664156</t>
  </si>
  <si>
    <t>Ex-agente di commercio</t>
  </si>
  <si>
    <t>Eutirox 100mcg, Incoves 10mg, Efexor 75mg, Lansoprazolo 30mg, Domperidone 10mg</t>
  </si>
  <si>
    <t>almeno 3 volte per notte</t>
  </si>
  <si>
    <t>91-92</t>
  </si>
  <si>
    <t>Mapelli Lorenzo</t>
  </si>
  <si>
    <t>MPLLNZ78L13D969Z</t>
  </si>
  <si>
    <t>3470431443</t>
  </si>
  <si>
    <t>Ex fumatore da due settimane (15 p/y)</t>
  </si>
  <si>
    <t>- Polisonnogramma notturno 18/02/2025</t>
  </si>
  <si>
    <t>tosse produttiva con espettorazione di catarro giallo da una settimana</t>
  </si>
  <si>
    <t>nega, riferisce risvegli con bocca asciutta</t>
  </si>
  <si>
    <t>27,3</t>
  </si>
  <si>
    <t>Frongia Giuseppe</t>
  </si>
  <si>
    <t>FRNGPP78L23G113W</t>
  </si>
  <si>
    <t>3470597360</t>
  </si>
  <si>
    <t>Edile</t>
  </si>
  <si>
    <t>2 bicchieri ai pasti</t>
  </si>
  <si>
    <t>acari della polvere, epitelio di gatto</t>
  </si>
  <si>
    <t>29,3</t>
  </si>
  <si>
    <t>Coscia Gabriele</t>
  </si>
  <si>
    <t>CSCGRL94T05D969A</t>
  </si>
  <si>
    <t>3465787601</t>
  </si>
  <si>
    <t>Medico Specialista ORL</t>
  </si>
  <si>
    <t>Dipendente Poste Italiane</t>
  </si>
  <si>
    <t>Eupnoico a riposo e all'eloquio. Al torace MV presente su tutto l'ambito polmonare in assenza di rumori patologici aggiunti.</t>
  </si>
  <si>
    <t>Molini Antonella</t>
  </si>
  <si>
    <t>MLNNNL71L60D969R</t>
  </si>
  <si>
    <t>3476769521</t>
  </si>
  <si>
    <t>Impiegata tecnica</t>
  </si>
  <si>
    <t>acari della polvere, parietaria, nichel, formaldeide</t>
  </si>
  <si>
    <t>Turbinectomia</t>
  </si>
  <si>
    <t>Trittico, Lamictal 50mg, Metformina 1000mg, Riso rosso, Zirtec 10mg al bisogno e Symbicort al bisogno</t>
  </si>
  <si>
    <t>28,1</t>
  </si>
  <si>
    <t>Salazar Vera Jostin Steeven</t>
  </si>
  <si>
    <t>SLZJTN00C10Z605N</t>
  </si>
  <si>
    <t>3515177261</t>
  </si>
  <si>
    <t>Fabbro</t>
  </si>
  <si>
    <t>29,1</t>
  </si>
  <si>
    <t>SETTORE OPERAIO INDUSTRIALE/EDILE (1=SI)</t>
  </si>
  <si>
    <t>sindrome depressiva , K endometrio isterectomia totale 2017,ernia iatale, caripatia ipertensiva, depressione involutivA, salutaria incontinenza urinaria</t>
  </si>
  <si>
    <t>ex fumatore (stop nel 2014, un pacchetto/die per circa 35 anni), albergatore, dislipidemia, OSAS in CPAP con O2 1L/min, BPCO</t>
  </si>
  <si>
    <t>ex fumatore 40 p/y</t>
  </si>
  <si>
    <t>diabete, ipertensione arteriosa</t>
  </si>
  <si>
    <t>Madre con ictus cerebri. Padre IMA.
Ex fumatrice; consumo occasionale di alcolici; 4-5 caffè/die (ultimo verso le 17:00), Obesità classe III; riferiti diversi eventi cerebrovascolari, di cui nel 2000 un episodio per cui riferisce di aver avuto uno stato di coma per 6 mesi (non in visione documentazione), in assenza di chiari deficit; Tonsillectomia in infanzia; Insufficienza mitralica lieve-moderata; Dislipidemia; Ipertensione arteriosa; Ateromasia carotidea bilaterale; OSAS in trattamento con CPAP (diagnosi pneumologica, Dssa Marugo).</t>
  </si>
  <si>
    <t>Eseguita Polisonnografia basale in data 29.11.2021 con riscontro di OSAS di grado severo (AHI 49,7), diabete, ernia inguinale, sospetta mielopatia cervicale, pregressa gastrite da H. Pylori, ernia discale 
PFR semplice eseguita a Gennaio 2020 che mostrava un possibile quadro restrittivo.</t>
  </si>
  <si>
    <t>Paziente ricoverato in terapia intensiva in agosto 2016 per incidente stradale. In anamnesi Psoriasi, Intervento ai turbinati nasali a Novembre 2020, osas</t>
  </si>
  <si>
    <t>allergia Nikel, ipertensione arteriosa, ipercolesterolemia</t>
  </si>
  <si>
    <t>nega fumo, OSAS in CPAP, pregressa epilessia, preeclampsia, dislipidemia familiare, sito post ESA (derivazione liquorale ventricoloperitoneale), encefalopatia vascolare, algie croniche in zona cervico-lombare, artrosi, S. depressiva, fango biliare, ipovitaminosi B12 in gastrite atrodica, plurisensibilizzata</t>
  </si>
  <si>
    <t xml:space="preserve"> Fumo di sigaretta: si (80 pack/years); 
- Vaccino antinfluenzale annuale: si 
- Vaccino antipneumococco: si 
- Vaccinato per Sars-Cov2 con 3 dosi - Ossigenoterapia: si 2 L/min a riposo e incorso di ventilazione notturna, 2.5 L/min sotto sforzo. Paziente munita di stroller 
- Ventiloterapia /CPAP: BiPAP (IPaP min 12 cm H2O , IPaP max 18cm H2O , EPaP 5 cm H2O).
APR generale: Fumatrice, ex-impiegata; BPCO in OTLT e BiPAP notturna, ernia iatale, DM, cardiopatia ipertensiva, insuff. respiratoria cronica, cuore polmonare cronico, OSAS, epatopatia HCV-correlata, ipertensione arteriosa. RAF acido acetilsalicilico; BMI 25.88.</t>
  </si>
  <si>
    <t>Ipertensione, MRGE, diverticolosi</t>
  </si>
  <si>
    <t>osteoporosi fratturativa (D6-D12, L4 e L5), osteoartrosi polidistrettuale e fibromialgia, Osa in terapia con CPAP, BPCO in terapia inalatoria.</t>
  </si>
  <si>
    <t>mai fumatore, cuoco, nega familiarità per patologia polmonare.- Ipertensione arteriosa nota da circa 15 anni - Dislipidemia - Gotta - Sindrome delle apnee notturne di grado grave con CPAP (riferisce regolari controlli pneumologici) - Gozzo multinodulare eutiroideo in follow up endocrinologico - IPB, nel 2004 episodi di prostatite ripetuti. In regolare folloew up - Ernia discale a livello cervicale C5 con radicolite - Lesione del sottoscapolare spalla sn - Prurigo - 2019 Diverticolosi diffusa del colon alla colonscopia) - 21/01/2019 eseguito per lista TX test da sforzo in terapia con beta bloccante: negativo per ischemia inducibile al carico raggiunto- 19/9/2019 ecocolordopplergrafia cardiaca stress farmacologico: negativa per induzione di modificazioni elettrocardiografiche ed ecocardiografiche significative per ischemia inducibile. - 2023 gastroscopia: Ernia iatale da scivolamento; gastroduodenopatia erosiva, diverticolo del fondo gastrico alla gastroscopia esofagite di grado B sec. Los Angeles - Riscontro di positività del quantiferon in assenza di sintomi compatibili con malattia tubercolare in atto per cui ha effettuato terapia con isoniazide per sei mesi. - Osteopenia alla densitometria ossea - Dal 24/02 al 2/03/23 Ricovero in Chirurgia generale per subocclusione intestinale autorisoltasi nel corso del ricovero. 1/03 - 14/03 ricovero in Nefrologia per sospetta polmonite in assenza di isolamenti veniv eseguita terapia antibiotica con ceftriaxone (in totale 7 giorni) e azitromicina (in totale 5 giorni). Malattia renale cronica nota dal 2004 (riscontro casuale in esami ematochimici eseguiti per prostatite). - Aprile 2008 agobiopsia renale: nefroangiosclerosi di grado medio severo.</t>
  </si>
  <si>
    <t>ipertensione</t>
  </si>
  <si>
    <t>Mai fumatrice, ex-impiegata, OSAS in terapia con CPAP, psoriasi, SAD, ipertensione arteriosa, maculopatia, GERD, ernia jatale, insufficenza cardiaca, BBSx, ipercolesterolemia, polliartrosi e scoliosi dorso-lombare. Nega familiarità per patologie polmonari.</t>
  </si>
  <si>
    <t>Tracheotomia all'età di 3 anni per cause imprecisate, 2 parti cesarei, Sindrome delle apnee ostruttive del sonno (OSAS) in CPAP, Asma bronchiale allergica (betulla, gatto, cane, acaro della polvere), Safenectomia dx, Diabete tipo 2 in trattamento con metformina, Epilessia, Reflusso GE, Gozzo tiroideo</t>
  </si>
  <si>
    <t>Mai fumatrice, ex-collaboratrice domestica, OSAS in terapia con CPAP, asma bronchiale, bronchiectasie polmonari al lobo medio e alla lingula, ipertensione arteriosa. Nega familiarità per patologie polmonari.</t>
  </si>
  <si>
    <t>osas, BPCO, ipercolesterolemia, ipertensione arteriosa, MRGE, pregresso K prostatico</t>
  </si>
  <si>
    <t>pregresso evento ischemico cerebrovascolare (marzo 2022), ipertensione arteriosa, obesità III grado, OSAS in auto CPAP, micropolipi del corpo gastrico, DM II</t>
  </si>
  <si>
    <t>Bisoprololo, blopresid, pantoprazolo, pentacol, totalip. A settembre 2021 ricovero, con exeresi polipo intestinale. Nodulo polmonare in follow up , riferisce stabilità del quadro (no documentazione). Ipertensione arteriosa, operazione chirurgica a spalla dx. Mai fumatrice.</t>
  </si>
  <si>
    <t>fumatrice attiva da 60 anni con circa 14 sig/die (attulamente 7-8 sig /die), BPCO, OSAS in CPAP notturna // Anoro 55/22 1 puff die, sinostat, eutirox, efexor, control, pantoprazolo e gaviscon al bisogno</t>
  </si>
  <si>
    <t>obesità, ipertensione arteriosa, dislipidemia, arteriopatia coronarica, grave BPCO con riferita sonnolenza diurna, in CPAP. Fumatore.</t>
  </si>
  <si>
    <t>asma, OSA, ex fumatore di circa 15-20 sigarette/die, astensione da circa 24 anni, ex manutentore di impianti con esposizione professionali a polveri fibrosanti ed asbesto, OSAS, ipertensione arteriosa, pregressa fibrillazione atriale parossistica trattata con cardioversione elettrica, iperuricemia, reflusso gastroesofageo, pregressa appendicectomia e tonsillectomia, psoriasi cutanea, pregressa pleurite, pregressa tromboflebite gamba destra. Diagnosi di asma nel 2002 (skin prick test per allergeni inalanti 16.05.2014: negativi), colangiocarcinoma intraepatico operato ad agosto 2017, seguivano CT e RT adiuvanti. RAF: ASA, Zestril, Voltaren (edema di Quincke)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</si>
</sst>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0"/>
      <name val="Aptos Narrow"/>
      <family val="2"/>
      <scheme val="minor"/>
    </font>
    <font>
      <sz val="11"/>
      <color theme="0"/>
      <name val="Aptos Narrow"/>
      <family val="2"/>
      <scheme val="minor"/>
    </font>
    <font>
      <strike/>
      <sz val="11"/>
      <color theme="0"/>
      <name val="Aptos Narrow"/>
      <family val="2"/>
      <scheme val="minor"/>
    </font>
    <font>
      <sz val="8"/>
      <name val="Aptos Narrow"/>
      <family val="2"/>
      <scheme val="minor"/>
    </font>
    <font>
      <sz val="11"/>
      <color theme="1"/>
      <name val="Aptos Narrow"/>
      <family val="2"/>
      <scheme val="minor"/>
    </font>
  </fonts>
  <fills count="13">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theme="1"/>
        <bgColor theme="4" tint="0.59999389629810485"/>
      </patternFill>
    </fill>
    <fill>
      <patternFill patternType="solid">
        <fgColor theme="1"/>
        <bgColor theme="4" tint="0.79998168889431442"/>
      </patternFill>
    </fill>
    <fill>
      <patternFill patternType="solid">
        <fgColor theme="1"/>
        <bgColor indexed="64"/>
      </patternFill>
    </fill>
    <fill>
      <patternFill patternType="solid">
        <fgColor rgb="FFFFFF00"/>
        <bgColor indexed="64"/>
      </patternFill>
    </fill>
    <fill>
      <patternFill patternType="solid">
        <fgColor theme="1"/>
        <bgColor theme="4"/>
      </patternFill>
    </fill>
    <fill>
      <patternFill patternType="solid">
        <fgColor rgb="FF0070C0"/>
        <bgColor indexed="64"/>
      </patternFill>
    </fill>
    <fill>
      <patternFill patternType="solid">
        <fgColor rgb="FF0070C0"/>
        <bgColor theme="4"/>
      </patternFill>
    </fill>
    <fill>
      <patternFill patternType="solid">
        <fgColor rgb="FFFFFF00"/>
        <bgColor theme="4" tint="0.79998168889431442"/>
      </patternFill>
    </fill>
  </fills>
  <borders count="10">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2">
    <xf numFmtId="0" fontId="0" fillId="0" borderId="0"/>
    <xf numFmtId="9" fontId="5" fillId="0" borderId="0" applyFont="0" applyFill="0" applyBorder="0" applyAlignment="0" applyProtection="0"/>
  </cellStyleXfs>
  <cellXfs count="80">
    <xf numFmtId="0" fontId="0" fillId="0" borderId="0" xfId="0"/>
    <xf numFmtId="0" fontId="0" fillId="0" borderId="0" xfId="0"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2" borderId="2"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3" borderId="1" xfId="0" applyFill="1" applyBorder="1" applyAlignment="1">
      <alignment horizontal="center" vertical="center" wrapText="1"/>
    </xf>
    <xf numFmtId="14"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14" fontId="0" fillId="3" borderId="5" xfId="0" applyNumberFormat="1"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0" borderId="0" xfId="0" applyFont="1" applyAlignment="1">
      <alignment horizontal="center" vertical="center" wrapText="1"/>
    </xf>
    <xf numFmtId="0" fontId="1" fillId="7" borderId="0" xfId="0" applyFont="1" applyFill="1" applyAlignment="1">
      <alignment horizontal="center" vertical="center" wrapText="1"/>
    </xf>
    <xf numFmtId="0" fontId="2"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3" fillId="7" borderId="2" xfId="0" applyFont="1" applyFill="1" applyBorder="1" applyAlignment="1">
      <alignment horizontal="center" vertical="center" wrapText="1"/>
    </xf>
    <xf numFmtId="0" fontId="2" fillId="5" borderId="5" xfId="0" applyFont="1" applyFill="1" applyBorder="1" applyAlignment="1">
      <alignment horizontal="center" vertical="center" wrapText="1"/>
    </xf>
    <xf numFmtId="2" fontId="2" fillId="0" borderId="0" xfId="0" applyNumberFormat="1" applyFont="1" applyAlignment="1">
      <alignment horizontal="center" vertical="center" wrapText="1"/>
    </xf>
    <xf numFmtId="2" fontId="2" fillId="7" borderId="2" xfId="0" applyNumberFormat="1" applyFont="1" applyFill="1" applyBorder="1" applyAlignment="1">
      <alignment horizontal="center" vertical="center" wrapText="1"/>
    </xf>
    <xf numFmtId="2" fontId="2" fillId="7" borderId="5" xfId="0" applyNumberFormat="1" applyFont="1" applyFill="1" applyBorder="1" applyAlignment="1">
      <alignment horizontal="center" vertical="center" wrapText="1"/>
    </xf>
    <xf numFmtId="0" fontId="0" fillId="2" borderId="1" xfId="0"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3" borderId="1" xfId="0" applyFill="1" applyBorder="1" applyAlignment="1">
      <alignment vertical="center" wrapText="1"/>
    </xf>
    <xf numFmtId="14" fontId="0" fillId="3" borderId="2" xfId="0" applyNumberFormat="1"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vertical="center" wrapText="1"/>
    </xf>
    <xf numFmtId="14" fontId="0" fillId="3" borderId="5" xfId="0" applyNumberFormat="1"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2" fontId="2" fillId="5" borderId="2" xfId="0" applyNumberFormat="1" applyFont="1" applyFill="1" applyBorder="1" applyAlignment="1">
      <alignment vertical="center" wrapText="1"/>
    </xf>
    <xf numFmtId="2" fontId="2" fillId="6" borderId="2" xfId="0" applyNumberFormat="1" applyFont="1" applyFill="1" applyBorder="1" applyAlignment="1">
      <alignment vertical="center" wrapText="1"/>
    </xf>
    <xf numFmtId="2" fontId="2" fillId="6" borderId="5" xfId="0" applyNumberFormat="1" applyFont="1" applyFill="1" applyBorder="1" applyAlignment="1">
      <alignmen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6" borderId="5" xfId="0" applyFont="1" applyFill="1" applyBorder="1" applyAlignment="1">
      <alignment vertical="center" wrapText="1"/>
    </xf>
    <xf numFmtId="0" fontId="2" fillId="5" borderId="5" xfId="0" applyFont="1" applyFill="1" applyBorder="1" applyAlignment="1">
      <alignment vertical="center" wrapText="1"/>
    </xf>
    <xf numFmtId="0" fontId="0" fillId="0" borderId="0" xfId="0" applyAlignment="1">
      <alignment horizontal="center" vertical="center"/>
    </xf>
    <xf numFmtId="2" fontId="2" fillId="5" borderId="2" xfId="0" applyNumberFormat="1" applyFont="1" applyFill="1" applyBorder="1" applyAlignment="1">
      <alignment horizontal="center" vertical="center" wrapText="1"/>
    </xf>
    <xf numFmtId="2" fontId="2" fillId="6" borderId="2" xfId="0" applyNumberFormat="1" applyFont="1" applyFill="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2" fontId="1" fillId="7" borderId="0" xfId="0" applyNumberFormat="1" applyFont="1" applyFill="1" applyAlignment="1">
      <alignment horizontal="center" vertical="center" wrapText="1"/>
    </xf>
    <xf numFmtId="2" fontId="2" fillId="7" borderId="0" xfId="0" applyNumberFormat="1" applyFont="1" applyFill="1" applyAlignment="1">
      <alignment horizontal="center" vertical="center" wrapText="1"/>
    </xf>
    <xf numFmtId="0" fontId="2" fillId="7" borderId="0" xfId="0" applyFont="1" applyFill="1" applyAlignment="1">
      <alignment horizontal="center" vertical="center" wrapText="1"/>
    </xf>
    <xf numFmtId="0" fontId="0" fillId="8" borderId="0" xfId="0" applyFill="1" applyAlignment="1">
      <alignment horizontal="center" vertical="center" wrapText="1"/>
    </xf>
    <xf numFmtId="0" fontId="1" fillId="9" borderId="8" xfId="0" applyFont="1" applyFill="1" applyBorder="1" applyAlignment="1">
      <alignment horizontal="center" vertical="center" wrapText="1"/>
    </xf>
    <xf numFmtId="0" fontId="1" fillId="7" borderId="0" xfId="0" applyFont="1" applyFill="1" applyAlignment="1">
      <alignment horizontal="center" vertical="center"/>
    </xf>
    <xf numFmtId="2" fontId="1" fillId="7" borderId="0" xfId="0" applyNumberFormat="1" applyFont="1" applyFill="1" applyAlignment="1">
      <alignment horizontal="center" vertical="center"/>
    </xf>
    <xf numFmtId="10" fontId="0" fillId="3" borderId="2" xfId="0" applyNumberFormat="1" applyFill="1" applyBorder="1" applyAlignment="1">
      <alignment vertical="center" wrapText="1"/>
    </xf>
    <xf numFmtId="10" fontId="2" fillId="6" borderId="2" xfId="1" applyNumberFormat="1" applyFont="1" applyFill="1" applyBorder="1" applyAlignment="1">
      <alignment vertical="center" wrapText="1"/>
    </xf>
    <xf numFmtId="10" fontId="2" fillId="5" borderId="2" xfId="1" applyNumberFormat="1" applyFont="1" applyFill="1" applyBorder="1" applyAlignment="1">
      <alignment horizontal="center" vertical="center" wrapText="1"/>
    </xf>
    <xf numFmtId="10" fontId="2" fillId="6" borderId="2" xfId="1" applyNumberFormat="1" applyFont="1" applyFill="1" applyBorder="1" applyAlignment="1">
      <alignment horizontal="center" vertical="center" wrapText="1"/>
    </xf>
    <xf numFmtId="10" fontId="2" fillId="5" borderId="2" xfId="1" applyNumberFormat="1" applyFont="1" applyFill="1" applyBorder="1" applyAlignment="1">
      <alignment vertical="center" wrapText="1"/>
    </xf>
    <xf numFmtId="10" fontId="2" fillId="6" borderId="5" xfId="1" applyNumberFormat="1" applyFont="1" applyFill="1" applyBorder="1" applyAlignment="1">
      <alignment vertical="center" wrapText="1"/>
    </xf>
    <xf numFmtId="10" fontId="1" fillId="7" borderId="0" xfId="1" applyNumberFormat="1" applyFont="1" applyFill="1" applyAlignment="1">
      <alignment horizontal="center" vertical="center"/>
    </xf>
    <xf numFmtId="14" fontId="0" fillId="2" borderId="5"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10" borderId="0" xfId="0" applyFont="1" applyFill="1" applyAlignment="1">
      <alignment horizontal="center" vertical="center" wrapText="1"/>
    </xf>
    <xf numFmtId="0" fontId="1" fillId="11" borderId="7" xfId="0" applyFont="1" applyFill="1" applyBorder="1" applyAlignment="1">
      <alignment horizontal="center" vertical="center" wrapText="1"/>
    </xf>
    <xf numFmtId="0" fontId="1" fillId="11" borderId="8" xfId="0" applyFont="1" applyFill="1" applyBorder="1" applyAlignment="1">
      <alignment horizontal="center" vertical="center" wrapText="1"/>
    </xf>
    <xf numFmtId="2" fontId="1" fillId="10" borderId="8" xfId="0" applyNumberFormat="1"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0" fillId="12" borderId="2" xfId="0" applyFill="1" applyBorder="1" applyAlignment="1">
      <alignment horizontal="center" vertical="center" wrapText="1"/>
    </xf>
  </cellXfs>
  <cellStyles count="2">
    <cellStyle name="Normale" xfId="0" builtinId="0"/>
    <cellStyle name="Percentuale" xfId="1" builtinId="5"/>
  </cellStyles>
  <dxfs count="274">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numFmt numFmtId="19" formatCode="dd/mm/yyyy"/>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numFmt numFmtId="19" formatCode="dd/mm/yyyy"/>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14" formatCode="0.00%"/>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border outline="0">
        <left style="thin">
          <color theme="0"/>
        </left>
        <right style="thin">
          <color theme="0"/>
        </right>
      </border>
    </dxf>
    <dxf>
      <font>
        <strike val="0"/>
        <outline val="0"/>
        <shadow val="0"/>
        <u val="none"/>
        <vertAlign val="baseline"/>
        <sz val="11"/>
        <color theme="0"/>
        <name val="Aptos Narrow"/>
        <family val="2"/>
        <scheme val="minor"/>
      </font>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ont>
        <strike val="0"/>
        <outline val="0"/>
        <shadow val="0"/>
        <u val="none"/>
        <vertAlign val="baseline"/>
        <sz val="11"/>
        <color theme="0"/>
        <name val="Aptos Narrow"/>
        <family val="2"/>
        <scheme val="minor"/>
      </font>
      <fill>
        <patternFill patternType="solid">
          <bgColor theme="1"/>
        </patternFill>
      </fill>
      <border outline="0">
        <left style="thin">
          <color theme="0"/>
        </left>
        <right style="thin">
          <color theme="0"/>
        </right>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bgColor theme="1"/>
        </patternFill>
      </fill>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2" formatCode="0.00"/>
      <fill>
        <patternFill patternType="solid">
          <fgColor theme="4" tint="0.79998168889431442"/>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ill>
        <patternFill patternType="solid">
          <fgColor theme="4" tint="0.79998168889431442"/>
          <bgColor theme="4" tint="0.79998168889431442"/>
        </patternFill>
      </fill>
      <alignment horizontal="general"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2" formatCode="0.00"/>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numFmt numFmtId="19" formatCode="dd/mm/yyyy"/>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numFmt numFmtId="19" formatCode="dd/mm/yyyy"/>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right style="thin">
          <color theme="0"/>
        </right>
        <top style="thin">
          <color theme="0"/>
        </top>
        <bottom style="thin">
          <color theme="0"/>
        </bottom>
      </border>
    </dxf>
    <dxf>
      <fill>
        <patternFill patternType="solid">
          <fgColor theme="4" tint="0.59999389629810485"/>
          <bgColor theme="4" tint="0.59999389629810485"/>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Aptos Narrow"/>
        <family val="2"/>
        <scheme val="minor"/>
      </font>
      <numFmt numFmtId="0" formatCode="General"/>
      <fill>
        <patternFill patternType="solid">
          <fgColor indexed="64"/>
          <bgColor theme="1"/>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fill>
        <patternFill patternType="solid">
          <fgColor indexed="64"/>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numFmt numFmtId="0" formatCode="General"/>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59999389629810485"/>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Aptos Narrow"/>
        <family val="2"/>
        <scheme val="minor"/>
      </font>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0" formatCode="General"/>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Aptos Narrow"/>
        <family val="2"/>
        <scheme val="minor"/>
      </font>
      <numFmt numFmtId="2" formatCode="0.00"/>
      <fill>
        <patternFill patternType="solid">
          <fgColor indexed="64"/>
          <bgColor theme="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numFmt numFmtId="19" formatCode="dd/mm/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numFmt numFmtId="19" formatCode="dd/mm/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style="thin">
          <color theme="0"/>
        </right>
        <top style="thin">
          <color theme="0"/>
        </top>
        <bottom style="thin">
          <color theme="0"/>
        </bottom>
        <vertical/>
        <horizontal/>
      </border>
    </dxf>
    <dxf>
      <alignment horizontal="center" vertical="center" textRotation="0" wrapText="1" indent="0" justifyLastLine="0" shrinkToFit="0" readingOrder="0"/>
    </dxf>
    <dxf>
      <fill>
        <patternFill patternType="solid">
          <fgColor theme="4" tint="0.79998168889431442"/>
          <bgColor theme="4"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rgb="FF0070C0"/>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D16F73-B33E-4A23-A211-1DFD76AD6ECB}" name="Tabella1" displayName="Tabella1" ref="A1:CV325" totalsRowShown="0" headerRowDxfId="273" dataDxfId="272">
  <autoFilter ref="A1:CV325" xr:uid="{68D16F73-B33E-4A23-A211-1DFD76AD6ECB}"/>
  <tableColumns count="100">
    <tableColumn id="1" xr3:uid="{088AE5EC-1DC9-4E32-9E77-3F38FCF1AE42}" name="NUMERO PAZIENTI" dataDxfId="271">
      <calculatedColumnFormula>A1+1</calculatedColumnFormula>
    </tableColumn>
    <tableColumn id="2" xr3:uid="{D03575EA-6900-4779-B07E-BE3BA8C1F6FA}" name="ID DTB" dataDxfId="270"/>
    <tableColumn id="3" xr3:uid="{439F9E1C-DEAD-4A49-BD40-5622E9B41668}" name="Data visita" dataDxfId="269"/>
    <tableColumn id="4" xr3:uid="{2C984A4E-DBDC-49DB-9544-59933020E7BD}" name="Cognome Nome" dataDxfId="268"/>
    <tableColumn id="5" xr3:uid="{154E02C0-CA73-4650-9B73-3D03957A9D46}" name="Data di Nascita" dataDxfId="267"/>
    <tableColumn id="44" xr3:uid="{D54E6C1C-3D46-4071-A0E4-F91436325889}" name="ETA'" dataDxfId="266">
      <calculatedColumnFormula>_xlfn.DAYS(NOW(),Tabella1[[#This Row],[Data di Nascita]])/365.25</calculatedColumnFormula>
    </tableColumn>
    <tableColumn id="6" xr3:uid="{3232C94D-A8ED-4536-B8A0-F63766A0CBDF}" name="Codice Fiscale" dataDxfId="265"/>
    <tableColumn id="7" xr3:uid="{7BFA43EB-B682-4AF1-BDB8-9024C416D181}" name="Telefono" dataDxfId="264"/>
    <tableColumn id="8" xr3:uid="{4FD4BB98-DF6F-4CF1-9534-51C577A2CA30}" name="Motivo della visita" dataDxfId="263"/>
    <tableColumn id="9" xr3:uid="{F462574C-A773-4CF4-87E1-302EE8AC50C5}" name="Inviato da" dataDxfId="262"/>
    <tableColumn id="10" xr3:uid="{09B3914B-DD35-453A-8AB8-15BDA0BD5AC4}" name="Attività lavorativa" dataDxfId="261"/>
    <tableColumn id="83" xr3:uid="{BE6F1667-C658-443B-A9EB-754C5730F3E2}" name="IN PENSIONE BINARIO" dataDxfId="260">
      <calculatedColumnFormula>IF(ISERROR(SEARCH("EX",Tabella1[[#This Row],[Attività lavorativa]],1)),0,1)</calculatedColumnFormula>
    </tableColumn>
    <tableColumn id="84" xr3:uid="{802859BE-D888-476A-A717-BAF8E8E0C1C0}" name="LAVORATORI RISTORAZIONE BINARIO (1=SI)" dataDxfId="259"/>
    <tableColumn id="85" xr3:uid="{6CFDBBA0-C688-4131-9EC9-84B2A6B9C750}" name="SETTORE EDILE (1=SI)" dataDxfId="258"/>
    <tableColumn id="86" xr3:uid="{4966C772-F889-49F7-AA92-3E61D03B9EF7}" name="LOGISTICA E TRASPORTI (1=SI)" dataDxfId="257"/>
    <tableColumn id="87" xr3:uid="{36D4FE48-AB5E-4294-8A99-06D65B9D95CF}" name="ASSISTENZA PERSONALE/DOMICILIARE E PULIZIE (1=SI)" dataDxfId="256"/>
    <tableColumn id="88" xr3:uid="{7EC1F4BF-BADC-4052-A995-BDF923123F5F}" name="ARTIGIANATO (1=SI)" dataDxfId="255"/>
    <tableColumn id="89" xr3:uid="{A1D4A02C-5126-4DEC-B991-8C52D9E24743}" name="SETTORE PORTUALE (1=SI)" dataDxfId="254"/>
    <tableColumn id="90" xr3:uid="{CBB44CCA-EAEA-4A54-AC68-0D5609AB17CD}" name="SANITA'/RI CERCA  Eattivita' di laboratorio (1=SI)" dataDxfId="253"/>
    <tableColumn id="91" xr3:uid="{6FD2A764-793E-4629-A2B6-799EF4572155}" name="NDD BINARIO (1=SI)" dataDxfId="252">
      <calculatedColumnFormula>IF(ISERROR(SEARCH("NDD",Tabella1[[#This Row],[Attività lavorativa]],1)),0,1)</calculatedColumnFormula>
    </tableColumn>
    <tableColumn id="11" xr3:uid="{3D9D016D-974F-4193-B340-3E9B280626CD}" name="Fumo" dataDxfId="251"/>
    <tableColumn id="46" xr3:uid="{7447BC12-DC3F-4DF6-A63D-B0597B404C4D}" name="P/Y" dataDxfId="250"/>
    <tableColumn id="45" xr3:uid="{C31E4671-61E1-472E-9A22-8F116F82B5FE}" name="Ex-fumatori binario" dataDxfId="249">
      <calculatedColumnFormula>IF(ISERROR(SEARCH("ex",Tabella1[[#This Row],[Fumo]],1)),0,1)</calculatedColumnFormula>
    </tableColumn>
    <tableColumn id="48" xr3:uid="{B7220F6A-0B9E-4849-8119-07AE07994091}" name="Non fumatore binario" dataDxfId="248">
      <calculatedColumnFormula>IF(ISERROR(SEARCH("no",Tabella1[[#This Row],[Fumo]],1)),0,1)</calculatedColumnFormula>
    </tableColumn>
    <tableColumn id="12" xr3:uid="{39428649-0832-42A2-9777-934EDE393CDD}" name="Bevitore alcolici" dataDxfId="247"/>
    <tableColumn id="92" xr3:uid="{85176E49-F4EE-476F-B05A-41CF1740F335}" name="NDD binario" dataDxfId="246">
      <calculatedColumnFormula>IF(ISERROR(SEARCH("NDD",Tabella1[[#This Row],[Bevitore alcolici]],1)),0,1)</calculatedColumnFormula>
    </tableColumn>
    <tableColumn id="49" xr3:uid="{DA7AC26F-DCDB-4DC7-9C51-A9ADD643F469}" name="Rari Bevitori Binario" dataDxfId="245">
      <calculatedColumnFormula>IF(ISERROR(SEARCH("raro",Tabella1[[#This Row],[Bevitore alcolici]],1)),0,1)</calculatedColumnFormula>
    </tableColumn>
    <tableColumn id="50" xr3:uid="{A07BF586-519A-4896-9BA7-1C9C4803D2C9}" name="Saltuari bevitori Binario" dataDxfId="244">
      <calculatedColumnFormula>IF(ISERROR(SEARCH("saltuariamente",Tabella1[[#This Row],[Bevitore alcolici]],1)),0,1)</calculatedColumnFormula>
    </tableColumn>
    <tableColumn id="51" xr3:uid="{2F253A8B-62FE-4A3F-83D2-0073B0C072DC}" name="Non bevitori Binario" dataDxfId="243">
      <calculatedColumnFormula>IF(ISERROR(SEARCH("nega",Tabella1[[#This Row],[Bevitore alcolici]],1)),0,1)</calculatedColumnFormula>
    </tableColumn>
    <tableColumn id="52" xr3:uid="{E78ACACA-5E71-4C5C-A64C-CD937BED8863}" name="Storia di alcolismo/potus binario" dataDxfId="242">
      <calculatedColumnFormula>IF(ISERROR(SEARCH("potus",Tabella1[[#This Row],[Bevitore alcolici]],1)),0,1)</calculatedColumnFormula>
    </tableColumn>
    <tableColumn id="13" xr3:uid="{ECDAFA84-3D8C-457D-B8B2-26F16E56D136}" name="Allergie" dataDxfId="241"/>
    <tableColumn id="94" xr3:uid="{C5C52189-4C8D-456F-B1A7-061C1D00497F}" name="Allergie NDD" dataDxfId="240"/>
    <tableColumn id="93" xr3:uid="{9C990AFB-B0A6-4FF0-A8F0-9FF3BE702826}" name="Allergie a Inalanti" dataDxfId="239"/>
    <tableColumn id="95" xr3:uid="{F1010824-1A97-4CC5-B881-B93F29274750}" name="RAF binario" dataDxfId="238"/>
    <tableColumn id="96" xr3:uid="{C8638147-EB76-4783-A479-00B14888F882}" name="Allergie alimentari binario" dataDxfId="237"/>
    <tableColumn id="97" xr3:uid="{81417BAE-173C-4E7B-AA11-4A8C6E27E1A2}" name="Allergie da contatto binario" dataDxfId="236"/>
    <tableColumn id="14" xr3:uid="{D4F25331-4AAD-4188-8638-7ED518501881}" name="Patente di guida" dataDxfId="235"/>
    <tableColumn id="53" xr3:uid="{7605A48F-0C60-43A3-821D-F33D4FB59837}" name="Patente si (1)/no(0)" dataDxfId="234">
      <calculatedColumnFormula>IF(ISERROR(SEARCH("si",Tabella1[[#This Row],[Patente di guida]],1)),0,1)</calculatedColumnFormula>
    </tableColumn>
    <tableColumn id="15" xr3:uid="{D588F722-D79E-4CC9-B02E-D903C43BF12D}" name="Ipertensione" dataDxfId="233"/>
    <tableColumn id="54" xr3:uid="{A82CE8A2-BE8A-4037-9C1A-1754C13A7E28}" name="Ipertensione Binario (no)" dataDxfId="232">
      <calculatedColumnFormula>IF(ISERROR(SEARCH("no",Tabella1[[#This Row],[Ipertensione]],1)),0,1)</calculatedColumnFormula>
    </tableColumn>
    <tableColumn id="16" xr3:uid="{A5536C44-12A2-43A5-BD65-F0939A65E5FF}" name="Cardiopatia ischemica" dataDxfId="231"/>
    <tableColumn id="47" xr3:uid="{512427FA-100F-4676-84C3-E9277C8B6F76}" name="IMA Binario no" dataDxfId="230">
      <calculatedColumnFormula>IF(ISERROR(SEARCH("NO",Tabella1[[#This Row],[Cardiopatia ischemica]],1)),1,0)</calculatedColumnFormula>
    </tableColumn>
    <tableColumn id="55" xr3:uid="{E763D054-B48A-4364-B009-89371B1217A3}" name="IMA Binario non noto" dataDxfId="229">
      <calculatedColumnFormula>IF(ISERROR(SEARCH("sconosciuto",Tabella1[[#This Row],[Cardiopatia ischemica]],1)),0,1)</calculatedColumnFormula>
    </tableColumn>
    <tableColumn id="17" xr3:uid="{2CBCC42F-B67B-4CD5-BA57-93CB0ED2463D}" name="Artimie" dataDxfId="228"/>
    <tableColumn id="56" xr3:uid="{A955C6E3-70BA-4028-90E6-C36D2EEAB464}" name="Non Aritmie Binario" dataDxfId="227">
      <calculatedColumnFormula>IF(ISERROR(SEARCH("nega",Tabella1[[#This Row],[Artimie]],1)),0,1)</calculatedColumnFormula>
    </tableColumn>
    <tableColumn id="18" xr3:uid="{4934542B-5A91-4A9A-8342-EBCDE54DB644}" name="Ipercolesterolemia" dataDxfId="226"/>
    <tableColumn id="57" xr3:uid="{03437689-2275-499F-A228-6EA04B0F8228}" name="Non Dislipidemia Binario " dataDxfId="225">
      <calculatedColumnFormula>IF(ISERROR(SEARCH("nega",Tabella1[[#This Row],[Ipercolesterolemia]],1)),0,1)</calculatedColumnFormula>
    </tableColumn>
    <tableColumn id="58" xr3:uid="{6ACF9C1E-CAD4-46A1-BB34-250082F6D864}" name="Boh dislipidemia binario" dataDxfId="224">
      <calculatedColumnFormula>IF(ISERROR(SEARCH("boh",Tabella1[[#This Row],[Ipercolesterolemia]],1)),0,1)</calculatedColumnFormula>
    </tableColumn>
    <tableColumn id="19" xr3:uid="{20A8ED04-0025-4A94-9D24-4C4F6FFD6902}" name="Diabete" dataDxfId="223"/>
    <tableColumn id="59" xr3:uid="{638B1365-8A71-4A83-9146-825F8D1F7025}" name="Intollerazna glucidica" dataDxfId="222">
      <calculatedColumnFormula>IF(ISERROR(SEARCH("Intolleranza",Tabella1[[#This Row],[Diabete]],1)),0,1)</calculatedColumnFormula>
    </tableColumn>
    <tableColumn id="60" xr3:uid="{BD65E546-2612-4EDA-9C03-5F4733335BCC}" name="Diabetici Binario" dataDxfId="221">
      <calculatedColumnFormula>IF(ISERROR(SEARCH("si",Tabella1[[#This Row],[Diabete]],1)),0,1)</calculatedColumnFormula>
    </tableColumn>
    <tableColumn id="20" xr3:uid="{2C10757B-001E-4CAA-AA6D-75810336BCF4}" name="Patologia Tiroidea" dataDxfId="220"/>
    <tableColumn id="98" xr3:uid="{F2B86AC6-17DE-4A8E-A37F-96758CAFDC29}" name="Tiroide NDD" dataDxfId="219">
      <calculatedColumnFormula>IF(ISERROR(SEARCH("NDD",Tabella1[[#This Row],[Patologia Tiroidea]],1)),0,1)</calculatedColumnFormula>
    </tableColumn>
    <tableColumn id="61" xr3:uid="{610B0D81-35C2-4D3C-B06A-533A4C1374EB}" name="TIROIDITI Binario" dataDxfId="218">
      <calculatedColumnFormula>IF(ISERROR(SEARCH("TIROIDITE",Tabella1[[#This Row],[Patologia Tiroidea]],1)),0,1)</calculatedColumnFormula>
    </tableColumn>
    <tableColumn id="62" xr3:uid="{2D340272-F792-433C-9F60-12B010E4412B}" name="HASHIMOTO Binario" dataDxfId="217">
      <calculatedColumnFormula>IF(ISERROR(SEARCH("HASHIMOTO",Tabella1[[#This Row],[Patologia Tiroidea]],1)),0,1)</calculatedColumnFormula>
    </tableColumn>
    <tableColumn id="63" xr3:uid="{6958FC2A-6F7C-417D-A99C-5D8F6A981ADD}" name="BASEDOW Binario" dataDxfId="216">
      <calculatedColumnFormula>IF(ISERROR(SEARCH("BASEDOW",Tabella1[[#This Row],[Patologia Tiroidea]],1)),0,1)</calculatedColumnFormula>
    </tableColumn>
    <tableColumn id="65" xr3:uid="{67F74D84-263F-4005-9EA8-85899F5DE93F}" name="NODULI Binario" dataDxfId="215">
      <calculatedColumnFormula>IF(ISERROR(SEARCH("NOD",Tabella1[[#This Row],[Patologia Tiroidea]],1)),0,1)</calculatedColumnFormula>
    </tableColumn>
    <tableColumn id="66" xr3:uid="{ABE0BE01-ABF8-4DD4-BF89-8878B13EC9EC}" name="GOZZO" dataDxfId="214">
      <calculatedColumnFormula>IF(ISERROR(SEARCH("GOZ",Tabella1[[#This Row],[Patologia Tiroidea]],1)),0,1)</calculatedColumnFormula>
    </tableColumn>
    <tableColumn id="21" xr3:uid="{4EA031D3-3204-482A-95F4-58DFEE515B85}" name="Obesità" dataDxfId="213"/>
    <tableColumn id="43" xr3:uid="{E126E289-5CE8-422E-ABB4-4894AB1E466A}" name="Obesità 0/1" dataDxfId="212">
      <calculatedColumnFormula>IF(Tabella1[[#This Row],[Obesità]]="no",0,1)</calculatedColumnFormula>
    </tableColumn>
    <tableColumn id="22" xr3:uid="{D330975C-C492-4DCD-8984-BF1CEFB4FB70}" name="Reflusso gastroesofageo" dataDxfId="211"/>
    <tableColumn id="64" xr3:uid="{815755F4-078A-4D17-8E62-3E820F5343AF}" name="GERD binario (no=0)" dataDxfId="210">
      <calculatedColumnFormula>IF(ISERROR(SEARCH("nega",Tabella1[[#This Row],[Reflusso gastroesofageo]],1)),1,0)</calculatedColumnFormula>
    </tableColumn>
    <tableColumn id="23" xr3:uid="{7ABE98C1-4C91-43E8-BC00-DD28AA8CF8C5}" name="Patologia respiratoria" dataDxfId="209"/>
    <tableColumn id="99" xr3:uid="{28B3DF2D-D066-4C57-ABD9-B55D399103E8}" name="NDD patol resp" dataDxfId="208">
      <calculatedColumnFormula>IF(ISERROR(SEARCH("NDD",Tabella1[[#This Row],[Patologia respiratoria]],1)),0,1)</calculatedColumnFormula>
    </tableColumn>
    <tableColumn id="67" xr3:uid="{5AEBCCE9-60F8-40FA-8EFC-A7C90EFE767C}" name="ASMA (anche dubbia)" dataDxfId="207">
      <calculatedColumnFormula>IF(ISERROR(SEARCH("asma",Tabella1[[#This Row],[Patologia respiratoria]],1)),0,1)</calculatedColumnFormula>
    </tableColumn>
    <tableColumn id="68" xr3:uid="{2DA466B3-6FC6-4705-A9CE-2AC435BC2C4A}" name="BPCO" dataDxfId="206">
      <calculatedColumnFormula>IF(ISERROR(SEARCH("BPCO",Tabella1[[#This Row],[Patologia respiratoria]],1)),0,1)</calculatedColumnFormula>
    </tableColumn>
    <tableColumn id="69" xr3:uid="{F6C39E1A-7B05-4D1F-90E2-A2C34B957A67}" name="PREGRESSE BRONCHITI/ BRONCOPOLMONITI/  POLMONITI" dataDxfId="205">
      <calculatedColumnFormula>IF(ISERROR(SEARCH("BRONCOPOLMONITE",Tabella1[[#This Row],[Patologia respiratoria]],1)),0,1)</calculatedColumnFormula>
    </tableColumn>
    <tableColumn id="70" xr3:uid="{7FD9351A-18CF-45A7-9281-4C4313EBB5FB}" name="ASMA e OSAS" dataDxfId="204">
      <calculatedColumnFormula>IF(ISERROR(SEARCH("ASMA, OSAS",Tabella1[[#This Row],[Patologia respiratoria]],1)),0,1)</calculatedColumnFormula>
    </tableColumn>
    <tableColumn id="71" xr3:uid="{68FB6C33-AE5F-4AFF-AB06-AC8AD6ED0643}" name="OSAS e BPCO" dataDxfId="203">
      <calculatedColumnFormula>IF(ISERROR(SEARCH("OSAS e BPCO",Tabella1[[#This Row],[Patologia respiratoria]],1)),0,1)</calculatedColumnFormula>
    </tableColumn>
    <tableColumn id="72" xr3:uid="{7BCB6A33-E9A0-48B4-9A7C-C06439CD5FB3}" name="OSAS" dataDxfId="202">
      <calculatedColumnFormula>IF(ISERROR(SEARCH("OSAS",Tabella1[[#This Row],[Patologia respiratoria]],1)),0,1)</calculatedColumnFormula>
    </tableColumn>
    <tableColumn id="24" xr3:uid="{1082FF46-8DB0-46A1-9135-BD3931D6A1E3}" name="Documentazone Clinica" dataDxfId="201"/>
    <tableColumn id="25" xr3:uid="{9D816464-99EE-4E45-B68C-3292F329452E}" name="Terapia in atto" dataDxfId="200"/>
    <tableColumn id="26" xr3:uid="{62241752-441B-47CC-80F0-3175FD7EB0B9}" name="O2 terapia" dataDxfId="199"/>
    <tableColumn id="100" xr3:uid="{E91B575E-7382-4D84-B2E3-428C8F4D905C}" name="o2tp NDD" dataDxfId="198">
      <calculatedColumnFormula>IF(ISERROR(SEARCH("ndd",Tabella1[[#This Row],[O2 terapia]],1)),0,1)</calculatedColumnFormula>
    </tableColumn>
    <tableColumn id="73" xr3:uid="{2CD64BC7-7784-4EA5-9951-4CE94A5517F7}" name="O2TP BINARIO (1=SI)" dataDxfId="197"/>
    <tableColumn id="27" xr3:uid="{F7E28A7A-DD71-481E-A1BE-138C68D343FC}" name="Documentazione Clinica" dataDxfId="196"/>
    <tableColumn id="28" xr3:uid="{0892BDA8-7A4C-4A6E-96D9-C7FE08EBD1DA}" name="Tosse" dataDxfId="195"/>
    <tableColumn id="74" xr3:uid="{3BCAF49C-CC22-45BB-9B47-B933BD7D1AF8}" name="RIFERITA TOSSE BINARIO (1=SI)" dataDxfId="194"/>
    <tableColumn id="29" xr3:uid="{D2B4544A-DEEE-4B72-A738-8D4217D6F806}" name="Risvegli per affanno" dataDxfId="193"/>
    <tableColumn id="75" xr3:uid="{229F39AB-2B1A-45E7-8601-C75F4B3C8994}" name="AFFANNO BINARIO (1=Si)" dataDxfId="192"/>
    <tableColumn id="30" xr3:uid="{7179B680-0093-4BE4-ADAC-BA9B116D5969}" name="Dispnea da sforzo" dataDxfId="191"/>
    <tableColumn id="76" xr3:uid="{91B4E8B3-3162-4BC7-AE95-BCDAE36510D8}" name="DISPNEA DA SFORZO  BINARIO (1=SI)" dataDxfId="190"/>
    <tableColumn id="31" xr3:uid="{69187411-EE74-42A9-8187-1B6CD4635E33}" name="Dispnea a riposo" dataDxfId="189"/>
    <tableColumn id="77" xr3:uid="{DF160CD6-6F18-47C9-96B8-F8954876A957}" name="DISPNEA A RIPOSO BINARIO (1=SI)" dataDxfId="188"/>
    <tableColumn id="32" xr3:uid="{653C0404-6F46-494F-8B50-49970DBB4CA6}" name="SIntomi Rinitici" dataDxfId="187"/>
    <tableColumn id="78" xr3:uid="{4D49B13E-4447-4F41-A414-5B025B6467E1}" name="RINITE BINARIA (1=SI)" dataDxfId="186"/>
    <tableColumn id="33" xr3:uid="{E1A7E877-F238-4BB0-9D5D-7944AFDB93C9}" name="SIntomi GERD" dataDxfId="185"/>
    <tableColumn id="79" xr3:uid="{2FD4E044-A5E1-48E6-9A5B-B54ED424D299}" name="GERD SINTOMI BINARIO (1=SI)" dataDxfId="184"/>
    <tableColumn id="34" xr3:uid="{944D0B8F-0517-41E5-A2CF-48B0FFC850FF}" name="Nicturia" dataDxfId="183"/>
    <tableColumn id="80" xr3:uid="{E5802501-9F05-4A05-BC96-F8C4A60AF678}" name="NICTURIA BINARIO (1=SI)" dataDxfId="182"/>
    <tableColumn id="35" xr3:uid="{062876B2-2891-43D2-B802-27FEA25E1994}" name="Turbe della Memoria" dataDxfId="181"/>
    <tableColumn id="81" xr3:uid="{DCC120D3-D1FF-476D-BD13-28742211B5E9}" name="TURBE DELLA MEMORIA BINARIO (1=SI)" dataDxfId="180"/>
    <tableColumn id="36" xr3:uid="{059310FE-CE6A-4D77-AD00-07FBB6930144}" name="Cefalea Mattutina" dataDxfId="179"/>
    <tableColumn id="82" xr3:uid="{A25410DE-3584-4E74-9BC2-A47E20B54173}" name="CEFALEA MATTUTINA BINARIO (1=SI)" dataDxfId="178"/>
    <tableColumn id="37" xr3:uid="{C09BD6FC-E89B-45CA-A81C-9F7CE1C96421}" name="Test di Epworth" dataDxfId="177"/>
    <tableColumn id="38" xr3:uid="{6DBBF0CB-D49F-43D7-9207-05E7E62982B4}" name="BMI" dataDxfId="176"/>
    <tableColumn id="39" xr3:uid="{E9557BED-E1F5-4DA3-AAE1-E54D0DB6B29C}" name="SatO2" dataDxfId="175"/>
    <tableColumn id="40" xr3:uid="{A32BB909-83E8-4F6F-BEC5-B242351EA809}" name="FC" dataDxfId="174"/>
    <tableColumn id="41" xr3:uid="{AFF3FD4F-D11B-4C9C-A137-93A91AAEFB2D}" name="Obiettività" dataDxfId="173"/>
    <tableColumn id="42" xr3:uid="{EA7F6AF6-50F9-453E-B38B-40FBDB731274}" name="Conclusioni" dataDxfId="1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A58547-66B1-464E-85D1-0F200869F97F}" name="Tabella3" displayName="Tabella3" ref="A1:BU164" totalsRowShown="0" headerRowDxfId="171" dataDxfId="169" headerRowBorderDxfId="170">
  <autoFilter ref="A1:BU164" xr:uid="{30A58547-66B1-464E-85D1-0F200869F97F}"/>
  <tableColumns count="73">
    <tableColumn id="1" xr3:uid="{F104CF1F-FC76-42BA-8964-62D10E8E7610}" name="ID" dataDxfId="168"/>
    <tableColumn id="2" xr3:uid="{31FC13C9-3456-440E-93C3-003C5E4E88C3}" name="Data visita" dataDxfId="167"/>
    <tableColumn id="3" xr3:uid="{6AFC6994-7E2B-4BD8-8168-96161FA870B2}" name="Cognome Nome" dataDxfId="166"/>
    <tableColumn id="4" xr3:uid="{4078E129-FDA8-4D56-9A89-CCA5DB7C7817}" name="Data di Nascita" dataDxfId="165"/>
    <tableColumn id="42" xr3:uid="{4428751F-0EAE-4455-BDD7-098E531C94D3}" name="ETA'" dataDxfId="164">
      <calculatedColumnFormula>_xlfn.DAYS(NOW(),Tabella3[[#This Row],[Data di Nascita]])/365.25</calculatedColumnFormula>
    </tableColumn>
    <tableColumn id="5" xr3:uid="{CA607B22-0810-481F-ABCE-CE21A0993031}" name="Codice Fiscale" dataDxfId="163"/>
    <tableColumn id="6" xr3:uid="{35C259E7-FC3F-4334-A8BF-57938199E970}" name="Telefono" dataDxfId="162"/>
    <tableColumn id="7" xr3:uid="{05A487EA-A19D-4B92-92D8-FA4B3818D23A}" name="Motivo della visita" dataDxfId="161"/>
    <tableColumn id="8" xr3:uid="{75865D06-7342-4BF6-9838-65CE7E9E75D4}" name="Inviato da" dataDxfId="160"/>
    <tableColumn id="9" xr3:uid="{3C32C18F-DDBD-4B70-B90C-A96799B591EB}" name="Attività lavorativa" dataDxfId="159"/>
    <tableColumn id="51" xr3:uid="{56FA84F2-E3F3-4CE4-AACE-B8EA03BD84DB}" name="IN PENSIONE BINARIO" dataDxfId="158"/>
    <tableColumn id="50" xr3:uid="{CB8B9CC3-B3AE-4E61-9921-895542C353FC}" name="LAVORATORI RISTORAZIONE BINARIO (1=SI)" dataDxfId="157"/>
    <tableColumn id="49" xr3:uid="{915BF9EA-8215-40D5-B3D9-55993B423F4D}" name="SETTORE OPERAIO INDUSTRIALE/EDILE (1=SI)" dataDxfId="156"/>
    <tableColumn id="48" xr3:uid="{3D4017C2-2110-48EA-A0CB-4672EB717E4F}" name="LOGISTICA E TRASPORTI (1=SI)" dataDxfId="155"/>
    <tableColumn id="47" xr3:uid="{794336FB-DB86-437A-A843-FD68903D2068}" name="ASSISTENZA PERSONALE/DOMICILIARE E PULIZIE (1=SI)" dataDxfId="154"/>
    <tableColumn id="46" xr3:uid="{43C6C4B5-BEF6-4351-9D92-D57F3AD5587B}" name="ARTIGIANATO (1=SI)" dataDxfId="153"/>
    <tableColumn id="45" xr3:uid="{5FC6EEDA-F972-4B28-ACF0-91E60FF525EC}" name="SETTORE PORTUALE (1=SI)" dataDxfId="152"/>
    <tableColumn id="44" xr3:uid="{26509DE0-CA13-4768-BC62-1F05B8BBF2BA}" name="SANITA'/RI CERCA  Eattivita' di laboratorio (1=SI)" dataDxfId="151"/>
    <tableColumn id="43" xr3:uid="{2FA4BD3A-C972-4686-A965-9ECD23EF9952}" name="NDD BINARIO (1=SI)" dataDxfId="150"/>
    <tableColumn id="10" xr3:uid="{E7EE5618-6191-4812-B12B-2499AAD2AF13}" name="Fumo" dataDxfId="149"/>
    <tableColumn id="54" xr3:uid="{B2F12717-059B-44E2-B768-8631E300C91F}" name="P/Y" dataDxfId="148"/>
    <tableColumn id="53" xr3:uid="{5F3A2066-578D-40AD-97E2-627C9491E8D6}" name="Ex-fumatori binario" dataDxfId="147"/>
    <tableColumn id="52" xr3:uid="{BD20AB0F-19F7-439A-891B-220B00E391F6}" name="Non fumatore binario" dataDxfId="146"/>
    <tableColumn id="11" xr3:uid="{BEC5112F-5FB9-47FB-A43D-AA9A4B6AC750}" name="Bevitore alcolici" dataDxfId="145"/>
    <tableColumn id="55" xr3:uid="{7E268ADC-7354-42C5-A3DC-CBF736D4F07D}" name="NDD binario" dataDxfId="144"/>
    <tableColumn id="56" xr3:uid="{5B9ECC29-83CC-4915-AE9C-4EC1831890B2}" name="Rari Bevitori Binario" dataDxfId="143"/>
    <tableColumn id="57" xr3:uid="{9E4F279D-680C-4E3E-AEB8-CBF53D5DE6BD}" name="Saltuari bevitori Binario" dataDxfId="142"/>
    <tableColumn id="58" xr3:uid="{717CD485-7ED2-4B4F-A7ED-E541D521A078}" name="Non bevitori Binario" dataDxfId="141"/>
    <tableColumn id="59" xr3:uid="{B753CF5F-433C-46E1-AE47-56009EC5E8AA}" name="Storia di alcolismo/potus binario" dataDxfId="140"/>
    <tableColumn id="12" xr3:uid="{2F9EDC82-F33F-4342-B87D-02A5891079B3}" name="ziloric" dataDxfId="139"/>
    <tableColumn id="64" xr3:uid="{6F12A97E-701A-4630-AC41-AE37D6FA464C}" name="Allergie NDD" dataDxfId="138"/>
    <tableColumn id="63" xr3:uid="{D5656F8A-A66D-4464-BBFD-2DC0627CA7DB}" name="Allergie a Inalanti" dataDxfId="137"/>
    <tableColumn id="62" xr3:uid="{82F71C37-083A-4ABF-87B4-B6BDA21F9B4D}" name="RAF binario" dataDxfId="136"/>
    <tableColumn id="61" xr3:uid="{BF12F847-B5F4-428F-B5FA-7B7E19E305AB}" name="Allergie alimentari binario" dataDxfId="135"/>
    <tableColumn id="60" xr3:uid="{607522B7-2225-471C-96FF-D7CA968BD83E}" name="Allergie da contatto binario" dataDxfId="134"/>
    <tableColumn id="13" xr3:uid="{5269438F-7898-47C5-9935-A2D68C38EC01}" name="Patente di guida" dataDxfId="133"/>
    <tableColumn id="65" xr3:uid="{5AF8C056-D46F-4759-BD42-F4DCF2D51B2C}" name="Patente si (1)/no(0)" dataDxfId="132"/>
    <tableColumn id="14" xr3:uid="{4A733305-774D-4F7D-B09B-3E126AA0A1FC}" name="Ipertensione" dataDxfId="131"/>
    <tableColumn id="66" xr3:uid="{183908CF-28E5-4E37-956F-54C2F5C4B045}" name="Ipertensione Binario (no)" dataDxfId="130"/>
    <tableColumn id="15" xr3:uid="{8D62E265-73EF-401D-A52F-845EDB716B3F}" name="Cardiopatia ischemica" dataDxfId="129"/>
    <tableColumn id="70" xr3:uid="{0BCDA51A-DE1B-4532-BCDF-9099C03A14D2}" name="IMA Binario no" dataDxfId="128"/>
    <tableColumn id="67" xr3:uid="{4728DC5D-BBB0-4219-B327-FE1B54A0315D}" name="IMA Binario non noto" dataDxfId="127"/>
    <tableColumn id="16" xr3:uid="{E31CF63D-084A-43B9-9F99-358882469C2C}" name="Artimie" dataDxfId="126"/>
    <tableColumn id="71" xr3:uid="{AE1861C6-D633-4616-86E7-FB3E569AF78F}" name="Non Aritmie Binario" dataDxfId="125"/>
    <tableColumn id="17" xr3:uid="{178E9CB0-B54A-48F0-B4D8-B03BD540E3A8}" name="Ipercolesterolemia" dataDxfId="124"/>
    <tableColumn id="73" xr3:uid="{D03784AE-2FEC-4C07-BA9F-A5C1A85B8120}" name="Non Dislipidemia Binario " dataDxfId="123"/>
    <tableColumn id="72" xr3:uid="{F0F732E5-814D-47BE-AD5C-3BD13DEBF8A0}" name="Boh dislipidemia binario" dataDxfId="122"/>
    <tableColumn id="18" xr3:uid="{5496A998-45B5-49AA-B235-F729BA7ABAC2}" name="Diabete" dataDxfId="121"/>
    <tableColumn id="76" xr3:uid="{BE96A31A-7E67-42F6-8F56-D7E7743AB3A2}" name="Intollerazna glucidica" dataDxfId="120"/>
    <tableColumn id="74" xr3:uid="{9896DB00-16A4-4BE4-BFAB-7FA7BFF9EAA3}" name="Diabetici Binario" dataDxfId="119"/>
    <tableColumn id="19" xr3:uid="{30E19DF8-F331-4FFD-8739-6F5299CBA371}" name="Patologia Tiroidea" dataDxfId="118"/>
    <tableColumn id="20" xr3:uid="{136D4E4D-6811-4F73-8EB5-2B69AE99140A}" name="Obesità" dataDxfId="117"/>
    <tableColumn id="21" xr3:uid="{816DF712-EAC2-4CA2-AB71-3C67CCDE1BF4}" name="Reflusso gastroesofageo" dataDxfId="116"/>
    <tableColumn id="22" xr3:uid="{781DD8CA-A263-4A18-9EAD-8ACA61280026}" name="Patologia respiratoria" dataDxfId="115"/>
    <tableColumn id="23" xr3:uid="{456FBE1A-1A9E-45F7-9FB3-D37715B6D985}" name="Documentazone Clinica" dataDxfId="114"/>
    <tableColumn id="24" xr3:uid="{17A16E1D-16CF-4D54-A44E-CDD4FDE84648}" name="Terapia in atto" dataDxfId="113"/>
    <tableColumn id="25" xr3:uid="{04726F35-5846-49F9-B72F-701965C9EE3F}" name="O2 terapia" dataDxfId="112"/>
    <tableColumn id="26" xr3:uid="{6FB0B5F7-A18A-4E0E-81A1-389E0E409880}" name="Documentazione Clinica" dataDxfId="111"/>
    <tableColumn id="27" xr3:uid="{6B4EC273-004E-4D08-AE6C-8F9F5A824D11}" name="Tosse" dataDxfId="110"/>
    <tableColumn id="28" xr3:uid="{84A3C8E1-7B3F-4711-B375-E1BDBD7A0948}" name="Risvegli per affanno" dataDxfId="109"/>
    <tableColumn id="29" xr3:uid="{BF4D6454-CCA0-47B5-9EFE-B93080011654}" name="Dispnea da sforzo" dataDxfId="108"/>
    <tableColumn id="30" xr3:uid="{E6C35D0C-83B8-4D21-A383-5DECAC83D7BB}" name="Dispnea a riposo" dataDxfId="107"/>
    <tableColumn id="31" xr3:uid="{2B2A3F3E-17AC-418C-8B22-B4E72EDF96B9}" name="SIntomi Rinitici" dataDxfId="106"/>
    <tableColumn id="32" xr3:uid="{78A8C713-AF96-47BC-8B9C-571F64C7A418}" name="SIntomi GERD" dataDxfId="105"/>
    <tableColumn id="33" xr3:uid="{81D9A7E3-C3E8-44B4-8D29-A9330A7D6EB8}" name="Nicturia" dataDxfId="104"/>
    <tableColumn id="34" xr3:uid="{6432A34F-66B7-45DB-AAC2-8E99FCC34C3B}" name="Turbe della Memoria" dataDxfId="103"/>
    <tableColumn id="35" xr3:uid="{0B8B0008-E538-4DF2-940A-4B3F2AE3E94A}" name="Cefalea Mattutina" dataDxfId="102"/>
    <tableColumn id="36" xr3:uid="{CB47F5DC-75B6-4D77-AACB-605198D24415}" name="Test di Epworth" dataDxfId="101"/>
    <tableColumn id="37" xr3:uid="{DEF354A2-8DB6-48C8-827C-18E047FEA461}" name="BMI" dataDxfId="100"/>
    <tableColumn id="38" xr3:uid="{D7A48FCD-85CB-4C52-8C65-D9E56CCDEAF6}" name="SatO2" dataDxfId="99"/>
    <tableColumn id="39" xr3:uid="{BC09C99E-AE17-4307-A6D0-350AF659FB69}" name="FC" dataDxfId="98"/>
    <tableColumn id="40" xr3:uid="{416902EA-A2B0-44D4-9523-31857ED031CB}" name="Obiettività" dataDxfId="97"/>
    <tableColumn id="41" xr3:uid="{35026FC0-61BA-41EA-B759-E5F234E274B9}" name="Conclusioni" dataDxfId="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1E09A-B440-403D-9766-D9781648DFF9}" name="Tabella2" displayName="Tabella2" ref="A1:DA125" totalsRowShown="0" headerRowDxfId="95" dataDxfId="93" headerRowBorderDxfId="94">
  <autoFilter ref="A1:DA125" xr:uid="{8581E09A-B440-403D-9766-D9781648DFF9}"/>
  <tableColumns count="105">
    <tableColumn id="1" xr3:uid="{B7A98557-AA09-4D81-95C2-C47C0BFDF816}" name="ID" dataDxfId="92"/>
    <tableColumn id="2" xr3:uid="{D2355C9C-4A51-4B6E-A096-7C775A625DE6}" name="Data visita" dataDxfId="2"/>
    <tableColumn id="3" xr3:uid="{15AAC654-FA40-45E5-8224-44E798933A9B}" name="Cognome Nome" dataDxfId="0"/>
    <tableColumn id="4" xr3:uid="{D9AD3777-C203-4DC8-BE3C-BD6055C37534}" name="Data Nascita" dataDxfId="1"/>
    <tableColumn id="45" xr3:uid="{E78F7E72-FD4B-4516-8354-78D3DA7014C7}" name="ETA' BINARIO" dataDxfId="91">
      <calculatedColumnFormula>_xlfn.DAYS(NOW(),Tabella2[[#This Row],[Data Nascita]])/365.25</calculatedColumnFormula>
    </tableColumn>
    <tableColumn id="5" xr3:uid="{182DC5FB-5E5F-42DF-8DE1-89A4C9657EA7}" name="CF" dataDxfId="90"/>
    <tableColumn id="6" xr3:uid="{113C391D-B478-4DD3-8255-FF5D608DDC0F}" name="Telefono" dataDxfId="89"/>
    <tableColumn id="7" xr3:uid="{1FDC62D6-7B5E-4DC5-B1E7-94E69F07CB49}" name="Motivo della visita" dataDxfId="88"/>
    <tableColumn id="8" xr3:uid="{1D3BC13F-EEF3-4E15-A9F1-160CE0A73B4E}" name="Inviato da" dataDxfId="87"/>
    <tableColumn id="9" xr3:uid="{07B3FDC9-951F-4554-BE4C-BD9BE9631326}" name="Ventilatore" dataDxfId="86"/>
    <tableColumn id="46" xr3:uid="{1EBE1B36-67D6-431D-8C77-6F84B227986E}" name="Colonna1" dataDxfId="85"/>
    <tableColumn id="10" xr3:uid="{4B839A95-949B-44E9-A71B-1725CED9FE33}" name="Modello maschera" dataDxfId="84"/>
    <tableColumn id="11" xr3:uid="{140D1BAA-ACE2-4AFE-9B16-C750F553DA69}" name="Taglia maschera" dataDxfId="83"/>
    <tableColumn id="12" xr3:uid="{6786B572-31BC-4F3C-8491-84BC7AAC14A1}" name="O2 terapia" dataDxfId="82"/>
    <tableColumn id="47" xr3:uid="{D0EBDDF5-6198-4E44-8352-CC5E4892FA03}" name="O2TP BINARIO (1=SI)" dataDxfId="81"/>
    <tableColumn id="48" xr3:uid="{703E3228-AE3E-4459-9FC2-2898FCA7C234}" name="O2TP BINARIO INDAGATO (1=SI)" dataDxfId="80"/>
    <tableColumn id="13" xr3:uid="{E727C50C-42D1-4101-8A8C-336A744E8B53}" name="Device orale" dataDxfId="79"/>
    <tableColumn id="14" xr3:uid="{541A2599-C7DB-4F43-945F-8A9B54DB50F7}" name="Intervento chirurgico" dataDxfId="78"/>
    <tableColumn id="15" xr3:uid="{4B57645A-8AC9-4059-A98B-D3F178628A9B}" name="Altra terapia" dataDxfId="77"/>
    <tableColumn id="16" xr3:uid="{BAF04D88-0525-4C5A-8862-22F8242B513B}" name="Patologia respiratoria nota" dataDxfId="76"/>
    <tableColumn id="50" xr3:uid="{CE3CF6AE-E6AC-4267-A39F-BEAD9F061506}" name="ANAMNESI RESPIRATORIA NON INDAGATI (null)" dataDxfId="75">
      <calculatedColumnFormula>IF(ISERROR(SEARCH("null",Tabella2[[#This Row],[Patologia respiratoria nota]],1)),0,1)</calculatedColumnFormula>
    </tableColumn>
    <tableColumn id="56" xr3:uid="{5F347F18-6E5B-4C93-A13A-F6836CC8C7CC}" name="SOSTANZIALMENTE MUTA" dataDxfId="74">
      <calculatedColumnFormula>IF(ISERROR(SEARCH("MUTA",Tabella2[[#This Row],[Patologia respiratoria nota]],1)),0,1)</calculatedColumnFormula>
    </tableColumn>
    <tableColumn id="55" xr3:uid="{F73A2024-FE2D-422A-8982-31A00F8BE9AC}" name="OSAS" dataDxfId="73">
      <calculatedColumnFormula>IF(ISERROR(SEARCH("OSAS",Tabella2[[#This Row],[Patologia respiratoria nota]],1)),0,1)</calculatedColumnFormula>
    </tableColumn>
    <tableColumn id="49" xr3:uid="{510C158B-1497-4C06-81C6-E7F3C1104256}" name="BPCO BINARIO (1=SI)" dataDxfId="72">
      <calculatedColumnFormula>IF(ISERROR(SEARCH("BPCO",Tabella2[[#This Row],[Patologia respiratoria nota]],1)),0,1)</calculatedColumnFormula>
    </tableColumn>
    <tableColumn id="51" xr3:uid="{8F857801-CD6D-4587-9135-0B6FA11E2E7B}" name="ASMA BIONARIO (=SI)" dataDxfId="71">
      <calculatedColumnFormula>IF(ISERROR(SEARCH("ASMA",Tabella2[[#This Row],[Patologia respiratoria nota]],1)),0,1)</calculatedColumnFormula>
    </tableColumn>
    <tableColumn id="52" xr3:uid="{DBB96818-9B7D-4177-A55C-E5E255A6E023}" name="ASMA+OSAS" dataDxfId="70">
      <calculatedColumnFormula>IF(ISERROR(SEARCH("ASMA, OSAS",Tabella2[[#This Row],[Patologia respiratoria nota]],1)),0,1)</calculatedColumnFormula>
    </tableColumn>
    <tableColumn id="53" xr3:uid="{2B67AC20-9765-4669-A9D5-97B588AC172C}" name="BPCO+OSAS" dataDxfId="69">
      <calculatedColumnFormula>IF(ISERROR(SEARCH("BPCO, OSAS",Tabella2[[#This Row],[Patologia respiratoria nota]],1)),0,1)</calculatedColumnFormula>
    </tableColumn>
    <tableColumn id="54" xr3:uid="{05D788B7-9497-4FF9-994C-052D6327A3F1}" name="OSAS+BPCO+ASMA" dataDxfId="68">
      <calculatedColumnFormula>IF(ISERROR(SEARCH("ASMA, BPCO, OSAS",Tabella2[[#This Row],[Patologia respiratoria nota]],1)),0,1)</calculatedColumnFormula>
    </tableColumn>
    <tableColumn id="17" xr3:uid="{90ED0C0A-7F94-451D-B567-05C62BA27249}" name="Tosse" dataDxfId="67"/>
    <tableColumn id="60" xr3:uid="{2A3EF951-5A23-464B-9A75-0482293508C5}" name="NDD PER TOSSE (1=VUOTO)" dataDxfId="66">
      <calculatedColumnFormula>IF(ISERROR(SEARCH("NDD",Tabella2[[#This Row],[Tosse]],1)),0,1)</calculatedColumnFormula>
    </tableColumn>
    <tableColumn id="57" xr3:uid="{52EA887B-DCAF-4185-933D-87F8B37DC1D5}" name="NEGA TOSSE (1=NEGA)" dataDxfId="65">
      <calculatedColumnFormula>IF(ISERROR(SEARCH("NEGA",Tabella2[[#This Row],[Tosse]],1)),0,1)</calculatedColumnFormula>
    </tableColumn>
    <tableColumn id="58" xr3:uid="{D29F3906-3584-48B8-A1F8-D1AA30A9BBFD}" name="OCCASIONALMENTE TOSSE BINARIO (1=SI)" dataDxfId="64">
      <calculatedColumnFormula>IF(ISERROR(SEARCH("OCCASIONALMENTE",Tabella2[[#This Row],[Tosse]],1)),0,1)</calculatedColumnFormula>
    </tableColumn>
    <tableColumn id="61" xr3:uid="{A950B685-7380-450C-9C07-6BA83D78B213}" name="RARAMENTE TOSSE (1=RARAMENTE)" dataDxfId="63">
      <calculatedColumnFormula>IF(ISERROR(SEARCH("RARAMENTE",Tabella2[[#This Row],[Tosse]],1)),0,1)</calculatedColumnFormula>
    </tableColumn>
    <tableColumn id="59" xr3:uid="{02A2D89C-0951-44C7-BB35-263DDBA990F4}" name="SI TOSSE (1=SI)" dataDxfId="62">
      <calculatedColumnFormula>IF(ISERROR(SEARCH("SI",Tabella2[[#This Row],[Tosse]],1)),0,1)</calculatedColumnFormula>
    </tableColumn>
    <tableColumn id="18" xr3:uid="{F0DA72BC-D1C5-4C03-BBD2-A844A03734D4}" name="Espettorazione" dataDxfId="61"/>
    <tableColumn id="62" xr3:uid="{4A3F2BC0-4972-40FC-96C9-67A9A88467A5}" name="ESPETTORATO BINARIO (1=SI)" dataDxfId="60">
      <calculatedColumnFormula>IF(ISERROR(SEARCH("SI",Tabella2[[#This Row],[Espettorazione]],1)),0,1)</calculatedColumnFormula>
    </tableColumn>
    <tableColumn id="63" xr3:uid="{775B7949-0331-4E9F-844C-47BDBA2E26CD}" name="NEGA ESPETTORAZIONE BINARIO (1=NEGA)" dataDxfId="59">
      <calculatedColumnFormula>IF(ISERROR(SEARCH("NEGA",Tabella2[[#This Row],[Espettorazione]],1)),0,1)</calculatedColumnFormula>
    </tableColumn>
    <tableColumn id="64" xr3:uid="{68AB08D3-D46C-439D-BE55-9C1C9D2FCD84}" name="NDD ESPETTORAZIONE BINARIO (1=NDD)" dataDxfId="58">
      <calculatedColumnFormula>IF(ISERROR(SEARCH("NDD",Tabella2[[#This Row],[Espettorazione]],1)),0,1)</calculatedColumnFormula>
    </tableColumn>
    <tableColumn id="19" xr3:uid="{52D89AE3-C2C4-48E7-9191-AE45977BBBA7}" name="Risvegli notturni per affanno" dataDxfId="57"/>
    <tableColumn id="65" xr3:uid="{ADF6A646-AB22-4639-BD58-BAF1FE38AE25}" name="RISVEGLI NOTT BINARIO (1=SI, 0=NEGA)" dataDxfId="56"/>
    <tableColumn id="20" xr3:uid="{B48D8F47-03E0-4226-B368-F476D55E305C}" name="Dispnea da sforzo" dataDxfId="55"/>
    <tableColumn id="66" xr3:uid="{F6841BE2-E025-453A-8EE6-8E548A8611A9}" name="NON DISPNEA DA SFORZO BINARIO (1=NO)" dataDxfId="54">
      <calculatedColumnFormula>IF(ISERROR(SEARCH("NEGA",Tabella2[[#This Row],[Dispnea da sforzo]],1)),0,1)</calculatedColumnFormula>
    </tableColumn>
    <tableColumn id="67" xr3:uid="{D452E20F-50F6-4220-B98A-D92B718DA8C3}" name="DISPNEA DA SFORZO BINARIO (1=SI)" dataDxfId="53">
      <calculatedColumnFormula>IF(ISERROR(SEARCH("NEGA",Tabella2[[#This Row],[Dispnea da sforzo]],1)),1,0)</calculatedColumnFormula>
    </tableColumn>
    <tableColumn id="68" xr3:uid="{07F59CE4-F091-436A-AF76-6AF7302660D9}" name="SFORZI LIEVI" dataDxfId="52">
      <calculatedColumnFormula>IF(ISERROR(SEARCH("LIEVI",Tabella2[[#This Row],[Dispnea da sforzo]],1)),0,1)</calculatedColumnFormula>
    </tableColumn>
    <tableColumn id="69" xr3:uid="{83BBC5EF-A2E6-4543-B984-7547F7D32458}" name="SFORZI MODERATI" dataDxfId="51">
      <calculatedColumnFormula>IF(ISERROR(SEARCH("MODERATI",Tabella2[[#This Row],[Dispnea da sforzo]],1)),0,1)</calculatedColumnFormula>
    </tableColumn>
    <tableColumn id="70" xr3:uid="{8AD80ECF-502F-47AC-AA08-E16A4A343D1F}" name="SFORZI INTENSI" dataDxfId="50">
      <calculatedColumnFormula>IF(ISERROR(SEARCH("INTENSI",Tabella2[[#This Row],[Dispnea da sforzo]],1)),0,1)</calculatedColumnFormula>
    </tableColumn>
    <tableColumn id="21" xr3:uid="{88F301FB-1D7D-42D9-AB67-A62E0EDF2958}" name="Dispnea a riposo" dataDxfId="49"/>
    <tableColumn id="71" xr3:uid="{3F8585A5-1FE7-4969-A580-A38FAEBF5730}" name="DISPNEA A RIPOSO (1=NEGA)" dataDxfId="48">
      <calculatedColumnFormula>IF(ISERROR(SEARCH("NEGA",Tabella2[[#This Row],[Dispnea a riposo]],1)),0,1)</calculatedColumnFormula>
    </tableColumn>
    <tableColumn id="72" xr3:uid="{460379B5-88E2-4841-9A84-3708791F26C9}" name="DISPNEA A RIPOSO NDD BINARIO (1=NDD)" dataDxfId="47">
      <calculatedColumnFormula>IF(ISERROR(SEARCH("NDD",Tabella2[[#This Row],[Dispnea a riposo]],1)),0,1)</calculatedColumnFormula>
    </tableColumn>
    <tableColumn id="22" xr3:uid="{5E8C9CF8-67B4-40E6-9825-4B58F58ABACD}" name="Sintomi Rinitici" dataDxfId="46"/>
    <tableColumn id="73" xr3:uid="{6DC7BB8D-9D26-46A2-B736-12F69900B0C2}" name="SINTOMI RINITICI (1=SI)" dataDxfId="45"/>
    <tableColumn id="23" xr3:uid="{1E848EC9-2820-4328-9995-C1E4151E85C0}" name="Sintomi da reflusso gastroesofageo" dataDxfId="44"/>
    <tableColumn id="74" xr3:uid="{7A38C601-E8EF-489A-B2EB-4A35D93F742E}" name="GERD BINARIO (1=SI)" dataDxfId="43"/>
    <tableColumn id="24" xr3:uid="{47920A92-4E5D-4EAC-864C-D4CF3B22EA77}" name="Nicturia" dataDxfId="42"/>
    <tableColumn id="75" xr3:uid="{C2B90C3E-CF13-4898-A172-FA6B1F2FA4CD}" name="NICTURIA BINARIO (1=SI)" dataDxfId="41"/>
    <tableColumn id="25" xr3:uid="{67FC993E-5CDA-47A1-8D1C-E920A7EF1B3C}" name="Astenia" dataDxfId="40"/>
    <tableColumn id="76" xr3:uid="{DE77496F-9FC9-4F71-BB6D-3E0D91FB5823}" name="ASTENIA BINARIO (1=SI)" dataDxfId="39"/>
    <tableColumn id="26" xr3:uid="{96A3B0A8-8C74-4F9D-99FA-965986850AB7}" name="Turbe della memoria" dataDxfId="38"/>
    <tableColumn id="77" xr3:uid="{26B9F7A1-3B60-4737-8435-A0F42D43B054}" name="TURBE DELLA MEMORIA BINARIO (1=SI)" dataDxfId="37"/>
    <tableColumn id="27" xr3:uid="{27B5FBA6-E6A2-43BC-A251-EBFDF88F34FE}" name="Cefalea Mattutina" dataDxfId="36"/>
    <tableColumn id="78" xr3:uid="{46C3F208-B0B3-4115-ABA5-EBED928369B5}" name="CEFALEA MATTUTINA BINARIO (1=SI)" dataDxfId="35"/>
    <tableColumn id="28" xr3:uid="{E602A8BD-6EB2-4135-8069-10DC35BD3661}" name="Test di Epworth" dataDxfId="34"/>
    <tableColumn id="29" xr3:uid="{36AE84A1-7E0F-45F3-946D-FF4C72ADF4DF}" name="Altro" dataDxfId="33"/>
    <tableColumn id="107" xr3:uid="{4BBD3139-C0DC-4518-A2AD-394BEDB6E8BF}" name="CALO PONDERALE"/>
    <tableColumn id="102" xr3:uid="{5B7686DD-7966-4F98-A839-6445955849A1}" name="MIOCARDIOPT NON ISCHEMICHE"/>
    <tableColumn id="105" xr3:uid="{53EA1EE3-D9BA-4618-9E50-7C956AACA211}" name="CARDIOPATIA ISCHEMICA"/>
    <tableColumn id="106" xr3:uid="{4C4FC907-4030-45D2-A363-AA21D7F011AF}" name="ATEROSCLEROSI TSA"/>
    <tableColumn id="99" xr3:uid="{98FF32C1-C961-4A5D-ACC5-A30A16FECA43}" name="IPERTENSIONE"/>
    <tableColumn id="104" xr3:uid="{C62F9DCC-99E5-4463-B33B-A3A01383AE0C}" name="DISPLIPIDEMIA"/>
    <tableColumn id="100" xr3:uid="{9DAB7256-4D06-480C-869E-09EA8F934229}" name="FA"/>
    <tableColumn id="87" xr3:uid="{84C1C916-561D-46DF-8FC4-F90E4BA7F5DE}" name="DIABETE" dataDxfId="32"/>
    <tableColumn id="85" xr3:uid="{99A04E81-C799-4C95-B489-E049D12997F4}" name="ASMA" dataDxfId="31"/>
    <tableColumn id="86" xr3:uid="{6D7770BC-C62E-4393-B8D3-A0E43A1C2DBB}" name="BPCO" dataDxfId="30"/>
    <tableColumn id="88" xr3:uid="{8F9B823B-BBFF-4BF2-A375-C2D7F2DCE012}" name="CEREBRO VASCOLARI" dataDxfId="29"/>
    <tableColumn id="98" xr3:uid="{C1E781EC-336E-4B77-B820-AB47B228268B}" name="DERMATITE ATOPICA"/>
    <tableColumn id="89" xr3:uid="{7661A2D1-9C37-4FF5-B118-46FDF74D5598}" name="ALLERGIA A INALANTI" dataDxfId="28"/>
    <tableColumn id="103" xr3:uid="{752AF7D6-7A59-46FB-85C6-336BFF635A50}" name="REUMATOLOGICA"/>
    <tableColumn id="90" xr3:uid="{AE872F45-D373-4673-B27B-230A68E862A5}" name="REFLUSSO GE/ERNIA IATALE" dataDxfId="27"/>
    <tableColumn id="91" xr3:uid="{DFFA7B0D-33C7-4EF1-A684-ACA62D00AF6B}" name="STORIA DI TVP/TEP" dataDxfId="26"/>
    <tableColumn id="92" xr3:uid="{8187E52C-214C-43E8-81C8-504F5B5FC0E4}" name="OSAS NOTI" dataDxfId="25"/>
    <tableColumn id="95" xr3:uid="{C455A270-5F69-4F01-8D13-053D732DA2DA}" name="PARALISI DIAFRAMMATICA" dataDxfId="24"/>
    <tableColumn id="96" xr3:uid="{752337FA-4F6F-4D83-9792-E6A5C107D3C0}" name="RAF"/>
    <tableColumn id="97" xr3:uid="{2A65123C-E2C4-4C9A-9BB1-1E79EED4A5ED}" name="EMATOLOGICHE"/>
    <tableColumn id="108" xr3:uid="{FC6B9C33-2C70-41A0-874F-05CD4280E7E4}" name="STORIA ONCLOGICA"/>
    <tableColumn id="30" xr3:uid="{76E62699-83EB-45D7-AB76-973ADD735413}" name="BMI" dataDxfId="23"/>
    <tableColumn id="31" xr3:uid="{3E70E1E1-81FE-452A-97B0-B784E0C32FFD}" name="relazione cf" dataDxfId="22"/>
    <tableColumn id="32" xr3:uid="{2CAB030A-BFDD-4FE6-A03C-435C79DEA9F2}" name="Sat O2" dataDxfId="21"/>
    <tableColumn id="33" xr3:uid="{F3472F01-F28E-45A2-9F2F-13DBE0116FFA}" name="FC" dataDxfId="20"/>
    <tableColumn id="34" xr3:uid="{4B4B08D3-5681-42A4-8215-4FB8C4C32C19}" name="Obiettività Generale" dataDxfId="19"/>
    <tableColumn id="35" xr3:uid="{22CD18C1-1358-4C80-8FA5-975653211844}" name="Obiettività toracica" dataDxfId="18"/>
    <tableColumn id="36" xr3:uid="{302FD882-FA3C-4BBE-B585-09CECB21BE6B}" name="Compliance" dataDxfId="17"/>
    <tableColumn id="80" xr3:uid="{EEB1C868-4D4C-4A95-B5AF-4D22844E7659}" name="COMPLIANCE NDD BINARIO" dataDxfId="16"/>
    <tableColumn id="81" xr3:uid="{9F78CF72-F0B0-4F2A-92D0-88348F776941}" name="COMPLIANCE BUONA BINARIO" dataDxfId="15"/>
    <tableColumn id="82" xr3:uid="{A1893D7D-CAC4-4D78-B45E-9A787624689A}" name="INADEGUATA COMPLIANCE BINARIO" dataDxfId="14"/>
    <tableColumn id="83" xr3:uid="{E1D8C150-F861-41D9-A5A8-A6D53016EAB4}" name="OTTIMALE COMPLIANCE BINARIO" dataDxfId="13"/>
    <tableColumn id="37" xr3:uid="{54265F74-9A35-46A2-87EE-E60AD5DC37B5}" name="Monitorata con" dataDxfId="12"/>
    <tableColumn id="38" xr3:uid="{3F9A30AB-BAE3-41D5-B53F-F549121AE5EF}" name="% giorni di terapia/tempo valutato" dataDxfId="11"/>
    <tableColumn id="84" xr3:uid="{831F77DC-00E8-4DCC-966D-639CD955BA3F}" name="% giorni di terapia/tempo valutato MEDIA" dataDxfId="10" dataCellStyle="Percentuale"/>
    <tableColumn id="39" xr3:uid="{4184FB36-64AA-40E2-AE7D-47C5093466A2}" name="Durata media terapia giornaliera" dataDxfId="9"/>
    <tableColumn id="40" xr3:uid="{76EAFB7F-C18F-45B8-9AA3-875FD68871DE}" name="AHI stimato" dataDxfId="8"/>
    <tableColumn id="41" xr3:uid="{A94B27FB-B368-4791-AAE2-C63D2561D4C0}" name="Perdite totali" dataDxfId="7"/>
    <tableColumn id="42" xr3:uid="{1252C8BC-4B10-4F53-8979-5D10CC4F30FA}" name="Sonnolenza diurna" dataDxfId="6"/>
    <tableColumn id="79" xr3:uid="{AA3E2A86-205C-41EC-ABA8-718F5637B3C4}" name="SONNOLENZA DIURNA BINARIO" dataDxfId="5"/>
    <tableColumn id="43" xr3:uid="{5AFA63AC-6DB5-4889-B695-BB646B0F10B8}" name="Giudizio" dataDxfId="4"/>
    <tableColumn id="44" xr3:uid="{13A82E8F-4CD1-475F-B11A-A81DABAC47A7}" name="Si consiglia" dataDxfId="3"/>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4715-A6DE-43CC-98AD-DE69FCDCB941}">
  <dimension ref="A1:CV336"/>
  <sheetViews>
    <sheetView topLeftCell="BA10" zoomScale="70" zoomScaleNormal="70" workbookViewId="0">
      <selection activeCell="BG1" sqref="BG1"/>
    </sheetView>
  </sheetViews>
  <sheetFormatPr defaultColWidth="8.875" defaultRowHeight="14.25"/>
  <cols>
    <col min="1" max="1" width="20.875" style="1" bestFit="1" customWidth="1"/>
    <col min="2" max="2" width="12.875" style="1" bestFit="1" customWidth="1"/>
    <col min="3" max="3" width="15.625" style="1" bestFit="1" customWidth="1"/>
    <col min="4" max="4" width="37.5" style="1" bestFit="1" customWidth="1"/>
    <col min="5" max="5" width="15.5" style="1" customWidth="1"/>
    <col min="6" max="6" width="15.5" style="28" customWidth="1"/>
    <col min="7" max="7" width="20.125" style="1" bestFit="1" customWidth="1"/>
    <col min="8" max="8" width="49.125" style="1" customWidth="1"/>
    <col min="9" max="9" width="69.125" style="1" customWidth="1"/>
    <col min="10" max="10" width="84.875" style="1" customWidth="1"/>
    <col min="11" max="11" width="45.875" style="1" customWidth="1"/>
    <col min="12" max="12" width="24.125" style="1" bestFit="1" customWidth="1"/>
    <col min="13" max="13" width="42.375" style="1" bestFit="1" customWidth="1"/>
    <col min="14" max="14" width="23.375" style="1" bestFit="1" customWidth="1"/>
    <col min="15" max="15" width="42.375" style="1" customWidth="1"/>
    <col min="16" max="16" width="17.125" style="1" bestFit="1" customWidth="1"/>
    <col min="17" max="19" width="17.125" style="1" customWidth="1"/>
    <col min="20" max="20" width="23.5" style="1" bestFit="1" customWidth="1"/>
    <col min="21" max="21" width="13.25" style="20" bestFit="1" customWidth="1"/>
    <col min="22" max="22" width="21.5" style="20" bestFit="1" customWidth="1"/>
    <col min="23" max="23" width="21.5" style="20" customWidth="1"/>
    <col min="24" max="24" width="45.25" style="1" bestFit="1" customWidth="1"/>
    <col min="25" max="25" width="13.5" style="1" bestFit="1" customWidth="1"/>
    <col min="26" max="29" width="13.5" style="1" customWidth="1"/>
    <col min="30" max="30" width="34.625" style="1" bestFit="1" customWidth="1"/>
    <col min="31" max="31" width="32.875" style="1" bestFit="1" customWidth="1"/>
    <col min="32" max="32" width="17.25" style="1" bestFit="1" customWidth="1"/>
    <col min="33" max="33" width="21.25" style="1" bestFit="1" customWidth="1"/>
    <col min="34" max="34" width="15.75" style="1" bestFit="1" customWidth="1"/>
    <col min="35" max="35" width="26.875" style="1" customWidth="1"/>
    <col min="36" max="36" width="32.875" style="1" customWidth="1"/>
    <col min="37" max="37" width="27.875" style="1" bestFit="1" customWidth="1"/>
    <col min="38" max="38" width="14.875" style="1" bestFit="1" customWidth="1"/>
    <col min="39" max="39" width="22.75" style="1" customWidth="1"/>
    <col min="40" max="40" width="14.875" style="1" bestFit="1" customWidth="1"/>
    <col min="41" max="41" width="14.875" style="1" customWidth="1"/>
    <col min="42" max="42" width="45.5" style="1" customWidth="1"/>
    <col min="43" max="43" width="23.75" style="20" bestFit="1" customWidth="1"/>
    <col min="44" max="44" width="43.125" style="1" bestFit="1" customWidth="1"/>
    <col min="45" max="45" width="21" style="1" customWidth="1"/>
    <col min="46" max="46" width="17" style="1" customWidth="1"/>
    <col min="47" max="47" width="36" style="1" customWidth="1"/>
    <col min="48" max="48" width="25.25" style="20" bestFit="1" customWidth="1"/>
    <col min="49" max="49" width="25.25" style="20" customWidth="1"/>
    <col min="50" max="50" width="26" style="1" bestFit="1" customWidth="1"/>
    <col min="51" max="51" width="21.375" style="20" bestFit="1" customWidth="1"/>
    <col min="52" max="55" width="21.375" style="20" customWidth="1"/>
    <col min="56" max="56" width="22.625" style="1" bestFit="1" customWidth="1"/>
    <col min="57" max="57" width="15" style="20" bestFit="1" customWidth="1"/>
    <col min="58" max="58" width="13.5" style="1" bestFit="1" customWidth="1"/>
    <col min="59" max="59" width="14.875" style="20" bestFit="1" customWidth="1"/>
    <col min="60" max="60" width="51.5" style="1" customWidth="1"/>
    <col min="61" max="61" width="25.125" style="1" bestFit="1" customWidth="1"/>
    <col min="62" max="62" width="25.125" style="1" customWidth="1"/>
    <col min="63" max="63" width="39.5" style="1" bestFit="1" customWidth="1"/>
    <col min="64" max="64" width="25.125" style="1" customWidth="1"/>
    <col min="65" max="65" width="14.875" style="1" bestFit="1" customWidth="1"/>
    <col min="66" max="66" width="14.875" style="1" customWidth="1"/>
    <col min="67" max="67" width="59.125" style="1" customWidth="1"/>
    <col min="68" max="68" width="82.75" style="1" bestFit="1" customWidth="1"/>
    <col min="69" max="69" width="99.25" style="1" bestFit="1" customWidth="1"/>
    <col min="70" max="70" width="19.25" style="20" bestFit="1" customWidth="1"/>
    <col min="71" max="71" width="97.875" style="1" bestFit="1" customWidth="1"/>
    <col min="72" max="72" width="105.125" style="1" bestFit="1" customWidth="1"/>
    <col min="73" max="73" width="20.125" style="1" bestFit="1" customWidth="1"/>
    <col min="74" max="74" width="20.125" style="1" customWidth="1"/>
    <col min="75" max="75" width="25.5" style="1" bestFit="1" customWidth="1"/>
    <col min="76" max="76" width="20.125" style="20" bestFit="1" customWidth="1"/>
    <col min="77" max="77" width="90.625" style="1" bestFit="1" customWidth="1"/>
    <col min="78" max="78" width="20.125" style="1" bestFit="1" customWidth="1"/>
    <col min="79" max="79" width="80.25" style="1" customWidth="1"/>
    <col min="80" max="80" width="20.125" style="20" bestFit="1" customWidth="1"/>
    <col min="81" max="81" width="45" style="1" bestFit="1" customWidth="1"/>
    <col min="82" max="82" width="34.5" style="1" bestFit="1" customWidth="1"/>
    <col min="83" max="83" width="86.25" style="1" bestFit="1" customWidth="1"/>
    <col min="84" max="84" width="37.125" style="1" customWidth="1"/>
    <col min="85" max="85" width="53.625" style="1" customWidth="1"/>
    <col min="86" max="86" width="26" style="1" customWidth="1"/>
    <col min="87" max="87" width="32.625" style="1" bestFit="1" customWidth="1"/>
    <col min="88" max="88" width="32.625" style="1" customWidth="1"/>
    <col min="89" max="89" width="31" style="1" bestFit="1" customWidth="1"/>
    <col min="90" max="90" width="31" style="1" customWidth="1"/>
    <col min="91" max="91" width="18.5" style="1" bestFit="1" customWidth="1"/>
    <col min="92" max="92" width="31" style="1" bestFit="1" customWidth="1"/>
    <col min="93" max="93" width="63.5" style="1" bestFit="1" customWidth="1"/>
    <col min="94" max="94" width="39" style="1" bestFit="1" customWidth="1"/>
    <col min="95" max="95" width="41.75" style="1" customWidth="1"/>
    <col min="96" max="96" width="28.625" style="1" customWidth="1"/>
    <col min="97" max="16384" width="8.875" style="1"/>
  </cols>
  <sheetData>
    <row r="1" spans="1:100" s="73" customFormat="1" ht="60.75" thickBot="1">
      <c r="A1" s="73" t="s">
        <v>3680</v>
      </c>
      <c r="B1" s="74" t="s">
        <v>3681</v>
      </c>
      <c r="C1" s="75" t="s">
        <v>3641</v>
      </c>
      <c r="D1" s="75" t="s">
        <v>3642</v>
      </c>
      <c r="E1" s="75" t="s">
        <v>3643</v>
      </c>
      <c r="F1" s="76" t="s">
        <v>3685</v>
      </c>
      <c r="G1" s="75" t="s">
        <v>3644</v>
      </c>
      <c r="H1" s="75" t="s">
        <v>3645</v>
      </c>
      <c r="I1" s="75" t="s">
        <v>3646</v>
      </c>
      <c r="J1" s="75" t="s">
        <v>3647</v>
      </c>
      <c r="K1" s="75" t="s">
        <v>3648</v>
      </c>
      <c r="L1" s="75" t="s">
        <v>5595</v>
      </c>
      <c r="M1" s="75" t="s">
        <v>5633</v>
      </c>
      <c r="N1" s="75" t="s">
        <v>5634</v>
      </c>
      <c r="O1" s="75" t="s">
        <v>5635</v>
      </c>
      <c r="P1" s="75" t="s">
        <v>5638</v>
      </c>
      <c r="Q1" s="75" t="s">
        <v>5636</v>
      </c>
      <c r="R1" s="75" t="s">
        <v>5637</v>
      </c>
      <c r="S1" s="75" t="s">
        <v>5640</v>
      </c>
      <c r="T1" s="75" t="s">
        <v>5639</v>
      </c>
      <c r="U1" s="75" t="s">
        <v>3649</v>
      </c>
      <c r="V1" s="77" t="s">
        <v>3686</v>
      </c>
      <c r="W1" s="77" t="s">
        <v>3691</v>
      </c>
      <c r="X1" s="77" t="s">
        <v>3692</v>
      </c>
      <c r="Y1" s="75" t="s">
        <v>3650</v>
      </c>
      <c r="Z1" s="75" t="s">
        <v>5641</v>
      </c>
      <c r="AA1" s="75" t="s">
        <v>3700</v>
      </c>
      <c r="AB1" s="75" t="s">
        <v>3701</v>
      </c>
      <c r="AC1" s="75" t="s">
        <v>3702</v>
      </c>
      <c r="AD1" s="75" t="s">
        <v>3703</v>
      </c>
      <c r="AE1" s="75" t="s">
        <v>3651</v>
      </c>
      <c r="AF1" s="75" t="s">
        <v>5643</v>
      </c>
      <c r="AG1" s="75" t="s">
        <v>5642</v>
      </c>
      <c r="AH1" s="75" t="s">
        <v>5699</v>
      </c>
      <c r="AI1" s="75" t="s">
        <v>5700</v>
      </c>
      <c r="AJ1" s="75" t="s">
        <v>5701</v>
      </c>
      <c r="AK1" s="75" t="s">
        <v>3652</v>
      </c>
      <c r="AL1" s="75" t="s">
        <v>3717</v>
      </c>
      <c r="AM1" s="75" t="s">
        <v>3653</v>
      </c>
      <c r="AN1" s="75" t="s">
        <v>3723</v>
      </c>
      <c r="AO1" s="75" t="s">
        <v>3654</v>
      </c>
      <c r="AP1" s="75" t="s">
        <v>3725</v>
      </c>
      <c r="AQ1" s="75" t="s">
        <v>3724</v>
      </c>
      <c r="AR1" s="75" t="s">
        <v>3655</v>
      </c>
      <c r="AS1" s="77" t="s">
        <v>3750</v>
      </c>
      <c r="AT1" s="75" t="s">
        <v>3656</v>
      </c>
      <c r="AU1" s="77" t="s">
        <v>3757</v>
      </c>
      <c r="AV1" s="77" t="s">
        <v>3758</v>
      </c>
      <c r="AW1" s="75" t="s">
        <v>3657</v>
      </c>
      <c r="AX1" s="77" t="s">
        <v>3761</v>
      </c>
      <c r="AY1" s="77" t="s">
        <v>3762</v>
      </c>
      <c r="AZ1" s="75" t="s">
        <v>3658</v>
      </c>
      <c r="BA1" s="75" t="s">
        <v>5702</v>
      </c>
      <c r="BB1" s="77" t="s">
        <v>3784</v>
      </c>
      <c r="BC1" s="77" t="s">
        <v>3785</v>
      </c>
      <c r="BD1" s="77" t="s">
        <v>3786</v>
      </c>
      <c r="BE1" s="77" t="s">
        <v>3788</v>
      </c>
      <c r="BF1" s="77" t="s">
        <v>3796</v>
      </c>
      <c r="BG1" s="75" t="s">
        <v>3659</v>
      </c>
      <c r="BH1" s="75" t="s">
        <v>3682</v>
      </c>
      <c r="BI1" s="75" t="s">
        <v>3660</v>
      </c>
      <c r="BJ1" s="77" t="s">
        <v>3797</v>
      </c>
      <c r="BK1" s="75" t="s">
        <v>3661</v>
      </c>
      <c r="BL1" s="75" t="s">
        <v>5703</v>
      </c>
      <c r="BM1" s="75" t="s">
        <v>3798</v>
      </c>
      <c r="BN1" s="75" t="s">
        <v>1063</v>
      </c>
      <c r="BO1" s="75" t="s">
        <v>3825</v>
      </c>
      <c r="BP1" s="75" t="s">
        <v>3828</v>
      </c>
      <c r="BQ1" s="75" t="s">
        <v>3575</v>
      </c>
      <c r="BR1" s="75" t="s">
        <v>439</v>
      </c>
      <c r="BS1" s="75" t="s">
        <v>3662</v>
      </c>
      <c r="BT1" s="75" t="s">
        <v>3663</v>
      </c>
      <c r="BU1" s="75" t="s">
        <v>3664</v>
      </c>
      <c r="BV1" s="75" t="s">
        <v>5704</v>
      </c>
      <c r="BW1" s="77" t="s">
        <v>3832</v>
      </c>
      <c r="BX1" s="75" t="s">
        <v>3665</v>
      </c>
      <c r="BY1" s="75" t="s">
        <v>2874</v>
      </c>
      <c r="BZ1" s="75" t="s">
        <v>3833</v>
      </c>
      <c r="CA1" s="75" t="s">
        <v>3666</v>
      </c>
      <c r="CB1" s="75" t="s">
        <v>3834</v>
      </c>
      <c r="CC1" s="75" t="s">
        <v>3667</v>
      </c>
      <c r="CD1" s="75" t="s">
        <v>3835</v>
      </c>
      <c r="CE1" s="75" t="s">
        <v>3668</v>
      </c>
      <c r="CF1" s="77" t="s">
        <v>3836</v>
      </c>
      <c r="CG1" s="75" t="s">
        <v>3669</v>
      </c>
      <c r="CH1" s="75" t="s">
        <v>3838</v>
      </c>
      <c r="CI1" s="75" t="s">
        <v>3670</v>
      </c>
      <c r="CJ1" s="75" t="s">
        <v>3839</v>
      </c>
      <c r="CK1" s="75" t="s">
        <v>3671</v>
      </c>
      <c r="CL1" s="75" t="s">
        <v>3840</v>
      </c>
      <c r="CM1" s="75" t="s">
        <v>3672</v>
      </c>
      <c r="CN1" s="75" t="s">
        <v>3841</v>
      </c>
      <c r="CO1" s="75" t="s">
        <v>3673</v>
      </c>
      <c r="CP1" s="75" t="s">
        <v>3842</v>
      </c>
      <c r="CQ1" s="75" t="s">
        <v>3674</v>
      </c>
      <c r="CR1" s="75" t="s">
        <v>3675</v>
      </c>
      <c r="CS1" s="75" t="s">
        <v>3676</v>
      </c>
      <c r="CT1" s="75" t="s">
        <v>3677</v>
      </c>
      <c r="CU1" s="75" t="s">
        <v>3678</v>
      </c>
      <c r="CV1" s="78" t="s">
        <v>3679</v>
      </c>
    </row>
    <row r="2" spans="1:100" ht="103.15" customHeight="1" thickTop="1" thickBot="1">
      <c r="A2" s="1">
        <v>1</v>
      </c>
      <c r="B2" s="5">
        <v>13</v>
      </c>
      <c r="C2" s="6">
        <v>44224</v>
      </c>
      <c r="D2" s="7" t="s">
        <v>0</v>
      </c>
      <c r="E2" s="6">
        <v>31090</v>
      </c>
      <c r="F2" s="29">
        <f ca="1">_xlfn.DAYS(NOW(),Tabella1[[#This Row],[Data di Nascita]])/365.25</f>
        <v>40.473648186173854</v>
      </c>
      <c r="G2" s="7" t="s">
        <v>1</v>
      </c>
      <c r="H2" s="7" t="s">
        <v>2</v>
      </c>
      <c r="I2" s="7" t="s">
        <v>3</v>
      </c>
      <c r="J2" s="7" t="s">
        <v>4</v>
      </c>
      <c r="K2" s="7" t="s">
        <v>5</v>
      </c>
      <c r="L2" s="17">
        <f>IF(ISERROR(SEARCH("EX",Tabella1[[#This Row],[Attività lavorativa]],1)),0,1)</f>
        <v>0</v>
      </c>
      <c r="M2" s="59"/>
      <c r="N2" s="17">
        <v>1</v>
      </c>
      <c r="O2" s="17"/>
      <c r="P2" s="17"/>
      <c r="Q2" s="17"/>
      <c r="R2" s="17"/>
      <c r="S2" s="17"/>
      <c r="T2" s="17">
        <f>IF(ISERROR(SEARCH("NDD",Tabella1[[#This Row],[Attività lavorativa]],1)),0,1)</f>
        <v>0</v>
      </c>
      <c r="U2" s="7" t="s">
        <v>6</v>
      </c>
      <c r="V2" s="22">
        <v>5</v>
      </c>
      <c r="W2" s="22">
        <f>IF(ISERROR(SEARCH("ex",Tabella1[[#This Row],[Fumo]],1)),0,1)</f>
        <v>1</v>
      </c>
      <c r="X2" s="22">
        <f>IF(ISERROR(SEARCH("no",Tabella1[[#This Row],[Fumo]],1)),0,1)</f>
        <v>0</v>
      </c>
      <c r="Y2" s="7" t="s">
        <v>7</v>
      </c>
      <c r="Z2" s="17">
        <f>IF(ISERROR(SEARCH("NDD",Tabella1[[#This Row],[Bevitore alcolici]],1)),0,1)</f>
        <v>0</v>
      </c>
      <c r="AA2" s="17">
        <f>IF(ISERROR(SEARCH("raro",Tabella1[[#This Row],[Bevitore alcolici]],1)),0,1)</f>
        <v>0</v>
      </c>
      <c r="AB2" s="17">
        <f>IF(ISERROR(SEARCH("saltuariamente",Tabella1[[#This Row],[Bevitore alcolici]],1)),0,1)</f>
        <v>0</v>
      </c>
      <c r="AC2" s="17">
        <f>IF(ISERROR(SEARCH("nega",Tabella1[[#This Row],[Bevitore alcolici]],1)),0,1)</f>
        <v>0</v>
      </c>
      <c r="AD2" s="17">
        <f>IF(ISERROR(SEARCH("potus",Tabella1[[#This Row],[Bevitore alcolici]],1)),0,1)</f>
        <v>0</v>
      </c>
      <c r="AE2" s="7" t="s">
        <v>657</v>
      </c>
      <c r="AF2" s="17"/>
      <c r="AG2" s="17"/>
      <c r="AH2" s="17"/>
      <c r="AI2" s="17"/>
      <c r="AJ2" s="17"/>
      <c r="AK2" s="7" t="s">
        <v>28</v>
      </c>
      <c r="AL2" s="17">
        <f>IF(ISERROR(SEARCH("si",Tabella1[[#This Row],[Patente di guida]],1)),0,1)</f>
        <v>1</v>
      </c>
      <c r="AM2" s="7" t="s">
        <v>8</v>
      </c>
      <c r="AN2" s="17">
        <f>IF(ISERROR(SEARCH("no",Tabella1[[#This Row],[Ipertensione]],1)),0,1)</f>
        <v>1</v>
      </c>
      <c r="AO2" s="7" t="s">
        <v>382</v>
      </c>
      <c r="AP2" s="18">
        <f>IF(ISERROR(SEARCH("NO",Tabella1[[#This Row],[Cardiopatia ischemica]],1)),1,0)</f>
        <v>0</v>
      </c>
      <c r="AQ2" s="17">
        <f>IF(ISERROR(SEARCH("sconosciuto",Tabella1[[#This Row],[Cardiopatia ischemica]],1)),0,1)</f>
        <v>0</v>
      </c>
      <c r="AR2" s="7" t="s">
        <v>25</v>
      </c>
      <c r="AS2" s="17">
        <f>IF(ISERROR(SEARCH("nega",Tabella1[[#This Row],[Artimie]],1)),0,1)</f>
        <v>1</v>
      </c>
      <c r="AT2" s="7" t="s">
        <v>3755</v>
      </c>
      <c r="AU2" s="17">
        <f>IF(ISERROR(SEARCH("nega",Tabella1[[#This Row],[Ipercolesterolemia]],1)),0,1)</f>
        <v>0</v>
      </c>
      <c r="AV2" s="17">
        <f>IF(ISERROR(SEARCH("boh",Tabella1[[#This Row],[Ipercolesterolemia]],1)),0,1)</f>
        <v>1</v>
      </c>
      <c r="AW2" s="7" t="s">
        <v>8</v>
      </c>
      <c r="AX2" s="17">
        <f>IF(ISERROR(SEARCH("Intolleranza",Tabella1[[#This Row],[Diabete]],1)),0,1)</f>
        <v>0</v>
      </c>
      <c r="AY2" s="17">
        <f>IF(ISERROR(SEARCH("si",Tabella1[[#This Row],[Diabete]],1)),0,1)</f>
        <v>0</v>
      </c>
      <c r="AZ2" s="7" t="s">
        <v>8</v>
      </c>
      <c r="BA2" s="17">
        <f>IF(ISERROR(SEARCH("NDD",Tabella1[[#This Row],[Patologia Tiroidea]],1)),0,1)</f>
        <v>0</v>
      </c>
      <c r="BB2" s="17">
        <f>IF(ISERROR(SEARCH("TIROIDITE",Tabella1[[#This Row],[Patologia Tiroidea]],1)),0,1)</f>
        <v>0</v>
      </c>
      <c r="BC2" s="17">
        <f>IF(ISERROR(SEARCH("HASHIMOTO",Tabella1[[#This Row],[Patologia Tiroidea]],1)),0,1)</f>
        <v>0</v>
      </c>
      <c r="BD2" s="17">
        <f>IF(ISERROR(SEARCH("BASEDOW",Tabella1[[#This Row],[Patologia Tiroidea]],1)),0,1)</f>
        <v>0</v>
      </c>
      <c r="BE2" s="17">
        <f>IF(ISERROR(SEARCH("NOD",Tabella1[[#This Row],[Patologia Tiroidea]],1)),0,1)</f>
        <v>0</v>
      </c>
      <c r="BF2" s="17">
        <f>IF(ISERROR(SEARCH("GOZ",Tabella1[[#This Row],[Patologia Tiroidea]],1)),0,1)</f>
        <v>0</v>
      </c>
      <c r="BG2" s="7" t="s">
        <v>7</v>
      </c>
      <c r="BH2" s="17">
        <f>IF(Tabella1[[#This Row],[Obesità]]="no",0,1)</f>
        <v>1</v>
      </c>
      <c r="BI2" s="7" t="s">
        <v>7</v>
      </c>
      <c r="BJ2" s="22">
        <f>IF(ISERROR(SEARCH("nega",Tabella1[[#This Row],[Reflusso gastroesofageo]],1)),1,0)</f>
        <v>1</v>
      </c>
      <c r="BK2" s="7" t="s">
        <v>3800</v>
      </c>
      <c r="BL2" s="17">
        <f>IF(ISERROR(SEARCH("NDD",Tabella1[[#This Row],[Patologia respiratoria]],1)),0,1)</f>
        <v>0</v>
      </c>
      <c r="BM2" s="17">
        <f>IF(ISERROR(SEARCH("asma",Tabella1[[#This Row],[Patologia respiratoria]],1)),0,1)</f>
        <v>1</v>
      </c>
      <c r="BN2" s="17">
        <f>IF(ISERROR(SEARCH("BPCO",Tabella1[[#This Row],[Patologia respiratoria]],1)),0,1)</f>
        <v>0</v>
      </c>
      <c r="BO2" s="17">
        <f>IF(ISERROR(SEARCH("BRONCOPOLMONITE",Tabella1[[#This Row],[Patologia respiratoria]],1)),0,1)</f>
        <v>0</v>
      </c>
      <c r="BP2" s="17">
        <f>IF(ISERROR(SEARCH("ASMA, OSAS",Tabella1[[#This Row],[Patologia respiratoria]],1)),0,1)</f>
        <v>0</v>
      </c>
      <c r="BQ2" s="17">
        <f>IF(ISERROR(SEARCH("OSAS e BPCO",Tabella1[[#This Row],[Patologia respiratoria]],1)),0,1)</f>
        <v>0</v>
      </c>
      <c r="BR2" s="17">
        <f>IF(ISERROR(SEARCH("OSAS",Tabella1[[#This Row],[Patologia respiratoria]],1)),0,1)</f>
        <v>0</v>
      </c>
      <c r="BS2" s="7"/>
      <c r="BT2" s="7" t="s">
        <v>9</v>
      </c>
      <c r="BU2" s="7" t="s">
        <v>5477</v>
      </c>
      <c r="BV2" s="17">
        <f>IF(ISERROR(SEARCH("ndd",Tabella1[[#This Row],[O2 terapia]],1)),0,1)</f>
        <v>1</v>
      </c>
      <c r="BW2" s="17"/>
      <c r="BX2" s="7" t="s">
        <v>10</v>
      </c>
      <c r="BY2" s="7" t="s">
        <v>11</v>
      </c>
      <c r="BZ2" s="17">
        <v>1</v>
      </c>
      <c r="CA2" s="7" t="s">
        <v>5477</v>
      </c>
      <c r="CB2" s="17"/>
      <c r="CC2" s="7" t="s">
        <v>7</v>
      </c>
      <c r="CD2" s="17">
        <v>1</v>
      </c>
      <c r="CE2" s="7" t="s">
        <v>7</v>
      </c>
      <c r="CF2" s="17">
        <v>1</v>
      </c>
      <c r="CG2" s="7" t="s">
        <v>8</v>
      </c>
      <c r="CH2" s="17">
        <v>0</v>
      </c>
      <c r="CI2" s="7" t="s">
        <v>7</v>
      </c>
      <c r="CJ2" s="17">
        <v>1</v>
      </c>
      <c r="CK2" s="7" t="s">
        <v>12</v>
      </c>
      <c r="CL2" s="17">
        <v>1</v>
      </c>
      <c r="CM2" s="7" t="s">
        <v>7</v>
      </c>
      <c r="CN2" s="17">
        <v>1</v>
      </c>
      <c r="CO2" s="7" t="s">
        <v>7</v>
      </c>
      <c r="CP2" s="17">
        <v>1</v>
      </c>
      <c r="CQ2" s="7" t="s">
        <v>13</v>
      </c>
      <c r="CR2" s="7" t="s">
        <v>14</v>
      </c>
      <c r="CS2" s="7" t="s">
        <v>15</v>
      </c>
      <c r="CT2" s="7" t="s">
        <v>16</v>
      </c>
      <c r="CU2" s="7" t="s">
        <v>17</v>
      </c>
      <c r="CV2" s="8" t="s">
        <v>18</v>
      </c>
    </row>
    <row r="3" spans="1:100" ht="371.25" thickTop="1">
      <c r="A3" s="1">
        <f t="shared" ref="A3:A66" si="0">A2+1</f>
        <v>2</v>
      </c>
      <c r="B3" s="9">
        <v>21</v>
      </c>
      <c r="C3" s="10">
        <v>44238</v>
      </c>
      <c r="D3" s="11" t="s">
        <v>19</v>
      </c>
      <c r="E3" s="10">
        <v>24246</v>
      </c>
      <c r="F3" s="29">
        <f ca="1">_xlfn.DAYS(NOW(),Tabella1[[#This Row],[Data di Nascita]])/365.25</f>
        <v>59.211498973305957</v>
      </c>
      <c r="G3" s="11" t="s">
        <v>20</v>
      </c>
      <c r="H3" s="11" t="s">
        <v>21</v>
      </c>
      <c r="I3" s="11" t="s">
        <v>22</v>
      </c>
      <c r="J3" s="11" t="s">
        <v>23</v>
      </c>
      <c r="K3" s="11" t="s">
        <v>24</v>
      </c>
      <c r="L3" s="18">
        <f>IF(ISERROR(SEARCH("EX",Tabella1[[#This Row],[Attività lavorativa]],1)),0,1)</f>
        <v>0</v>
      </c>
      <c r="M3" s="18"/>
      <c r="N3" s="18"/>
      <c r="O3" s="18"/>
      <c r="P3" s="18">
        <v>1</v>
      </c>
      <c r="Q3" s="18"/>
      <c r="R3" s="18"/>
      <c r="S3" s="18"/>
      <c r="T3" s="17">
        <f>IF(ISERROR(SEARCH("NDD",Tabella1[[#This Row],[Attività lavorativa]],1)),0,1)</f>
        <v>0</v>
      </c>
      <c r="U3" s="11" t="s">
        <v>8</v>
      </c>
      <c r="V3" s="22" t="s">
        <v>3687</v>
      </c>
      <c r="W3" s="22">
        <f>IF(ISERROR(SEARCH("ex",Tabella1[[#This Row],[Fumo]],1)),0,1)</f>
        <v>0</v>
      </c>
      <c r="X3" s="26">
        <f>IF(ISERROR(SEARCH("no",Tabella1[[#This Row],[Fumo]],1)),0,1)</f>
        <v>1</v>
      </c>
      <c r="Y3" s="11" t="s">
        <v>26</v>
      </c>
      <c r="Z3" s="18">
        <f>IF(ISERROR(SEARCH("NDD",Tabella1[[#This Row],[Bevitore alcolici]],1)),0,1)</f>
        <v>0</v>
      </c>
      <c r="AA3" s="17">
        <f>IF(ISERROR(SEARCH("raro",Tabella1[[#This Row],[Bevitore alcolici]],1)),0,1)</f>
        <v>0</v>
      </c>
      <c r="AB3" s="17">
        <f>IF(ISERROR(SEARCH("saltuariamente",Tabella1[[#This Row],[Bevitore alcolici]],1)),0,1)</f>
        <v>1</v>
      </c>
      <c r="AC3" s="17">
        <f>IF(ISERROR(SEARCH("nega",Tabella1[[#This Row],[Bevitore alcolici]],1)),0,1)</f>
        <v>0</v>
      </c>
      <c r="AD3" s="17">
        <f>IF(ISERROR(SEARCH("potus",Tabella1[[#This Row],[Bevitore alcolici]],1)),0,1)</f>
        <v>0</v>
      </c>
      <c r="AE3" s="11" t="s">
        <v>27</v>
      </c>
      <c r="AF3" s="18"/>
      <c r="AG3" s="18"/>
      <c r="AH3" s="18">
        <v>1</v>
      </c>
      <c r="AI3" s="18"/>
      <c r="AJ3" s="18"/>
      <c r="AK3" s="11" t="s">
        <v>28</v>
      </c>
      <c r="AL3" s="18">
        <f>IF(ISERROR(SEARCH("si",Tabella1[[#This Row],[Patente di guida]],1)),0,1)</f>
        <v>1</v>
      </c>
      <c r="AM3" s="11" t="s">
        <v>28</v>
      </c>
      <c r="AN3" s="18">
        <f>IF(ISERROR(SEARCH("no",Tabella1[[#This Row],[Ipertensione]],1)),0,1)</f>
        <v>0</v>
      </c>
      <c r="AO3" s="11" t="s">
        <v>382</v>
      </c>
      <c r="AP3" s="18">
        <f>IF(ISERROR(SEARCH("NO",Tabella1[[#This Row],[Cardiopatia ischemica]],1)),1,0)</f>
        <v>0</v>
      </c>
      <c r="AQ3" s="17">
        <f>IF(ISERROR(SEARCH("sconosciuto",Tabella1[[#This Row],[Cardiopatia ischemica]],1)),0,1)</f>
        <v>0</v>
      </c>
      <c r="AR3" s="11" t="s">
        <v>25</v>
      </c>
      <c r="AS3" s="18">
        <f>IF(ISERROR(SEARCH("nega",Tabella1[[#This Row],[Artimie]],1)),0,1)</f>
        <v>1</v>
      </c>
      <c r="AT3" s="11" t="s">
        <v>25</v>
      </c>
      <c r="AU3" s="18">
        <f>IF(ISERROR(SEARCH("nega",Tabella1[[#This Row],[Ipercolesterolemia]],1)),0,1)</f>
        <v>1</v>
      </c>
      <c r="AV3" s="18">
        <f>IF(ISERROR(SEARCH("boh",Tabella1[[#This Row],[Ipercolesterolemia]],1)),0,1)</f>
        <v>0</v>
      </c>
      <c r="AW3" s="11" t="s">
        <v>8</v>
      </c>
      <c r="AX3" s="18">
        <f>IF(ISERROR(SEARCH("Intolleranza",Tabella1[[#This Row],[Diabete]],1)),0,1)</f>
        <v>0</v>
      </c>
      <c r="AY3" s="18">
        <f>IF(ISERROR(SEARCH("si",Tabella1[[#This Row],[Diabete]],1)),0,1)</f>
        <v>0</v>
      </c>
      <c r="AZ3" s="11" t="s">
        <v>3789</v>
      </c>
      <c r="BA3" s="18">
        <f>IF(ISERROR(SEARCH("NDD",Tabella1[[#This Row],[Patologia Tiroidea]],1)),0,1)</f>
        <v>0</v>
      </c>
      <c r="BB3" s="18">
        <f>IF(ISERROR(SEARCH("TIROIDITE",Tabella1[[#This Row],[Patologia Tiroidea]],1)),0,1)</f>
        <v>0</v>
      </c>
      <c r="BC3" s="18">
        <f>IF(ISERROR(SEARCH("HASHIMOTO",Tabella1[[#This Row],[Patologia Tiroidea]],1)),0,1)</f>
        <v>0</v>
      </c>
      <c r="BD3" s="18">
        <f>IF(ISERROR(SEARCH("BASEDOW",Tabella1[[#This Row],[Patologia Tiroidea]],1)),0,1)</f>
        <v>0</v>
      </c>
      <c r="BE3" s="18">
        <f>IF(ISERROR(SEARCH("NOD",Tabella1[[#This Row],[Patologia Tiroidea]],1)),0,1)</f>
        <v>1</v>
      </c>
      <c r="BF3" s="18">
        <f>IF(ISERROR(SEARCH("GOZ",Tabella1[[#This Row],[Patologia Tiroidea]],1)),0,1)</f>
        <v>0</v>
      </c>
      <c r="BG3" s="11" t="s">
        <v>28</v>
      </c>
      <c r="BH3" s="18">
        <f>IF(Tabella1[[#This Row],[Obesità]]="no",0,1)</f>
        <v>1</v>
      </c>
      <c r="BI3" s="11" t="s">
        <v>28</v>
      </c>
      <c r="BJ3" s="22">
        <f>IF(ISERROR(SEARCH("nega",Tabella1[[#This Row],[Reflusso gastroesofageo]],1)),1,0)</f>
        <v>1</v>
      </c>
      <c r="BK3" s="11" t="s">
        <v>8</v>
      </c>
      <c r="BL3" s="18">
        <f>IF(ISERROR(SEARCH("NDD",Tabella1[[#This Row],[Patologia respiratoria]],1)),0,1)</f>
        <v>0</v>
      </c>
      <c r="BM3" s="18">
        <f>IF(ISERROR(SEARCH("asma",Tabella1[[#This Row],[Patologia respiratoria]],1)),0,1)</f>
        <v>0</v>
      </c>
      <c r="BN3" s="18">
        <f>IF(ISERROR(SEARCH("BPCO",Tabella1[[#This Row],[Patologia respiratoria]],1)),0,1)</f>
        <v>0</v>
      </c>
      <c r="BO3" s="18">
        <f>IF(ISERROR(SEARCH("BRONCOPOLMONITE",Tabella1[[#This Row],[Patologia respiratoria]],1)),0,1)</f>
        <v>0</v>
      </c>
      <c r="BP3" s="18">
        <f>IF(ISERROR(SEARCH("ASMA, OSAS",Tabella1[[#This Row],[Patologia respiratoria]],1)),0,1)</f>
        <v>0</v>
      </c>
      <c r="BQ3" s="18">
        <f>IF(ISERROR(SEARCH("OSAS e BPCO",Tabella1[[#This Row],[Patologia respiratoria]],1)),0,1)</f>
        <v>0</v>
      </c>
      <c r="BR3" s="18">
        <f>IF(ISERROR(SEARCH("OSAS",Tabella1[[#This Row],[Patologia respiratoria]],1)),0,1)</f>
        <v>0</v>
      </c>
      <c r="BS3" s="11" t="s">
        <v>29</v>
      </c>
      <c r="BT3" s="11" t="s">
        <v>30</v>
      </c>
      <c r="BU3" s="7" t="s">
        <v>5477</v>
      </c>
      <c r="BV3" s="17">
        <f>IF(ISERROR(SEARCH("ndd",Tabella1[[#This Row],[O2 terapia]],1)),0,1)</f>
        <v>1</v>
      </c>
      <c r="BW3" s="18"/>
      <c r="BX3" s="11"/>
      <c r="BY3" s="11" t="s">
        <v>8</v>
      </c>
      <c r="BZ3" s="18">
        <v>0</v>
      </c>
      <c r="CA3" s="11" t="s">
        <v>5477</v>
      </c>
      <c r="CB3" s="18"/>
      <c r="CC3" s="11" t="s">
        <v>31</v>
      </c>
      <c r="CD3" s="17">
        <v>1</v>
      </c>
      <c r="CE3" s="11" t="s">
        <v>8</v>
      </c>
      <c r="CF3" s="18">
        <v>0</v>
      </c>
      <c r="CG3" s="11" t="s">
        <v>8</v>
      </c>
      <c r="CH3" s="17">
        <v>0</v>
      </c>
      <c r="CI3" s="11" t="s">
        <v>32</v>
      </c>
      <c r="CJ3" s="17">
        <v>1</v>
      </c>
      <c r="CK3" s="11" t="s">
        <v>33</v>
      </c>
      <c r="CL3" s="17">
        <v>1</v>
      </c>
      <c r="CM3" s="11" t="s">
        <v>34</v>
      </c>
      <c r="CN3" s="17">
        <v>1</v>
      </c>
      <c r="CO3" s="11" t="s">
        <v>8</v>
      </c>
      <c r="CP3" s="18">
        <v>0</v>
      </c>
      <c r="CQ3" s="11" t="s">
        <v>35</v>
      </c>
      <c r="CR3" s="11" t="s">
        <v>36</v>
      </c>
      <c r="CS3" s="11" t="s">
        <v>37</v>
      </c>
      <c r="CT3" s="11" t="s">
        <v>38</v>
      </c>
      <c r="CU3" s="11" t="s">
        <v>39</v>
      </c>
      <c r="CV3" s="12" t="s">
        <v>40</v>
      </c>
    </row>
    <row r="4" spans="1:100" ht="171">
      <c r="A4" s="1">
        <f t="shared" si="0"/>
        <v>3</v>
      </c>
      <c r="B4" s="5">
        <v>23</v>
      </c>
      <c r="C4" s="6">
        <v>44239</v>
      </c>
      <c r="D4" s="7" t="s">
        <v>41</v>
      </c>
      <c r="E4" s="6">
        <v>25635</v>
      </c>
      <c r="F4" s="29">
        <f ca="1">_xlfn.DAYS(NOW(),Tabella1[[#This Row],[Data di Nascita]])/365.25</f>
        <v>55.408624229979466</v>
      </c>
      <c r="G4" s="7" t="s">
        <v>42</v>
      </c>
      <c r="H4" s="7" t="s">
        <v>43</v>
      </c>
      <c r="I4" s="7" t="s">
        <v>44</v>
      </c>
      <c r="J4" s="7" t="s">
        <v>45</v>
      </c>
      <c r="K4" s="7" t="s">
        <v>46</v>
      </c>
      <c r="L4" s="17">
        <f>IF(ISERROR(SEARCH("EX",Tabella1[[#This Row],[Attività lavorativa]],1)),0,1)</f>
        <v>0</v>
      </c>
      <c r="M4" s="17"/>
      <c r="N4" s="17"/>
      <c r="O4" s="17"/>
      <c r="P4" s="17"/>
      <c r="Q4" s="17"/>
      <c r="R4" s="17"/>
      <c r="S4" s="17">
        <v>1</v>
      </c>
      <c r="T4" s="17">
        <f>IF(ISERROR(SEARCH("NDD",Tabella1[[#This Row],[Attività lavorativa]],1)),0,1)</f>
        <v>0</v>
      </c>
      <c r="U4" s="7" t="s">
        <v>8</v>
      </c>
      <c r="V4" s="22" t="s">
        <v>3687</v>
      </c>
      <c r="W4" s="22">
        <f>IF(ISERROR(SEARCH("ex",Tabella1[[#This Row],[Fumo]],1)),0,1)</f>
        <v>0</v>
      </c>
      <c r="X4" s="22">
        <f>IF(ISERROR(SEARCH("no",Tabella1[[#This Row],[Fumo]],1)),0,1)</f>
        <v>1</v>
      </c>
      <c r="Y4" s="7" t="s">
        <v>25</v>
      </c>
      <c r="Z4" s="17">
        <f>IF(ISERROR(SEARCH("NDD",Tabella1[[#This Row],[Bevitore alcolici]],1)),0,1)</f>
        <v>0</v>
      </c>
      <c r="AA4" s="17">
        <f>IF(ISERROR(SEARCH("raro",Tabella1[[#This Row],[Bevitore alcolici]],1)),0,1)</f>
        <v>0</v>
      </c>
      <c r="AB4" s="17">
        <f>IF(ISERROR(SEARCH("saltuariamente",Tabella1[[#This Row],[Bevitore alcolici]],1)),0,1)</f>
        <v>0</v>
      </c>
      <c r="AC4" s="17">
        <f>IF(ISERROR(SEARCH("nega",Tabella1[[#This Row],[Bevitore alcolici]],1)),0,1)</f>
        <v>1</v>
      </c>
      <c r="AD4" s="17">
        <f>IF(ISERROR(SEARCH("potus",Tabella1[[#This Row],[Bevitore alcolici]],1)),0,1)</f>
        <v>0</v>
      </c>
      <c r="AE4" s="7" t="s">
        <v>5675</v>
      </c>
      <c r="AF4" s="17"/>
      <c r="AG4" s="17"/>
      <c r="AH4" s="17"/>
      <c r="AI4" s="17"/>
      <c r="AJ4" s="17"/>
      <c r="AK4" s="7" t="s">
        <v>28</v>
      </c>
      <c r="AL4" s="17">
        <f>IF(ISERROR(SEARCH("si",Tabella1[[#This Row],[Patente di guida]],1)),0,1)</f>
        <v>1</v>
      </c>
      <c r="AM4" s="7" t="s">
        <v>28</v>
      </c>
      <c r="AN4" s="17">
        <f>IF(ISERROR(SEARCH("no",Tabella1[[#This Row],[Ipertensione]],1)),0,1)</f>
        <v>0</v>
      </c>
      <c r="AO4" s="7" t="s">
        <v>382</v>
      </c>
      <c r="AP4" s="18">
        <f>IF(ISERROR(SEARCH("NO",Tabella1[[#This Row],[Cardiopatia ischemica]],1)),1,0)</f>
        <v>0</v>
      </c>
      <c r="AQ4" s="17">
        <f>IF(ISERROR(SEARCH("sconosciuto",Tabella1[[#This Row],[Cardiopatia ischemica]],1)),0,1)</f>
        <v>0</v>
      </c>
      <c r="AR4" s="7" t="s">
        <v>25</v>
      </c>
      <c r="AS4" s="17">
        <f>IF(ISERROR(SEARCH("nega",Tabella1[[#This Row],[Artimie]],1)),0,1)</f>
        <v>1</v>
      </c>
      <c r="AT4" s="7" t="s">
        <v>47</v>
      </c>
      <c r="AU4" s="17">
        <f>IF(ISERROR(SEARCH("nega",Tabella1[[#This Row],[Ipercolesterolemia]],1)),0,1)</f>
        <v>0</v>
      </c>
      <c r="AV4" s="17">
        <f>IF(ISERROR(SEARCH("boh",Tabella1[[#This Row],[Ipercolesterolemia]],1)),0,1)</f>
        <v>0</v>
      </c>
      <c r="AW4" s="7" t="s">
        <v>8</v>
      </c>
      <c r="AX4" s="17">
        <f>IF(ISERROR(SEARCH("Intolleranza",Tabella1[[#This Row],[Diabete]],1)),0,1)</f>
        <v>0</v>
      </c>
      <c r="AY4" s="17">
        <f>IF(ISERROR(SEARCH("si",Tabella1[[#This Row],[Diabete]],1)),0,1)</f>
        <v>0</v>
      </c>
      <c r="AZ4" s="7" t="s">
        <v>8</v>
      </c>
      <c r="BA4" s="17">
        <f>IF(ISERROR(SEARCH("NDD",Tabella1[[#This Row],[Patologia Tiroidea]],1)),0,1)</f>
        <v>0</v>
      </c>
      <c r="BB4" s="17">
        <f>IF(ISERROR(SEARCH("TIROIDITE",Tabella1[[#This Row],[Patologia Tiroidea]],1)),0,1)</f>
        <v>0</v>
      </c>
      <c r="BC4" s="17">
        <f>IF(ISERROR(SEARCH("HASHIMOTO",Tabella1[[#This Row],[Patologia Tiroidea]],1)),0,1)</f>
        <v>0</v>
      </c>
      <c r="BD4" s="17">
        <f>IF(ISERROR(SEARCH("BASEDOW",Tabella1[[#This Row],[Patologia Tiroidea]],1)),0,1)</f>
        <v>0</v>
      </c>
      <c r="BE4" s="17">
        <f>IF(ISERROR(SEARCH("NOD",Tabella1[[#This Row],[Patologia Tiroidea]],1)),0,1)</f>
        <v>0</v>
      </c>
      <c r="BF4" s="17">
        <f>IF(ISERROR(SEARCH("GOZ",Tabella1[[#This Row],[Patologia Tiroidea]],1)),0,1)</f>
        <v>0</v>
      </c>
      <c r="BG4" s="7" t="s">
        <v>48</v>
      </c>
      <c r="BH4" s="17">
        <f>IF(Tabella1[[#This Row],[Obesità]]="no",0,1)</f>
        <v>1</v>
      </c>
      <c r="BI4" s="7" t="s">
        <v>47</v>
      </c>
      <c r="BJ4" s="22">
        <f>IF(ISERROR(SEARCH("nega",Tabella1[[#This Row],[Reflusso gastroesofageo]],1)),1,0)</f>
        <v>1</v>
      </c>
      <c r="BK4" s="7" t="s">
        <v>8</v>
      </c>
      <c r="BL4" s="17">
        <f>IF(ISERROR(SEARCH("NDD",Tabella1[[#This Row],[Patologia respiratoria]],1)),0,1)</f>
        <v>0</v>
      </c>
      <c r="BM4" s="17">
        <f>IF(ISERROR(SEARCH("asma",Tabella1[[#This Row],[Patologia respiratoria]],1)),0,1)</f>
        <v>0</v>
      </c>
      <c r="BN4" s="17">
        <f>IF(ISERROR(SEARCH("BPCO",Tabella1[[#This Row],[Patologia respiratoria]],1)),0,1)</f>
        <v>0</v>
      </c>
      <c r="BO4" s="17">
        <f>IF(ISERROR(SEARCH("BRONCOPOLMONITE",Tabella1[[#This Row],[Patologia respiratoria]],1)),0,1)</f>
        <v>0</v>
      </c>
      <c r="BP4" s="17">
        <f>IF(ISERROR(SEARCH("ASMA, OSAS",Tabella1[[#This Row],[Patologia respiratoria]],1)),0,1)</f>
        <v>0</v>
      </c>
      <c r="BQ4" s="17">
        <f>IF(ISERROR(SEARCH("OSAS e BPCO",Tabella1[[#This Row],[Patologia respiratoria]],1)),0,1)</f>
        <v>0</v>
      </c>
      <c r="BR4" s="17">
        <f>IF(ISERROR(SEARCH("OSAS",Tabella1[[#This Row],[Patologia respiratoria]],1)),0,1)</f>
        <v>0</v>
      </c>
      <c r="BS4" s="7" t="s">
        <v>49</v>
      </c>
      <c r="BT4" s="7" t="s">
        <v>50</v>
      </c>
      <c r="BU4" s="7" t="s">
        <v>5477</v>
      </c>
      <c r="BV4" s="17">
        <f>IF(ISERROR(SEARCH("ndd",Tabella1[[#This Row],[O2 terapia]],1)),0,1)</f>
        <v>1</v>
      </c>
      <c r="BW4" s="17"/>
      <c r="BX4" s="7"/>
      <c r="BY4" s="7" t="s">
        <v>8</v>
      </c>
      <c r="BZ4" s="18">
        <v>0</v>
      </c>
      <c r="CA4" s="7" t="s">
        <v>5477</v>
      </c>
      <c r="CB4" s="17"/>
      <c r="CC4" s="7" t="s">
        <v>51</v>
      </c>
      <c r="CD4" s="17">
        <v>1</v>
      </c>
      <c r="CE4" s="7" t="s">
        <v>8</v>
      </c>
      <c r="CF4" s="18">
        <v>0</v>
      </c>
      <c r="CG4" s="7" t="s">
        <v>8</v>
      </c>
      <c r="CH4" s="17">
        <v>0</v>
      </c>
      <c r="CI4" s="7" t="s">
        <v>34</v>
      </c>
      <c r="CJ4" s="17">
        <v>1</v>
      </c>
      <c r="CK4" s="7" t="s">
        <v>52</v>
      </c>
      <c r="CL4" s="17">
        <v>1</v>
      </c>
      <c r="CM4" s="7" t="s">
        <v>53</v>
      </c>
      <c r="CN4" s="17">
        <v>1</v>
      </c>
      <c r="CO4" s="7" t="s">
        <v>8</v>
      </c>
      <c r="CP4" s="18">
        <v>0</v>
      </c>
      <c r="CQ4" s="7" t="s">
        <v>54</v>
      </c>
      <c r="CR4" s="7" t="s">
        <v>55</v>
      </c>
      <c r="CS4" s="7" t="s">
        <v>37</v>
      </c>
      <c r="CT4" s="7" t="s">
        <v>56</v>
      </c>
      <c r="CU4" s="7" t="s">
        <v>57</v>
      </c>
      <c r="CV4" s="8" t="s">
        <v>58</v>
      </c>
    </row>
    <row r="5" spans="1:100" ht="313.5">
      <c r="A5" s="1">
        <f t="shared" si="0"/>
        <v>4</v>
      </c>
      <c r="B5" s="9">
        <v>27</v>
      </c>
      <c r="C5" s="10">
        <v>44246</v>
      </c>
      <c r="D5" s="11" t="s">
        <v>59</v>
      </c>
      <c r="E5" s="10">
        <v>15624</v>
      </c>
      <c r="F5" s="29">
        <f ca="1">_xlfn.DAYS(NOW(),Tabella1[[#This Row],[Data di Nascita]])/365.25</f>
        <v>82.817248459958932</v>
      </c>
      <c r="G5" s="11" t="s">
        <v>60</v>
      </c>
      <c r="H5" s="11" t="s">
        <v>61</v>
      </c>
      <c r="I5" s="11" t="s">
        <v>44</v>
      </c>
      <c r="J5" s="11" t="s">
        <v>62</v>
      </c>
      <c r="K5" s="11" t="s">
        <v>5596</v>
      </c>
      <c r="L5" s="18">
        <f>IF(ISERROR(SEARCH("EX",Tabella1[[#This Row],[Attività lavorativa]],1)),0,1)</f>
        <v>1</v>
      </c>
      <c r="M5" s="18"/>
      <c r="N5" s="18"/>
      <c r="O5" s="18">
        <v>1</v>
      </c>
      <c r="P5" s="18"/>
      <c r="Q5" s="18"/>
      <c r="R5" s="18"/>
      <c r="S5" s="18"/>
      <c r="T5" s="17">
        <f>IF(ISERROR(SEARCH("NDD",Tabella1[[#This Row],[Attività lavorativa]],1)),0,1)</f>
        <v>0</v>
      </c>
      <c r="U5" s="11" t="s">
        <v>63</v>
      </c>
      <c r="V5" s="22">
        <v>5</v>
      </c>
      <c r="W5" s="22">
        <f>IF(ISERROR(SEARCH("ex",Tabella1[[#This Row],[Fumo]],1)),0,1)</f>
        <v>1</v>
      </c>
      <c r="X5" s="22">
        <f>IF(ISERROR(SEARCH("no",Tabella1[[#This Row],[Fumo]],1)),0,1)</f>
        <v>0</v>
      </c>
      <c r="Y5" s="11" t="s">
        <v>64</v>
      </c>
      <c r="Z5" s="18">
        <f>IF(ISERROR(SEARCH("NDD",Tabella1[[#This Row],[Bevitore alcolici]],1)),0,1)</f>
        <v>0</v>
      </c>
      <c r="AA5" s="17">
        <f>IF(ISERROR(SEARCH("raro",Tabella1[[#This Row],[Bevitore alcolici]],1)),0,1)</f>
        <v>0</v>
      </c>
      <c r="AB5" s="17">
        <f>IF(ISERROR(SEARCH("saltuariamente",Tabella1[[#This Row],[Bevitore alcolici]],1)),0,1)</f>
        <v>0</v>
      </c>
      <c r="AC5" s="17">
        <f>IF(ISERROR(SEARCH("nega",Tabella1[[#This Row],[Bevitore alcolici]],1)),0,1)</f>
        <v>0</v>
      </c>
      <c r="AD5" s="17">
        <f>IF(ISERROR(SEARCH("potus",Tabella1[[#This Row],[Bevitore alcolici]],1)),0,1)</f>
        <v>0</v>
      </c>
      <c r="AE5" s="11" t="s">
        <v>5676</v>
      </c>
      <c r="AF5" s="18"/>
      <c r="AG5" s="18"/>
      <c r="AH5" s="18"/>
      <c r="AI5" s="18"/>
      <c r="AJ5" s="18"/>
      <c r="AK5" s="11" t="s">
        <v>28</v>
      </c>
      <c r="AL5" s="18">
        <f>IF(ISERROR(SEARCH("si",Tabella1[[#This Row],[Patente di guida]],1)),0,1)</f>
        <v>1</v>
      </c>
      <c r="AM5" s="11" t="s">
        <v>28</v>
      </c>
      <c r="AN5" s="18">
        <f>IF(ISERROR(SEARCH("no",Tabella1[[#This Row],[Ipertensione]],1)),0,1)</f>
        <v>0</v>
      </c>
      <c r="AO5" s="11" t="s">
        <v>3747</v>
      </c>
      <c r="AP5" s="18">
        <f>IF(ISERROR(SEARCH("NO",Tabella1[[#This Row],[Cardiopatia ischemica]],1)),1,0)</f>
        <v>0</v>
      </c>
      <c r="AQ5" s="17">
        <f>IF(ISERROR(SEARCH("sconosciuto",Tabella1[[#This Row],[Cardiopatia ischemica]],1)),0,1)</f>
        <v>0</v>
      </c>
      <c r="AR5" s="11" t="s">
        <v>25</v>
      </c>
      <c r="AS5" s="18">
        <f>IF(ISERROR(SEARCH("nega",Tabella1[[#This Row],[Artimie]],1)),0,1)</f>
        <v>1</v>
      </c>
      <c r="AT5" s="11" t="s">
        <v>25</v>
      </c>
      <c r="AU5" s="18">
        <f>IF(ISERROR(SEARCH("nega",Tabella1[[#This Row],[Ipercolesterolemia]],1)),0,1)</f>
        <v>1</v>
      </c>
      <c r="AV5" s="18">
        <f>IF(ISERROR(SEARCH("boh",Tabella1[[#This Row],[Ipercolesterolemia]],1)),0,1)</f>
        <v>0</v>
      </c>
      <c r="AW5" s="11" t="s">
        <v>8</v>
      </c>
      <c r="AX5" s="18">
        <f>IF(ISERROR(SEARCH("Intolleranza",Tabella1[[#This Row],[Diabete]],1)),0,1)</f>
        <v>0</v>
      </c>
      <c r="AY5" s="18">
        <f>IF(ISERROR(SEARCH("si",Tabella1[[#This Row],[Diabete]],1)),0,1)</f>
        <v>0</v>
      </c>
      <c r="AZ5" s="11" t="s">
        <v>8</v>
      </c>
      <c r="BA5" s="18">
        <f>IF(ISERROR(SEARCH("NDD",Tabella1[[#This Row],[Patologia Tiroidea]],1)),0,1)</f>
        <v>0</v>
      </c>
      <c r="BB5" s="18">
        <f>IF(ISERROR(SEARCH("TIROIDITE",Tabella1[[#This Row],[Patologia Tiroidea]],1)),0,1)</f>
        <v>0</v>
      </c>
      <c r="BC5" s="18">
        <f>IF(ISERROR(SEARCH("HASHIMOTO",Tabella1[[#This Row],[Patologia Tiroidea]],1)),0,1)</f>
        <v>0</v>
      </c>
      <c r="BD5" s="18">
        <f>IF(ISERROR(SEARCH("BASEDOW",Tabella1[[#This Row],[Patologia Tiroidea]],1)),0,1)</f>
        <v>0</v>
      </c>
      <c r="BE5" s="18">
        <f>IF(ISERROR(SEARCH("NOD",Tabella1[[#This Row],[Patologia Tiroidea]],1)),0,1)</f>
        <v>0</v>
      </c>
      <c r="BF5" s="18">
        <f>IF(ISERROR(SEARCH("GOZ",Tabella1[[#This Row],[Patologia Tiroidea]],1)),0,1)</f>
        <v>0</v>
      </c>
      <c r="BG5" s="11" t="s">
        <v>8</v>
      </c>
      <c r="BH5" s="18">
        <f>IF(Tabella1[[#This Row],[Obesità]]="no",0,1)</f>
        <v>0</v>
      </c>
      <c r="BI5" s="11" t="s">
        <v>25</v>
      </c>
      <c r="BJ5" s="22">
        <f>IF(ISERROR(SEARCH("nega",Tabella1[[#This Row],[Reflusso gastroesofageo]],1)),1,0)</f>
        <v>0</v>
      </c>
      <c r="BK5" s="11" t="s">
        <v>8</v>
      </c>
      <c r="BL5" s="18">
        <f>IF(ISERROR(SEARCH("NDD",Tabella1[[#This Row],[Patologia respiratoria]],1)),0,1)</f>
        <v>0</v>
      </c>
      <c r="BM5" s="18">
        <f>IF(ISERROR(SEARCH("asma",Tabella1[[#This Row],[Patologia respiratoria]],1)),0,1)</f>
        <v>0</v>
      </c>
      <c r="BN5" s="18">
        <f>IF(ISERROR(SEARCH("BPCO",Tabella1[[#This Row],[Patologia respiratoria]],1)),0,1)</f>
        <v>0</v>
      </c>
      <c r="BO5" s="18">
        <f>IF(ISERROR(SEARCH("BRONCOPOLMONITE",Tabella1[[#This Row],[Patologia respiratoria]],1)),0,1)</f>
        <v>0</v>
      </c>
      <c r="BP5" s="18">
        <f>IF(ISERROR(SEARCH("ASMA, OSAS",Tabella1[[#This Row],[Patologia respiratoria]],1)),0,1)</f>
        <v>0</v>
      </c>
      <c r="BQ5" s="18">
        <f>IF(ISERROR(SEARCH("OSAS e BPCO",Tabella1[[#This Row],[Patologia respiratoria]],1)),0,1)</f>
        <v>0</v>
      </c>
      <c r="BR5" s="18">
        <f>IF(ISERROR(SEARCH("OSAS",Tabella1[[#This Row],[Patologia respiratoria]],1)),0,1)</f>
        <v>0</v>
      </c>
      <c r="BS5" s="11" t="s">
        <v>65</v>
      </c>
      <c r="BT5" s="11" t="s">
        <v>66</v>
      </c>
      <c r="BU5" s="7" t="s">
        <v>5477</v>
      </c>
      <c r="BV5" s="17">
        <f>IF(ISERROR(SEARCH("ndd",Tabella1[[#This Row],[O2 terapia]],1)),0,1)</f>
        <v>1</v>
      </c>
      <c r="BW5" s="18"/>
      <c r="BX5" s="11"/>
      <c r="BY5" s="11" t="s">
        <v>8</v>
      </c>
      <c r="BZ5" s="18">
        <v>0</v>
      </c>
      <c r="CA5" s="11" t="s">
        <v>5477</v>
      </c>
      <c r="CB5" s="18"/>
      <c r="CC5" s="11" t="s">
        <v>51</v>
      </c>
      <c r="CD5" s="17">
        <v>1</v>
      </c>
      <c r="CE5" s="11" t="s">
        <v>8</v>
      </c>
      <c r="CF5" s="18">
        <v>0</v>
      </c>
      <c r="CG5" s="11" t="s">
        <v>8</v>
      </c>
      <c r="CH5" s="17">
        <v>0</v>
      </c>
      <c r="CI5" s="11" t="s">
        <v>8</v>
      </c>
      <c r="CJ5" s="18">
        <v>0</v>
      </c>
      <c r="CK5" s="11" t="s">
        <v>67</v>
      </c>
      <c r="CL5" s="17">
        <v>1</v>
      </c>
      <c r="CM5" s="11" t="s">
        <v>68</v>
      </c>
      <c r="CN5" s="17">
        <v>1</v>
      </c>
      <c r="CO5" s="11" t="s">
        <v>8</v>
      </c>
      <c r="CP5" s="18">
        <v>0</v>
      </c>
      <c r="CQ5" s="11" t="s">
        <v>69</v>
      </c>
      <c r="CR5" s="11" t="s">
        <v>70</v>
      </c>
      <c r="CS5" s="11" t="s">
        <v>71</v>
      </c>
      <c r="CT5" s="11" t="s">
        <v>72</v>
      </c>
      <c r="CU5" s="11" t="s">
        <v>73</v>
      </c>
      <c r="CV5" s="12" t="s">
        <v>74</v>
      </c>
    </row>
    <row r="6" spans="1:100" ht="356.25">
      <c r="A6" s="1">
        <f t="shared" si="0"/>
        <v>5</v>
      </c>
      <c r="B6" s="5">
        <v>28</v>
      </c>
      <c r="C6" s="6">
        <v>44246</v>
      </c>
      <c r="D6" s="7" t="s">
        <v>75</v>
      </c>
      <c r="E6" s="6">
        <v>20952</v>
      </c>
      <c r="F6" s="29">
        <f ca="1">_xlfn.DAYS(NOW(),Tabella1[[#This Row],[Data di Nascita]])/365.25</f>
        <v>68.22997946611909</v>
      </c>
      <c r="G6" s="7" t="s">
        <v>76</v>
      </c>
      <c r="H6" s="7" t="s">
        <v>77</v>
      </c>
      <c r="I6" s="7" t="s">
        <v>44</v>
      </c>
      <c r="J6" s="7" t="s">
        <v>78</v>
      </c>
      <c r="K6" s="7" t="s">
        <v>79</v>
      </c>
      <c r="L6" s="17">
        <f>IF(ISERROR(SEARCH("EX",Tabella1[[#This Row],[Attività lavorativa]],1)),0,1)</f>
        <v>0</v>
      </c>
      <c r="M6" s="17"/>
      <c r="N6" s="17"/>
      <c r="O6" s="17"/>
      <c r="P6" s="18">
        <v>1</v>
      </c>
      <c r="Q6" s="17"/>
      <c r="R6" s="17"/>
      <c r="S6" s="17"/>
      <c r="T6" s="17">
        <f>IF(ISERROR(SEARCH("NDD",Tabella1[[#This Row],[Attività lavorativa]],1)),0,1)</f>
        <v>0</v>
      </c>
      <c r="U6" s="7" t="s">
        <v>8</v>
      </c>
      <c r="V6" s="22" t="s">
        <v>3687</v>
      </c>
      <c r="W6" s="22">
        <f>IF(ISERROR(SEARCH("ex",Tabella1[[#This Row],[Fumo]],1)),0,1)</f>
        <v>0</v>
      </c>
      <c r="X6" s="22">
        <f>IF(ISERROR(SEARCH("no",Tabella1[[#This Row],[Fumo]],1)),0,1)</f>
        <v>1</v>
      </c>
      <c r="Y6" s="7" t="s">
        <v>80</v>
      </c>
      <c r="Z6" s="17">
        <f>IF(ISERROR(SEARCH("NDD",Tabella1[[#This Row],[Bevitore alcolici]],1)),0,1)</f>
        <v>0</v>
      </c>
      <c r="AA6" s="17">
        <f>IF(ISERROR(SEARCH("raro",Tabella1[[#This Row],[Bevitore alcolici]],1)),0,1)</f>
        <v>0</v>
      </c>
      <c r="AB6" s="17">
        <f>IF(ISERROR(SEARCH("saltuariamente",Tabella1[[#This Row],[Bevitore alcolici]],1)),0,1)</f>
        <v>0</v>
      </c>
      <c r="AC6" s="17">
        <f>IF(ISERROR(SEARCH("nega",Tabella1[[#This Row],[Bevitore alcolici]],1)),0,1)</f>
        <v>0</v>
      </c>
      <c r="AD6" s="17">
        <f>IF(ISERROR(SEARCH("potus",Tabella1[[#This Row],[Bevitore alcolici]],1)),0,1)</f>
        <v>0</v>
      </c>
      <c r="AE6" s="7" t="s">
        <v>5676</v>
      </c>
      <c r="AF6" s="17"/>
      <c r="AG6" s="17"/>
      <c r="AH6" s="17"/>
      <c r="AI6" s="17"/>
      <c r="AJ6" s="17"/>
      <c r="AK6" s="7" t="s">
        <v>8</v>
      </c>
      <c r="AL6" s="17">
        <f>IF(ISERROR(SEARCH("si",Tabella1[[#This Row],[Patente di guida]],1)),0,1)</f>
        <v>0</v>
      </c>
      <c r="AM6" s="7" t="s">
        <v>28</v>
      </c>
      <c r="AN6" s="17">
        <f>IF(ISERROR(SEARCH("no",Tabella1[[#This Row],[Ipertensione]],1)),0,1)</f>
        <v>0</v>
      </c>
      <c r="AO6" s="7" t="s">
        <v>382</v>
      </c>
      <c r="AP6" s="18">
        <f>IF(ISERROR(SEARCH("NO",Tabella1[[#This Row],[Cardiopatia ischemica]],1)),1,0)</f>
        <v>0</v>
      </c>
      <c r="AQ6" s="17">
        <f>IF(ISERROR(SEARCH("sconosciuto",Tabella1[[#This Row],[Cardiopatia ischemica]],1)),0,1)</f>
        <v>0</v>
      </c>
      <c r="AR6" s="7" t="s">
        <v>25</v>
      </c>
      <c r="AS6" s="17">
        <f>IF(ISERROR(SEARCH("nega",Tabella1[[#This Row],[Artimie]],1)),0,1)</f>
        <v>1</v>
      </c>
      <c r="AT6" s="7" t="s">
        <v>25</v>
      </c>
      <c r="AU6" s="17">
        <f>IF(ISERROR(SEARCH("nega",Tabella1[[#This Row],[Ipercolesterolemia]],1)),0,1)</f>
        <v>1</v>
      </c>
      <c r="AV6" s="17">
        <f>IF(ISERROR(SEARCH("boh",Tabella1[[#This Row],[Ipercolesterolemia]],1)),0,1)</f>
        <v>0</v>
      </c>
      <c r="AW6" s="7" t="s">
        <v>8</v>
      </c>
      <c r="AX6" s="17">
        <f>IF(ISERROR(SEARCH("Intolleranza",Tabella1[[#This Row],[Diabete]],1)),0,1)</f>
        <v>0</v>
      </c>
      <c r="AY6" s="17">
        <f>IF(ISERROR(SEARCH("si",Tabella1[[#This Row],[Diabete]],1)),0,1)</f>
        <v>0</v>
      </c>
      <c r="AZ6" s="7" t="s">
        <v>8</v>
      </c>
      <c r="BA6" s="17">
        <f>IF(ISERROR(SEARCH("NDD",Tabella1[[#This Row],[Patologia Tiroidea]],1)),0,1)</f>
        <v>0</v>
      </c>
      <c r="BB6" s="17">
        <f>IF(ISERROR(SEARCH("TIROIDITE",Tabella1[[#This Row],[Patologia Tiroidea]],1)),0,1)</f>
        <v>0</v>
      </c>
      <c r="BC6" s="17">
        <f>IF(ISERROR(SEARCH("HASHIMOTO",Tabella1[[#This Row],[Patologia Tiroidea]],1)),0,1)</f>
        <v>0</v>
      </c>
      <c r="BD6" s="17">
        <f>IF(ISERROR(SEARCH("BASEDOW",Tabella1[[#This Row],[Patologia Tiroidea]],1)),0,1)</f>
        <v>0</v>
      </c>
      <c r="BE6" s="17">
        <f>IF(ISERROR(SEARCH("NOD",Tabella1[[#This Row],[Patologia Tiroidea]],1)),0,1)</f>
        <v>0</v>
      </c>
      <c r="BF6" s="17">
        <f>IF(ISERROR(SEARCH("GOZ",Tabella1[[#This Row],[Patologia Tiroidea]],1)),0,1)</f>
        <v>0</v>
      </c>
      <c r="BG6" s="7" t="s">
        <v>7</v>
      </c>
      <c r="BH6" s="17">
        <f>IF(Tabella1[[#This Row],[Obesità]]="no",0,1)</f>
        <v>1</v>
      </c>
      <c r="BI6" s="7" t="s">
        <v>25</v>
      </c>
      <c r="BJ6" s="22">
        <f>IF(ISERROR(SEARCH("nega",Tabella1[[#This Row],[Reflusso gastroesofageo]],1)),1,0)</f>
        <v>0</v>
      </c>
      <c r="BK6" s="7" t="s">
        <v>8</v>
      </c>
      <c r="BL6" s="17">
        <f>IF(ISERROR(SEARCH("NDD",Tabella1[[#This Row],[Patologia respiratoria]],1)),0,1)</f>
        <v>0</v>
      </c>
      <c r="BM6" s="17">
        <f>IF(ISERROR(SEARCH("asma",Tabella1[[#This Row],[Patologia respiratoria]],1)),0,1)</f>
        <v>0</v>
      </c>
      <c r="BN6" s="17">
        <f>IF(ISERROR(SEARCH("BPCO",Tabella1[[#This Row],[Patologia respiratoria]],1)),0,1)</f>
        <v>0</v>
      </c>
      <c r="BO6" s="17">
        <f>IF(ISERROR(SEARCH("BRONCOPOLMONITE",Tabella1[[#This Row],[Patologia respiratoria]],1)),0,1)</f>
        <v>0</v>
      </c>
      <c r="BP6" s="17">
        <f>IF(ISERROR(SEARCH("ASMA, OSAS",Tabella1[[#This Row],[Patologia respiratoria]],1)),0,1)</f>
        <v>0</v>
      </c>
      <c r="BQ6" s="17">
        <f>IF(ISERROR(SEARCH("OSAS e BPCO",Tabella1[[#This Row],[Patologia respiratoria]],1)),0,1)</f>
        <v>0</v>
      </c>
      <c r="BR6" s="17">
        <f>IF(ISERROR(SEARCH("OSAS",Tabella1[[#This Row],[Patologia respiratoria]],1)),0,1)</f>
        <v>0</v>
      </c>
      <c r="BS6" s="7" t="s">
        <v>49</v>
      </c>
      <c r="BT6" s="7" t="s">
        <v>81</v>
      </c>
      <c r="BU6" s="7" t="s">
        <v>5477</v>
      </c>
      <c r="BV6" s="17">
        <f>IF(ISERROR(SEARCH("ndd",Tabella1[[#This Row],[O2 terapia]],1)),0,1)</f>
        <v>1</v>
      </c>
      <c r="BW6" s="17"/>
      <c r="BX6" s="7"/>
      <c r="BY6" s="7" t="s">
        <v>8</v>
      </c>
      <c r="BZ6" s="18">
        <v>0</v>
      </c>
      <c r="CA6" s="7" t="s">
        <v>5477</v>
      </c>
      <c r="CB6" s="17"/>
      <c r="CC6" s="7" t="s">
        <v>51</v>
      </c>
      <c r="CD6" s="17">
        <v>1</v>
      </c>
      <c r="CE6" s="7" t="s">
        <v>8</v>
      </c>
      <c r="CF6" s="18">
        <v>0</v>
      </c>
      <c r="CG6" s="7" t="s">
        <v>7</v>
      </c>
      <c r="CH6" s="17">
        <v>1</v>
      </c>
      <c r="CI6" s="7" t="s">
        <v>8</v>
      </c>
      <c r="CJ6" s="18">
        <v>0</v>
      </c>
      <c r="CK6" s="7" t="s">
        <v>82</v>
      </c>
      <c r="CL6" s="17">
        <v>1</v>
      </c>
      <c r="CM6" s="7" t="s">
        <v>83</v>
      </c>
      <c r="CN6" s="17">
        <v>1</v>
      </c>
      <c r="CO6" s="7" t="s">
        <v>84</v>
      </c>
      <c r="CP6" s="17">
        <v>1</v>
      </c>
      <c r="CQ6" s="7" t="s">
        <v>85</v>
      </c>
      <c r="CR6" s="7" t="s">
        <v>36</v>
      </c>
      <c r="CS6" s="7" t="s">
        <v>86</v>
      </c>
      <c r="CT6" s="7" t="s">
        <v>87</v>
      </c>
      <c r="CU6" s="7" t="s">
        <v>88</v>
      </c>
      <c r="CV6" s="8" t="s">
        <v>89</v>
      </c>
    </row>
    <row r="7" spans="1:100" ht="299.25">
      <c r="A7" s="1">
        <f t="shared" si="0"/>
        <v>6</v>
      </c>
      <c r="B7" s="9">
        <v>30</v>
      </c>
      <c r="C7" s="10">
        <v>44251</v>
      </c>
      <c r="D7" s="11" t="s">
        <v>90</v>
      </c>
      <c r="E7" s="10">
        <v>32035</v>
      </c>
      <c r="F7" s="29">
        <f ca="1">_xlfn.DAYS(NOW(),Tabella1[[#This Row],[Data di Nascita]])/365.25</f>
        <v>37.886379192334019</v>
      </c>
      <c r="G7" s="11" t="s">
        <v>91</v>
      </c>
      <c r="H7" s="11" t="s">
        <v>92</v>
      </c>
      <c r="I7" s="11" t="s">
        <v>44</v>
      </c>
      <c r="J7" s="11" t="s">
        <v>93</v>
      </c>
      <c r="K7" s="11" t="s">
        <v>94</v>
      </c>
      <c r="L7" s="18">
        <f>IF(ISERROR(SEARCH("EX",Tabella1[[#This Row],[Attività lavorativa]],1)),0,1)</f>
        <v>0</v>
      </c>
      <c r="M7" s="18"/>
      <c r="N7" s="18"/>
      <c r="O7" s="18"/>
      <c r="P7" s="18"/>
      <c r="Q7" s="18"/>
      <c r="R7" s="18"/>
      <c r="S7" s="18"/>
      <c r="T7" s="17">
        <f>IF(ISERROR(SEARCH("NDD",Tabella1[[#This Row],[Attività lavorativa]],1)),0,1)</f>
        <v>0</v>
      </c>
      <c r="U7" s="11" t="s">
        <v>95</v>
      </c>
      <c r="V7" s="22">
        <v>20</v>
      </c>
      <c r="W7" s="22">
        <f>IF(ISERROR(SEARCH("ex",Tabella1[[#This Row],[Fumo]],1)),0,1)</f>
        <v>0</v>
      </c>
      <c r="X7" s="22">
        <f>IF(ISERROR(SEARCH("no",Tabella1[[#This Row],[Fumo]],1)),0,1)</f>
        <v>0</v>
      </c>
      <c r="Y7" s="11" t="s">
        <v>25</v>
      </c>
      <c r="Z7" s="18">
        <f>IF(ISERROR(SEARCH("NDD",Tabella1[[#This Row],[Bevitore alcolici]],1)),0,1)</f>
        <v>0</v>
      </c>
      <c r="AA7" s="17">
        <f>IF(ISERROR(SEARCH("raro",Tabella1[[#This Row],[Bevitore alcolici]],1)),0,1)</f>
        <v>0</v>
      </c>
      <c r="AB7" s="17">
        <f>IF(ISERROR(SEARCH("saltuariamente",Tabella1[[#This Row],[Bevitore alcolici]],1)),0,1)</f>
        <v>0</v>
      </c>
      <c r="AC7" s="17">
        <f>IF(ISERROR(SEARCH("nega",Tabella1[[#This Row],[Bevitore alcolici]],1)),0,1)</f>
        <v>1</v>
      </c>
      <c r="AD7" s="17">
        <f>IF(ISERROR(SEARCH("potus",Tabella1[[#This Row],[Bevitore alcolici]],1)),0,1)</f>
        <v>0</v>
      </c>
      <c r="AE7" s="11" t="s">
        <v>96</v>
      </c>
      <c r="AF7" s="18"/>
      <c r="AG7" s="18">
        <v>1</v>
      </c>
      <c r="AH7" s="18"/>
      <c r="AI7" s="18"/>
      <c r="AJ7" s="18"/>
      <c r="AK7" s="11" t="s">
        <v>28</v>
      </c>
      <c r="AL7" s="18">
        <f>IF(ISERROR(SEARCH("si",Tabella1[[#This Row],[Patente di guida]],1)),0,1)</f>
        <v>1</v>
      </c>
      <c r="AM7" s="11" t="s">
        <v>28</v>
      </c>
      <c r="AN7" s="18">
        <f>IF(ISERROR(SEARCH("no",Tabella1[[#This Row],[Ipertensione]],1)),0,1)</f>
        <v>0</v>
      </c>
      <c r="AO7" s="11" t="s">
        <v>382</v>
      </c>
      <c r="AP7" s="18">
        <f>IF(ISERROR(SEARCH("NO",Tabella1[[#This Row],[Cardiopatia ischemica]],1)),1,0)</f>
        <v>0</v>
      </c>
      <c r="AQ7" s="17">
        <f>IF(ISERROR(SEARCH("sconosciuto",Tabella1[[#This Row],[Cardiopatia ischemica]],1)),0,1)</f>
        <v>0</v>
      </c>
      <c r="AR7" s="11" t="s">
        <v>25</v>
      </c>
      <c r="AS7" s="18">
        <f>IF(ISERROR(SEARCH("nega",Tabella1[[#This Row],[Artimie]],1)),0,1)</f>
        <v>1</v>
      </c>
      <c r="AT7" s="11" t="s">
        <v>25</v>
      </c>
      <c r="AU7" s="18">
        <f>IF(ISERROR(SEARCH("nega",Tabella1[[#This Row],[Ipercolesterolemia]],1)),0,1)</f>
        <v>1</v>
      </c>
      <c r="AV7" s="18">
        <f>IF(ISERROR(SEARCH("boh",Tabella1[[#This Row],[Ipercolesterolemia]],1)),0,1)</f>
        <v>0</v>
      </c>
      <c r="AW7" s="11" t="s">
        <v>28</v>
      </c>
      <c r="AX7" s="18">
        <f>IF(ISERROR(SEARCH("Intolleranza",Tabella1[[#This Row],[Diabete]],1)),0,1)</f>
        <v>0</v>
      </c>
      <c r="AY7" s="18">
        <f>IF(ISERROR(SEARCH("si",Tabella1[[#This Row],[Diabete]],1)),0,1)</f>
        <v>1</v>
      </c>
      <c r="AZ7" s="11" t="s">
        <v>8</v>
      </c>
      <c r="BA7" s="18">
        <f>IF(ISERROR(SEARCH("NDD",Tabella1[[#This Row],[Patologia Tiroidea]],1)),0,1)</f>
        <v>0</v>
      </c>
      <c r="BB7" s="18">
        <f>IF(ISERROR(SEARCH("TIROIDITE",Tabella1[[#This Row],[Patologia Tiroidea]],1)),0,1)</f>
        <v>0</v>
      </c>
      <c r="BC7" s="18">
        <f>IF(ISERROR(SEARCH("HASHIMOTO",Tabella1[[#This Row],[Patologia Tiroidea]],1)),0,1)</f>
        <v>0</v>
      </c>
      <c r="BD7" s="18">
        <f>IF(ISERROR(SEARCH("BASEDOW",Tabella1[[#This Row],[Patologia Tiroidea]],1)),0,1)</f>
        <v>0</v>
      </c>
      <c r="BE7" s="18">
        <f>IF(ISERROR(SEARCH("NOD",Tabella1[[#This Row],[Patologia Tiroidea]],1)),0,1)</f>
        <v>0</v>
      </c>
      <c r="BF7" s="18">
        <f>IF(ISERROR(SEARCH("GOZ",Tabella1[[#This Row],[Patologia Tiroidea]],1)),0,1)</f>
        <v>0</v>
      </c>
      <c r="BG7" s="11" t="s">
        <v>97</v>
      </c>
      <c r="BH7" s="18">
        <f>IF(Tabella1[[#This Row],[Obesità]]="no",0,1)</f>
        <v>1</v>
      </c>
      <c r="BI7" s="11" t="s">
        <v>98</v>
      </c>
      <c r="BJ7" s="22">
        <f>IF(ISERROR(SEARCH("nega",Tabella1[[#This Row],[Reflusso gastroesofageo]],1)),1,0)</f>
        <v>1</v>
      </c>
      <c r="BK7" s="11" t="s">
        <v>3799</v>
      </c>
      <c r="BL7" s="18">
        <f>IF(ISERROR(SEARCH("NDD",Tabella1[[#This Row],[Patologia respiratoria]],1)),0,1)</f>
        <v>0</v>
      </c>
      <c r="BM7" s="18">
        <f>IF(ISERROR(SEARCH("asma",Tabella1[[#This Row],[Patologia respiratoria]],1)),0,1)</f>
        <v>1</v>
      </c>
      <c r="BN7" s="18">
        <f>IF(ISERROR(SEARCH("BPCO",Tabella1[[#This Row],[Patologia respiratoria]],1)),0,1)</f>
        <v>0</v>
      </c>
      <c r="BO7" s="18">
        <f>IF(ISERROR(SEARCH("BRONCOPOLMONITE",Tabella1[[#This Row],[Patologia respiratoria]],1)),0,1)</f>
        <v>0</v>
      </c>
      <c r="BP7" s="18">
        <f>IF(ISERROR(SEARCH("ASMA, OSAS",Tabella1[[#This Row],[Patologia respiratoria]],1)),0,1)</f>
        <v>0</v>
      </c>
      <c r="BQ7" s="18">
        <f>IF(ISERROR(SEARCH("OSAS e BPCO",Tabella1[[#This Row],[Patologia respiratoria]],1)),0,1)</f>
        <v>0</v>
      </c>
      <c r="BR7" s="18">
        <f>IF(ISERROR(SEARCH("OSAS",Tabella1[[#This Row],[Patologia respiratoria]],1)),0,1)</f>
        <v>0</v>
      </c>
      <c r="BS7" s="11" t="s">
        <v>99</v>
      </c>
      <c r="BT7" s="11" t="s">
        <v>100</v>
      </c>
      <c r="BU7" s="7" t="s">
        <v>5477</v>
      </c>
      <c r="BV7" s="17">
        <f>IF(ISERROR(SEARCH("ndd",Tabella1[[#This Row],[O2 terapia]],1)),0,1)</f>
        <v>1</v>
      </c>
      <c r="BW7" s="18"/>
      <c r="BX7" s="11"/>
      <c r="BY7" s="11" t="s">
        <v>47</v>
      </c>
      <c r="BZ7" s="17">
        <v>1</v>
      </c>
      <c r="CA7" s="11" t="s">
        <v>5477</v>
      </c>
      <c r="CB7" s="18"/>
      <c r="CC7" s="11" t="s">
        <v>101</v>
      </c>
      <c r="CD7" s="17">
        <v>1</v>
      </c>
      <c r="CE7" s="11" t="s">
        <v>8</v>
      </c>
      <c r="CF7" s="18">
        <v>0</v>
      </c>
      <c r="CG7" s="11" t="s">
        <v>8</v>
      </c>
      <c r="CH7" s="17">
        <v>0</v>
      </c>
      <c r="CI7" s="11" t="s">
        <v>8</v>
      </c>
      <c r="CJ7" s="18">
        <v>0</v>
      </c>
      <c r="CK7" s="11" t="s">
        <v>102</v>
      </c>
      <c r="CL7" s="17">
        <v>1</v>
      </c>
      <c r="CM7" s="11" t="s">
        <v>83</v>
      </c>
      <c r="CN7" s="17">
        <v>1</v>
      </c>
      <c r="CO7" s="11" t="s">
        <v>8</v>
      </c>
      <c r="CP7" s="18">
        <v>0</v>
      </c>
      <c r="CQ7" s="11" t="s">
        <v>103</v>
      </c>
      <c r="CR7" s="11" t="s">
        <v>104</v>
      </c>
      <c r="CS7" s="11" t="s">
        <v>105</v>
      </c>
      <c r="CT7" s="11" t="s">
        <v>106</v>
      </c>
      <c r="CU7" s="11" t="s">
        <v>107</v>
      </c>
      <c r="CV7" s="12" t="s">
        <v>108</v>
      </c>
    </row>
    <row r="8" spans="1:100" ht="71.25">
      <c r="A8" s="1">
        <f t="shared" si="0"/>
        <v>7</v>
      </c>
      <c r="B8" s="5">
        <v>31</v>
      </c>
      <c r="C8" s="6">
        <v>44251</v>
      </c>
      <c r="D8" s="7" t="s">
        <v>109</v>
      </c>
      <c r="E8" s="6">
        <v>13466</v>
      </c>
      <c r="F8" s="29">
        <f ca="1">_xlfn.DAYS(NOW(),Tabella1[[#This Row],[Data di Nascita]])/365.25</f>
        <v>88.725530458590001</v>
      </c>
      <c r="G8" s="7" t="s">
        <v>110</v>
      </c>
      <c r="H8" s="7" t="s">
        <v>111</v>
      </c>
      <c r="I8" s="7" t="s">
        <v>112</v>
      </c>
      <c r="J8" s="7" t="s">
        <v>113</v>
      </c>
      <c r="K8" s="7" t="s">
        <v>114</v>
      </c>
      <c r="L8" s="17">
        <f>IF(ISERROR(SEARCH("EX",Tabella1[[#This Row],[Attività lavorativa]],1)),0,1)</f>
        <v>1</v>
      </c>
      <c r="M8" s="17"/>
      <c r="N8" s="17"/>
      <c r="O8" s="17"/>
      <c r="P8" s="17"/>
      <c r="Q8" s="17"/>
      <c r="R8" s="17">
        <v>1</v>
      </c>
      <c r="S8" s="17"/>
      <c r="T8" s="17">
        <f>IF(ISERROR(SEARCH("NDD",Tabella1[[#This Row],[Attività lavorativa]],1)),0,1)</f>
        <v>0</v>
      </c>
      <c r="U8" s="7" t="s">
        <v>115</v>
      </c>
      <c r="V8" s="22" t="s">
        <v>3687</v>
      </c>
      <c r="W8" s="22">
        <f>IF(ISERROR(SEARCH("ex",Tabella1[[#This Row],[Fumo]],1)),0,1)</f>
        <v>1</v>
      </c>
      <c r="X8" s="22">
        <f>IF(ISERROR(SEARCH("no",Tabella1[[#This Row],[Fumo]],1)),0,1)</f>
        <v>0</v>
      </c>
      <c r="Y8" s="7" t="s">
        <v>3695</v>
      </c>
      <c r="Z8" s="17">
        <f>IF(ISERROR(SEARCH("NDD",Tabella1[[#This Row],[Bevitore alcolici]],1)),0,1)</f>
        <v>0</v>
      </c>
      <c r="AA8" s="17">
        <f>IF(ISERROR(SEARCH("raro",Tabella1[[#This Row],[Bevitore alcolici]],1)),0,1)</f>
        <v>0</v>
      </c>
      <c r="AB8" s="17">
        <f>IF(ISERROR(SEARCH("saltuariamente",Tabella1[[#This Row],[Bevitore alcolici]],1)),0,1)</f>
        <v>1</v>
      </c>
      <c r="AC8" s="17">
        <f>IF(ISERROR(SEARCH("nega",Tabella1[[#This Row],[Bevitore alcolici]],1)),0,1)</f>
        <v>0</v>
      </c>
      <c r="AD8" s="17">
        <f>IF(ISERROR(SEARCH("potus",Tabella1[[#This Row],[Bevitore alcolici]],1)),0,1)</f>
        <v>0</v>
      </c>
      <c r="AE8" s="7" t="s">
        <v>657</v>
      </c>
      <c r="AF8" s="17"/>
      <c r="AG8" s="17"/>
      <c r="AH8" s="17"/>
      <c r="AI8" s="17"/>
      <c r="AJ8" s="17"/>
      <c r="AK8" s="7" t="s">
        <v>8</v>
      </c>
      <c r="AL8" s="17">
        <f>IF(ISERROR(SEARCH("si",Tabella1[[#This Row],[Patente di guida]],1)),0,1)</f>
        <v>0</v>
      </c>
      <c r="AM8" s="7" t="s">
        <v>28</v>
      </c>
      <c r="AN8" s="17">
        <f>IF(ISERROR(SEARCH("no",Tabella1[[#This Row],[Ipertensione]],1)),0,1)</f>
        <v>0</v>
      </c>
      <c r="AO8" s="7" t="s">
        <v>382</v>
      </c>
      <c r="AP8" s="18">
        <f>IF(ISERROR(SEARCH("NO",Tabella1[[#This Row],[Cardiopatia ischemica]],1)),1,0)</f>
        <v>0</v>
      </c>
      <c r="AQ8" s="17">
        <f>IF(ISERROR(SEARCH("sconosciuto",Tabella1[[#This Row],[Cardiopatia ischemica]],1)),0,1)</f>
        <v>0</v>
      </c>
      <c r="AR8" s="7" t="s">
        <v>25</v>
      </c>
      <c r="AS8" s="17">
        <f>IF(ISERROR(SEARCH("nega",Tabella1[[#This Row],[Artimie]],1)),0,1)</f>
        <v>1</v>
      </c>
      <c r="AT8" s="7" t="s">
        <v>25</v>
      </c>
      <c r="AU8" s="17">
        <f>IF(ISERROR(SEARCH("nega",Tabella1[[#This Row],[Ipercolesterolemia]],1)),0,1)</f>
        <v>1</v>
      </c>
      <c r="AV8" s="17">
        <f>IF(ISERROR(SEARCH("boh",Tabella1[[#This Row],[Ipercolesterolemia]],1)),0,1)</f>
        <v>0</v>
      </c>
      <c r="AW8" s="7" t="s">
        <v>8</v>
      </c>
      <c r="AX8" s="17">
        <f>IF(ISERROR(SEARCH("Intolleranza",Tabella1[[#This Row],[Diabete]],1)),0,1)</f>
        <v>0</v>
      </c>
      <c r="AY8" s="17">
        <f>IF(ISERROR(SEARCH("si",Tabella1[[#This Row],[Diabete]],1)),0,1)</f>
        <v>0</v>
      </c>
      <c r="AZ8" s="7" t="s">
        <v>8</v>
      </c>
      <c r="BA8" s="17">
        <f>IF(ISERROR(SEARCH("NDD",Tabella1[[#This Row],[Patologia Tiroidea]],1)),0,1)</f>
        <v>0</v>
      </c>
      <c r="BB8" s="17">
        <f>IF(ISERROR(SEARCH("TIROIDITE",Tabella1[[#This Row],[Patologia Tiroidea]],1)),0,1)</f>
        <v>0</v>
      </c>
      <c r="BC8" s="17">
        <f>IF(ISERROR(SEARCH("HASHIMOTO",Tabella1[[#This Row],[Patologia Tiroidea]],1)),0,1)</f>
        <v>0</v>
      </c>
      <c r="BD8" s="17">
        <f>IF(ISERROR(SEARCH("BASEDOW",Tabella1[[#This Row],[Patologia Tiroidea]],1)),0,1)</f>
        <v>0</v>
      </c>
      <c r="BE8" s="17">
        <f>IF(ISERROR(SEARCH("NOD",Tabella1[[#This Row],[Patologia Tiroidea]],1)),0,1)</f>
        <v>0</v>
      </c>
      <c r="BF8" s="17">
        <f>IF(ISERROR(SEARCH("GOZ",Tabella1[[#This Row],[Patologia Tiroidea]],1)),0,1)</f>
        <v>0</v>
      </c>
      <c r="BG8" s="7" t="s">
        <v>7</v>
      </c>
      <c r="BH8" s="17">
        <f>IF(Tabella1[[#This Row],[Obesità]]="no",0,1)</f>
        <v>1</v>
      </c>
      <c r="BI8" s="7" t="s">
        <v>116</v>
      </c>
      <c r="BJ8" s="22">
        <f>IF(ISERROR(SEARCH("nega",Tabella1[[#This Row],[Reflusso gastroesofageo]],1)),1,0)</f>
        <v>1</v>
      </c>
      <c r="BK8" s="7" t="s">
        <v>3821</v>
      </c>
      <c r="BL8" s="17">
        <f>IF(ISERROR(SEARCH("NDD",Tabella1[[#This Row],[Patologia respiratoria]],1)),0,1)</f>
        <v>0</v>
      </c>
      <c r="BM8" s="17">
        <f>IF(ISERROR(SEARCH("asma",Tabella1[[#This Row],[Patologia respiratoria]],1)),0,1)</f>
        <v>0</v>
      </c>
      <c r="BN8" s="17">
        <f>IF(ISERROR(SEARCH("BPCO",Tabella1[[#This Row],[Patologia respiratoria]],1)),0,1)</f>
        <v>0</v>
      </c>
      <c r="BO8" s="17">
        <f>IF(ISERROR(SEARCH("BRONCOPOLMONITE",Tabella1[[#This Row],[Patologia respiratoria]],1)),0,1)</f>
        <v>1</v>
      </c>
      <c r="BP8" s="17">
        <f>IF(ISERROR(SEARCH("ASMA, OSAS",Tabella1[[#This Row],[Patologia respiratoria]],1)),0,1)</f>
        <v>0</v>
      </c>
      <c r="BQ8" s="17">
        <f>IF(ISERROR(SEARCH("OSAS e BPCO",Tabella1[[#This Row],[Patologia respiratoria]],1)),0,1)</f>
        <v>0</v>
      </c>
      <c r="BR8" s="17">
        <f>IF(ISERROR(SEARCH("OSAS",Tabella1[[#This Row],[Patologia respiratoria]],1)),0,1)</f>
        <v>0</v>
      </c>
      <c r="BS8" s="7"/>
      <c r="BT8" s="7" t="s">
        <v>117</v>
      </c>
      <c r="BU8" s="7" t="s">
        <v>5477</v>
      </c>
      <c r="BV8" s="17">
        <f>IF(ISERROR(SEARCH("ndd",Tabella1[[#This Row],[O2 terapia]],1)),0,1)</f>
        <v>1</v>
      </c>
      <c r="BW8" s="17"/>
      <c r="BX8" s="7"/>
      <c r="BY8" s="7" t="s">
        <v>118</v>
      </c>
      <c r="BZ8" s="17">
        <v>1</v>
      </c>
      <c r="CA8" s="7" t="s">
        <v>5477</v>
      </c>
      <c r="CB8" s="17"/>
      <c r="CC8" s="7" t="s">
        <v>119</v>
      </c>
      <c r="CD8" s="17">
        <v>1</v>
      </c>
      <c r="CE8" s="7" t="s">
        <v>7</v>
      </c>
      <c r="CF8" s="17">
        <v>1</v>
      </c>
      <c r="CG8" s="7" t="s">
        <v>8</v>
      </c>
      <c r="CH8" s="17">
        <v>0</v>
      </c>
      <c r="CI8" s="7" t="s">
        <v>8</v>
      </c>
      <c r="CJ8" s="18">
        <v>0</v>
      </c>
      <c r="CK8" s="7" t="s">
        <v>102</v>
      </c>
      <c r="CL8" s="17">
        <v>1</v>
      </c>
      <c r="CM8" s="7" t="s">
        <v>34</v>
      </c>
      <c r="CN8" s="17">
        <v>1</v>
      </c>
      <c r="CO8" s="7" t="s">
        <v>7</v>
      </c>
      <c r="CP8" s="17">
        <v>1</v>
      </c>
      <c r="CQ8" s="7" t="s">
        <v>13</v>
      </c>
      <c r="CR8" s="7" t="s">
        <v>120</v>
      </c>
      <c r="CS8" s="7" t="s">
        <v>121</v>
      </c>
      <c r="CT8" s="7" t="s">
        <v>122</v>
      </c>
      <c r="CU8" s="7"/>
      <c r="CV8" s="8"/>
    </row>
    <row r="9" spans="1:100" ht="370.5">
      <c r="A9" s="1">
        <f t="shared" si="0"/>
        <v>8</v>
      </c>
      <c r="B9" s="9">
        <v>36</v>
      </c>
      <c r="C9" s="10">
        <v>44266</v>
      </c>
      <c r="D9" s="11" t="s">
        <v>123</v>
      </c>
      <c r="E9" s="10">
        <v>25164</v>
      </c>
      <c r="F9" s="29">
        <f ca="1">_xlfn.DAYS(NOW(),Tabella1[[#This Row],[Data di Nascita]])/365.25</f>
        <v>56.698151950718689</v>
      </c>
      <c r="G9" s="11" t="s">
        <v>124</v>
      </c>
      <c r="H9" s="11" t="s">
        <v>125</v>
      </c>
      <c r="I9" s="11" t="s">
        <v>126</v>
      </c>
      <c r="J9" s="11" t="s">
        <v>23</v>
      </c>
      <c r="K9" s="11" t="s">
        <v>127</v>
      </c>
      <c r="L9" s="18">
        <f>IF(ISERROR(SEARCH("EX",Tabella1[[#This Row],[Attività lavorativa]],1)),0,1)</f>
        <v>0</v>
      </c>
      <c r="M9" s="18"/>
      <c r="N9" s="18"/>
      <c r="O9" s="18"/>
      <c r="P9" s="18">
        <v>1</v>
      </c>
      <c r="Q9" s="18"/>
      <c r="R9" s="18"/>
      <c r="S9" s="18"/>
      <c r="T9" s="17">
        <f>IF(ISERROR(SEARCH("NDD",Tabella1[[#This Row],[Attività lavorativa]],1)),0,1)</f>
        <v>0</v>
      </c>
      <c r="U9" s="11" t="s">
        <v>128</v>
      </c>
      <c r="V9" s="22">
        <v>4</v>
      </c>
      <c r="W9" s="22">
        <f>IF(ISERROR(SEARCH("ex",Tabella1[[#This Row],[Fumo]],1)),0,1)</f>
        <v>1</v>
      </c>
      <c r="X9" s="22">
        <f>IF(ISERROR(SEARCH("no",Tabella1[[#This Row],[Fumo]],1)),0,1)</f>
        <v>1</v>
      </c>
      <c r="Y9" s="11" t="s">
        <v>25</v>
      </c>
      <c r="Z9" s="18">
        <f>IF(ISERROR(SEARCH("NDD",Tabella1[[#This Row],[Bevitore alcolici]],1)),0,1)</f>
        <v>0</v>
      </c>
      <c r="AA9" s="17">
        <f>IF(ISERROR(SEARCH("raro",Tabella1[[#This Row],[Bevitore alcolici]],1)),0,1)</f>
        <v>0</v>
      </c>
      <c r="AB9" s="17">
        <f>IF(ISERROR(SEARCH("saltuariamente",Tabella1[[#This Row],[Bevitore alcolici]],1)),0,1)</f>
        <v>0</v>
      </c>
      <c r="AC9" s="17">
        <f>IF(ISERROR(SEARCH("nega",Tabella1[[#This Row],[Bevitore alcolici]],1)),0,1)</f>
        <v>1</v>
      </c>
      <c r="AD9" s="17">
        <f>IF(ISERROR(SEARCH("potus",Tabella1[[#This Row],[Bevitore alcolici]],1)),0,1)</f>
        <v>0</v>
      </c>
      <c r="AE9" s="11" t="s">
        <v>129</v>
      </c>
      <c r="AF9" s="18"/>
      <c r="AG9" s="18">
        <v>1</v>
      </c>
      <c r="AH9" s="18"/>
      <c r="AI9" s="18"/>
      <c r="AJ9" s="18"/>
      <c r="AK9" s="11" t="s">
        <v>8</v>
      </c>
      <c r="AL9" s="18">
        <f>IF(ISERROR(SEARCH("si",Tabella1[[#This Row],[Patente di guida]],1)),0,1)</f>
        <v>0</v>
      </c>
      <c r="AM9" s="11" t="s">
        <v>8</v>
      </c>
      <c r="AN9" s="18">
        <f>IF(ISERROR(SEARCH("no",Tabella1[[#This Row],[Ipertensione]],1)),0,1)</f>
        <v>1</v>
      </c>
      <c r="AO9" s="11" t="s">
        <v>382</v>
      </c>
      <c r="AP9" s="18">
        <f>IF(ISERROR(SEARCH("NO",Tabella1[[#This Row],[Cardiopatia ischemica]],1)),1,0)</f>
        <v>0</v>
      </c>
      <c r="AQ9" s="17">
        <f>IF(ISERROR(SEARCH("sconosciuto",Tabella1[[#This Row],[Cardiopatia ischemica]],1)),0,1)</f>
        <v>0</v>
      </c>
      <c r="AR9" s="11" t="s">
        <v>25</v>
      </c>
      <c r="AS9" s="18">
        <f>IF(ISERROR(SEARCH("nega",Tabella1[[#This Row],[Artimie]],1)),0,1)</f>
        <v>1</v>
      </c>
      <c r="AT9" s="11" t="s">
        <v>25</v>
      </c>
      <c r="AU9" s="18">
        <f>IF(ISERROR(SEARCH("nega",Tabella1[[#This Row],[Ipercolesterolemia]],1)),0,1)</f>
        <v>1</v>
      </c>
      <c r="AV9" s="18">
        <f>IF(ISERROR(SEARCH("boh",Tabella1[[#This Row],[Ipercolesterolemia]],1)),0,1)</f>
        <v>0</v>
      </c>
      <c r="AW9" s="11" t="s">
        <v>25</v>
      </c>
      <c r="AX9" s="18">
        <f>IF(ISERROR(SEARCH("Intolleranza",Tabella1[[#This Row],[Diabete]],1)),0,1)</f>
        <v>0</v>
      </c>
      <c r="AY9" s="18">
        <f>IF(ISERROR(SEARCH("si",Tabella1[[#This Row],[Diabete]],1)),0,1)</f>
        <v>0</v>
      </c>
      <c r="AZ9" s="11" t="s">
        <v>25</v>
      </c>
      <c r="BA9" s="18">
        <f>IF(ISERROR(SEARCH("NDD",Tabella1[[#This Row],[Patologia Tiroidea]],1)),0,1)</f>
        <v>0</v>
      </c>
      <c r="BB9" s="18">
        <f>IF(ISERROR(SEARCH("TIROIDITE",Tabella1[[#This Row],[Patologia Tiroidea]],1)),0,1)</f>
        <v>0</v>
      </c>
      <c r="BC9" s="18">
        <f>IF(ISERROR(SEARCH("HASHIMOTO",Tabella1[[#This Row],[Patologia Tiroidea]],1)),0,1)</f>
        <v>0</v>
      </c>
      <c r="BD9" s="18">
        <f>IF(ISERROR(SEARCH("BASEDOW",Tabella1[[#This Row],[Patologia Tiroidea]],1)),0,1)</f>
        <v>0</v>
      </c>
      <c r="BE9" s="18">
        <f>IF(ISERROR(SEARCH("NOD",Tabella1[[#This Row],[Patologia Tiroidea]],1)),0,1)</f>
        <v>0</v>
      </c>
      <c r="BF9" s="18">
        <f>IF(ISERROR(SEARCH("GOZ",Tabella1[[#This Row],[Patologia Tiroidea]],1)),0,1)</f>
        <v>0</v>
      </c>
      <c r="BG9" s="11" t="s">
        <v>130</v>
      </c>
      <c r="BH9" s="18">
        <f>IF(Tabella1[[#This Row],[Obesità]]="no",0,1)</f>
        <v>1</v>
      </c>
      <c r="BI9" s="11" t="s">
        <v>25</v>
      </c>
      <c r="BJ9" s="22">
        <f>IF(ISERROR(SEARCH("nega",Tabella1[[#This Row],[Reflusso gastroesofageo]],1)),1,0)</f>
        <v>0</v>
      </c>
      <c r="BK9" s="11" t="s">
        <v>25</v>
      </c>
      <c r="BL9" s="18">
        <f>IF(ISERROR(SEARCH("NDD",Tabella1[[#This Row],[Patologia respiratoria]],1)),0,1)</f>
        <v>0</v>
      </c>
      <c r="BM9" s="18">
        <f>IF(ISERROR(SEARCH("asma",Tabella1[[#This Row],[Patologia respiratoria]],1)),0,1)</f>
        <v>0</v>
      </c>
      <c r="BN9" s="18">
        <f>IF(ISERROR(SEARCH("BPCO",Tabella1[[#This Row],[Patologia respiratoria]],1)),0,1)</f>
        <v>0</v>
      </c>
      <c r="BO9" s="18">
        <f>IF(ISERROR(SEARCH("BRONCOPOLMONITE",Tabella1[[#This Row],[Patologia respiratoria]],1)),0,1)</f>
        <v>0</v>
      </c>
      <c r="BP9" s="18">
        <f>IF(ISERROR(SEARCH("ASMA, OSAS",Tabella1[[#This Row],[Patologia respiratoria]],1)),0,1)</f>
        <v>0</v>
      </c>
      <c r="BQ9" s="18">
        <f>IF(ISERROR(SEARCH("OSAS e BPCO",Tabella1[[#This Row],[Patologia respiratoria]],1)),0,1)</f>
        <v>0</v>
      </c>
      <c r="BR9" s="18">
        <f>IF(ISERROR(SEARCH("OSAS",Tabella1[[#This Row],[Patologia respiratoria]],1)),0,1)</f>
        <v>0</v>
      </c>
      <c r="BS9" s="11" t="s">
        <v>131</v>
      </c>
      <c r="BT9" s="11" t="s">
        <v>132</v>
      </c>
      <c r="BU9" s="7" t="s">
        <v>5477</v>
      </c>
      <c r="BV9" s="17">
        <f>IF(ISERROR(SEARCH("ndd",Tabella1[[#This Row],[O2 terapia]],1)),0,1)</f>
        <v>1</v>
      </c>
      <c r="BW9" s="18"/>
      <c r="BX9" s="11"/>
      <c r="BY9" s="11" t="s">
        <v>25</v>
      </c>
      <c r="BZ9" s="18">
        <v>0</v>
      </c>
      <c r="CA9" s="11" t="s">
        <v>5477</v>
      </c>
      <c r="CB9" s="18"/>
      <c r="CC9" s="11" t="s">
        <v>51</v>
      </c>
      <c r="CD9" s="17">
        <v>1</v>
      </c>
      <c r="CE9" s="11" t="s">
        <v>133</v>
      </c>
      <c r="CF9" s="17">
        <v>1</v>
      </c>
      <c r="CG9" s="11" t="s">
        <v>25</v>
      </c>
      <c r="CH9" s="17">
        <v>0</v>
      </c>
      <c r="CI9" s="11" t="s">
        <v>25</v>
      </c>
      <c r="CJ9" s="18">
        <v>0</v>
      </c>
      <c r="CK9" s="11" t="s">
        <v>134</v>
      </c>
      <c r="CL9" s="17">
        <v>1</v>
      </c>
      <c r="CM9" s="11" t="s">
        <v>83</v>
      </c>
      <c r="CN9" s="17">
        <v>1</v>
      </c>
      <c r="CO9" s="11" t="s">
        <v>25</v>
      </c>
      <c r="CP9" s="18">
        <v>0</v>
      </c>
      <c r="CQ9" s="11" t="s">
        <v>103</v>
      </c>
      <c r="CR9" s="11" t="s">
        <v>135</v>
      </c>
      <c r="CS9" s="11" t="s">
        <v>71</v>
      </c>
      <c r="CT9" s="11" t="s">
        <v>136</v>
      </c>
      <c r="CU9" s="11" t="s">
        <v>137</v>
      </c>
      <c r="CV9" s="12" t="s">
        <v>138</v>
      </c>
    </row>
    <row r="10" spans="1:100" ht="409.5">
      <c r="A10" s="1">
        <f t="shared" si="0"/>
        <v>9</v>
      </c>
      <c r="B10" s="5">
        <v>60</v>
      </c>
      <c r="C10" s="6">
        <v>44300</v>
      </c>
      <c r="D10" s="7" t="s">
        <v>139</v>
      </c>
      <c r="E10" s="6">
        <v>17040</v>
      </c>
      <c r="F10" s="29">
        <f ca="1">_xlfn.DAYS(NOW(),Tabella1[[#This Row],[Data di Nascita]])/365.25</f>
        <v>78.940451745379875</v>
      </c>
      <c r="G10" s="7" t="s">
        <v>140</v>
      </c>
      <c r="H10" s="7" t="s">
        <v>141</v>
      </c>
      <c r="I10" s="7" t="s">
        <v>142</v>
      </c>
      <c r="J10" s="7" t="s">
        <v>143</v>
      </c>
      <c r="K10" s="7" t="s">
        <v>144</v>
      </c>
      <c r="L10" s="17">
        <f>IF(ISERROR(SEARCH("EX",Tabella1[[#This Row],[Attività lavorativa]],1)),0,1)</f>
        <v>1</v>
      </c>
      <c r="M10" s="17"/>
      <c r="N10" s="17"/>
      <c r="O10" s="17"/>
      <c r="P10" s="17"/>
      <c r="Q10" s="17"/>
      <c r="R10" s="17"/>
      <c r="S10" s="17"/>
      <c r="T10" s="17">
        <f>IF(ISERROR(SEARCH("NDD",Tabella1[[#This Row],[Attività lavorativa]],1)),0,1)</f>
        <v>0</v>
      </c>
      <c r="U10" s="7" t="s">
        <v>8</v>
      </c>
      <c r="V10" s="22" t="s">
        <v>3687</v>
      </c>
      <c r="W10" s="22">
        <f>IF(ISERROR(SEARCH("ex",Tabella1[[#This Row],[Fumo]],1)),0,1)</f>
        <v>0</v>
      </c>
      <c r="X10" s="22">
        <f>IF(ISERROR(SEARCH("no",Tabella1[[#This Row],[Fumo]],1)),0,1)</f>
        <v>1</v>
      </c>
      <c r="Y10" s="7" t="s">
        <v>25</v>
      </c>
      <c r="Z10" s="17">
        <f>IF(ISERROR(SEARCH("NDD",Tabella1[[#This Row],[Bevitore alcolici]],1)),0,1)</f>
        <v>0</v>
      </c>
      <c r="AA10" s="17">
        <f>IF(ISERROR(SEARCH("raro",Tabella1[[#This Row],[Bevitore alcolici]],1)),0,1)</f>
        <v>0</v>
      </c>
      <c r="AB10" s="17">
        <f>IF(ISERROR(SEARCH("saltuariamente",Tabella1[[#This Row],[Bevitore alcolici]],1)),0,1)</f>
        <v>0</v>
      </c>
      <c r="AC10" s="17">
        <f>IF(ISERROR(SEARCH("nega",Tabella1[[#This Row],[Bevitore alcolici]],1)),0,1)</f>
        <v>1</v>
      </c>
      <c r="AD10" s="17">
        <f>IF(ISERROR(SEARCH("potus",Tabella1[[#This Row],[Bevitore alcolici]],1)),0,1)</f>
        <v>0</v>
      </c>
      <c r="AE10" s="7" t="s">
        <v>145</v>
      </c>
      <c r="AF10" s="17"/>
      <c r="AG10" s="18">
        <v>1</v>
      </c>
      <c r="AH10" s="18"/>
      <c r="AI10" s="18">
        <v>1</v>
      </c>
      <c r="AJ10" s="18"/>
      <c r="AK10" s="7" t="s">
        <v>28</v>
      </c>
      <c r="AL10" s="17">
        <f>IF(ISERROR(SEARCH("si",Tabella1[[#This Row],[Patente di guida]],1)),0,1)</f>
        <v>1</v>
      </c>
      <c r="AM10" s="7" t="s">
        <v>3718</v>
      </c>
      <c r="AN10" s="17">
        <f>IF(ISERROR(SEARCH("no",Tabella1[[#This Row],[Ipertensione]],1)),0,1)</f>
        <v>0</v>
      </c>
      <c r="AO10" s="7" t="s">
        <v>382</v>
      </c>
      <c r="AP10" s="18">
        <f>IF(ISERROR(SEARCH("NO",Tabella1[[#This Row],[Cardiopatia ischemica]],1)),1,0)</f>
        <v>0</v>
      </c>
      <c r="AQ10" s="17">
        <f>IF(ISERROR(SEARCH("sconosciuto",Tabella1[[#This Row],[Cardiopatia ischemica]],1)),0,1)</f>
        <v>0</v>
      </c>
      <c r="AR10" s="7" t="s">
        <v>25</v>
      </c>
      <c r="AS10" s="22">
        <f>IF(ISERROR(SEARCH("nega",Tabella1[[#This Row],[Artimie]],1)),0,1)</f>
        <v>1</v>
      </c>
      <c r="AT10" s="7" t="s">
        <v>7</v>
      </c>
      <c r="AU10" s="22">
        <f>IF(ISERROR(SEARCH("nega",Tabella1[[#This Row],[Ipercolesterolemia]],1)),0,1)</f>
        <v>0</v>
      </c>
      <c r="AV10" s="22">
        <f>IF(ISERROR(SEARCH("boh",Tabella1[[#This Row],[Ipercolesterolemia]],1)),0,1)</f>
        <v>0</v>
      </c>
      <c r="AW10" s="7" t="s">
        <v>25</v>
      </c>
      <c r="AX10" s="22">
        <f>IF(ISERROR(SEARCH("Intolleranza",Tabella1[[#This Row],[Diabete]],1)),0,1)</f>
        <v>0</v>
      </c>
      <c r="AY10" s="22">
        <f>IF(ISERROR(SEARCH("si",Tabella1[[#This Row],[Diabete]],1)),0,1)</f>
        <v>0</v>
      </c>
      <c r="AZ10" s="7" t="s">
        <v>25</v>
      </c>
      <c r="BA10" s="17">
        <f>IF(ISERROR(SEARCH("NDD",Tabella1[[#This Row],[Patologia Tiroidea]],1)),0,1)</f>
        <v>0</v>
      </c>
      <c r="BB10" s="22">
        <f>IF(ISERROR(SEARCH("TIROIDITE",Tabella1[[#This Row],[Patologia Tiroidea]],1)),0,1)</f>
        <v>0</v>
      </c>
      <c r="BC10" s="22">
        <f>IF(ISERROR(SEARCH("HASHIMOTO",Tabella1[[#This Row],[Patologia Tiroidea]],1)),0,1)</f>
        <v>0</v>
      </c>
      <c r="BD10" s="22">
        <f>IF(ISERROR(SEARCH("BASEDOW",Tabella1[[#This Row],[Patologia Tiroidea]],1)),0,1)</f>
        <v>0</v>
      </c>
      <c r="BE10" s="22">
        <f>IF(ISERROR(SEARCH("NOD",Tabella1[[#This Row],[Patologia Tiroidea]],1)),0,1)</f>
        <v>0</v>
      </c>
      <c r="BF10" s="22">
        <f>IF(ISERROR(SEARCH("GOZ",Tabella1[[#This Row],[Patologia Tiroidea]],1)),0,1)</f>
        <v>0</v>
      </c>
      <c r="BG10" s="7" t="s">
        <v>8</v>
      </c>
      <c r="BH10" s="17">
        <f>IF(Tabella1[[#This Row],[Obesità]]="no",0,1)</f>
        <v>0</v>
      </c>
      <c r="BI10" s="7" t="s">
        <v>7</v>
      </c>
      <c r="BJ10" s="22">
        <f>IF(ISERROR(SEARCH("nega",Tabella1[[#This Row],[Reflusso gastroesofageo]],1)),1,0)</f>
        <v>1</v>
      </c>
      <c r="BK10" s="7" t="s">
        <v>3799</v>
      </c>
      <c r="BL10" s="17">
        <f>IF(ISERROR(SEARCH("NDD",Tabella1[[#This Row],[Patologia respiratoria]],1)),0,1)</f>
        <v>0</v>
      </c>
      <c r="BM10" s="17">
        <f>IF(ISERROR(SEARCH("asma",Tabella1[[#This Row],[Patologia respiratoria]],1)),0,1)</f>
        <v>1</v>
      </c>
      <c r="BN10" s="17">
        <f>IF(ISERROR(SEARCH("BPCO",Tabella1[[#This Row],[Patologia respiratoria]],1)),0,1)</f>
        <v>0</v>
      </c>
      <c r="BO10" s="17">
        <f>IF(ISERROR(SEARCH("BRONCOPOLMONITE",Tabella1[[#This Row],[Patologia respiratoria]],1)),0,1)</f>
        <v>0</v>
      </c>
      <c r="BP10" s="17">
        <f>IF(ISERROR(SEARCH("ASMA, OSAS",Tabella1[[#This Row],[Patologia respiratoria]],1)),0,1)</f>
        <v>0</v>
      </c>
      <c r="BQ10" s="17">
        <f>IF(ISERROR(SEARCH("OSAS e BPCO",Tabella1[[#This Row],[Patologia respiratoria]],1)),0,1)</f>
        <v>0</v>
      </c>
      <c r="BR10" s="17">
        <f>IF(ISERROR(SEARCH("OSAS",Tabella1[[#This Row],[Patologia respiratoria]],1)),0,1)</f>
        <v>0</v>
      </c>
      <c r="BS10" s="7" t="s">
        <v>147</v>
      </c>
      <c r="BT10" s="7" t="s">
        <v>148</v>
      </c>
      <c r="BU10" s="7" t="s">
        <v>8</v>
      </c>
      <c r="BV10" s="17">
        <f>IF(ISERROR(SEARCH("ndd",Tabella1[[#This Row],[O2 terapia]],1)),0,1)</f>
        <v>0</v>
      </c>
      <c r="BW10" s="17">
        <v>0</v>
      </c>
      <c r="BX10" s="7"/>
      <c r="BY10" s="7" t="s">
        <v>25</v>
      </c>
      <c r="BZ10" s="18">
        <v>0</v>
      </c>
      <c r="CA10" s="7" t="s">
        <v>25</v>
      </c>
      <c r="CB10" s="17">
        <v>0</v>
      </c>
      <c r="CC10" s="7" t="s">
        <v>149</v>
      </c>
      <c r="CD10" s="17">
        <v>1</v>
      </c>
      <c r="CE10" s="7" t="s">
        <v>25</v>
      </c>
      <c r="CF10" s="18">
        <v>0</v>
      </c>
      <c r="CG10" s="7" t="s">
        <v>25</v>
      </c>
      <c r="CH10" s="17">
        <v>0</v>
      </c>
      <c r="CI10" s="7" t="s">
        <v>150</v>
      </c>
      <c r="CJ10" s="17">
        <v>1</v>
      </c>
      <c r="CK10" s="7" t="s">
        <v>25</v>
      </c>
      <c r="CL10" s="17">
        <v>0</v>
      </c>
      <c r="CM10" s="7" t="s">
        <v>25</v>
      </c>
      <c r="CN10" s="17">
        <v>0</v>
      </c>
      <c r="CO10" s="7" t="s">
        <v>151</v>
      </c>
      <c r="CP10" s="17">
        <v>1</v>
      </c>
      <c r="CQ10" s="7" t="s">
        <v>54</v>
      </c>
      <c r="CR10" s="7" t="s">
        <v>152</v>
      </c>
      <c r="CS10" s="7" t="s">
        <v>153</v>
      </c>
      <c r="CT10" s="7" t="s">
        <v>154</v>
      </c>
      <c r="CU10" s="7" t="s">
        <v>155</v>
      </c>
      <c r="CV10" s="8" t="s">
        <v>156</v>
      </c>
    </row>
    <row r="11" spans="1:100" ht="399">
      <c r="A11" s="1">
        <f t="shared" si="0"/>
        <v>10</v>
      </c>
      <c r="B11" s="9">
        <v>85</v>
      </c>
      <c r="C11" s="10">
        <v>44316</v>
      </c>
      <c r="D11" s="11" t="s">
        <v>157</v>
      </c>
      <c r="E11" s="10">
        <v>19616</v>
      </c>
      <c r="F11" s="29">
        <f ca="1">_xlfn.DAYS(NOW(),Tabella1[[#This Row],[Data di Nascita]])/365.25</f>
        <v>71.887748117727583</v>
      </c>
      <c r="G11" s="11" t="s">
        <v>158</v>
      </c>
      <c r="H11" s="11" t="s">
        <v>159</v>
      </c>
      <c r="I11" s="11" t="s">
        <v>160</v>
      </c>
      <c r="J11" s="11" t="s">
        <v>161</v>
      </c>
      <c r="K11" s="11" t="s">
        <v>162</v>
      </c>
      <c r="L11" s="18">
        <f>IF(ISERROR(SEARCH("EX",Tabella1[[#This Row],[Attività lavorativa]],1)),0,1)</f>
        <v>1</v>
      </c>
      <c r="M11" s="18"/>
      <c r="N11" s="18"/>
      <c r="O11" s="18"/>
      <c r="P11" s="18"/>
      <c r="Q11" s="18"/>
      <c r="R11" s="18"/>
      <c r="S11" s="18"/>
      <c r="T11" s="17">
        <f>IF(ISERROR(SEARCH("NDD",Tabella1[[#This Row],[Attività lavorativa]],1)),0,1)</f>
        <v>0</v>
      </c>
      <c r="U11" s="11" t="s">
        <v>8</v>
      </c>
      <c r="V11" s="22" t="s">
        <v>3687</v>
      </c>
      <c r="W11" s="22">
        <f>IF(ISERROR(SEARCH("ex",Tabella1[[#This Row],[Fumo]],1)),0,1)</f>
        <v>0</v>
      </c>
      <c r="X11" s="22">
        <f>IF(ISERROR(SEARCH("no",Tabella1[[#This Row],[Fumo]],1)),0,1)</f>
        <v>1</v>
      </c>
      <c r="Y11" s="11" t="s">
        <v>26</v>
      </c>
      <c r="Z11" s="18">
        <f>IF(ISERROR(SEARCH("NDD",Tabella1[[#This Row],[Bevitore alcolici]],1)),0,1)</f>
        <v>0</v>
      </c>
      <c r="AA11" s="17">
        <f>IF(ISERROR(SEARCH("raro",Tabella1[[#This Row],[Bevitore alcolici]],1)),0,1)</f>
        <v>0</v>
      </c>
      <c r="AB11" s="17">
        <f>IF(ISERROR(SEARCH("saltuariamente",Tabella1[[#This Row],[Bevitore alcolici]],1)),0,1)</f>
        <v>1</v>
      </c>
      <c r="AC11" s="17">
        <f>IF(ISERROR(SEARCH("nega",Tabella1[[#This Row],[Bevitore alcolici]],1)),0,1)</f>
        <v>0</v>
      </c>
      <c r="AD11" s="17">
        <f>IF(ISERROR(SEARCH("potus",Tabella1[[#This Row],[Bevitore alcolici]],1)),0,1)</f>
        <v>0</v>
      </c>
      <c r="AE11" s="11" t="s">
        <v>5677</v>
      </c>
      <c r="AF11" s="18"/>
      <c r="AG11" s="18">
        <v>1</v>
      </c>
      <c r="AH11" s="18"/>
      <c r="AI11" s="18">
        <v>1</v>
      </c>
      <c r="AJ11" s="18"/>
      <c r="AK11" s="11" t="s">
        <v>28</v>
      </c>
      <c r="AL11" s="18">
        <f>IF(ISERROR(SEARCH("si",Tabella1[[#This Row],[Patente di guida]],1)),0,1)</f>
        <v>1</v>
      </c>
      <c r="AM11" s="11" t="s">
        <v>28</v>
      </c>
      <c r="AN11" s="18">
        <f>IF(ISERROR(SEARCH("no",Tabella1[[#This Row],[Ipertensione]],1)),0,1)</f>
        <v>0</v>
      </c>
      <c r="AO11" s="11" t="s">
        <v>382</v>
      </c>
      <c r="AP11" s="18">
        <f>IF(ISERROR(SEARCH("NO",Tabella1[[#This Row],[Cardiopatia ischemica]],1)),1,0)</f>
        <v>0</v>
      </c>
      <c r="AQ11" s="17">
        <f>IF(ISERROR(SEARCH("sconosciuto",Tabella1[[#This Row],[Cardiopatia ischemica]],1)),0,1)</f>
        <v>0</v>
      </c>
      <c r="AR11" s="11" t="s">
        <v>25</v>
      </c>
      <c r="AS11" s="22">
        <f>IF(ISERROR(SEARCH("nega",Tabella1[[#This Row],[Artimie]],1)),0,1)</f>
        <v>1</v>
      </c>
      <c r="AT11" s="11" t="s">
        <v>25</v>
      </c>
      <c r="AU11" s="22">
        <f>IF(ISERROR(SEARCH("nega",Tabella1[[#This Row],[Ipercolesterolemia]],1)),0,1)</f>
        <v>1</v>
      </c>
      <c r="AV11" s="22">
        <f>IF(ISERROR(SEARCH("boh",Tabella1[[#This Row],[Ipercolesterolemia]],1)),0,1)</f>
        <v>0</v>
      </c>
      <c r="AW11" s="11" t="s">
        <v>25</v>
      </c>
      <c r="AX11" s="22">
        <f>IF(ISERROR(SEARCH("Intolleranza",Tabella1[[#This Row],[Diabete]],1)),0,1)</f>
        <v>0</v>
      </c>
      <c r="AY11" s="22">
        <f>IF(ISERROR(SEARCH("si",Tabella1[[#This Row],[Diabete]],1)),0,1)</f>
        <v>0</v>
      </c>
      <c r="AZ11" s="11" t="s">
        <v>25</v>
      </c>
      <c r="BA11" s="18">
        <f>IF(ISERROR(SEARCH("NDD",Tabella1[[#This Row],[Patologia Tiroidea]],1)),0,1)</f>
        <v>0</v>
      </c>
      <c r="BB11" s="22">
        <f>IF(ISERROR(SEARCH("TIROIDITE",Tabella1[[#This Row],[Patologia Tiroidea]],1)),0,1)</f>
        <v>0</v>
      </c>
      <c r="BC11" s="22">
        <f>IF(ISERROR(SEARCH("HASHIMOTO",Tabella1[[#This Row],[Patologia Tiroidea]],1)),0,1)</f>
        <v>0</v>
      </c>
      <c r="BD11" s="22">
        <f>IF(ISERROR(SEARCH("BASEDOW",Tabella1[[#This Row],[Patologia Tiroidea]],1)),0,1)</f>
        <v>0</v>
      </c>
      <c r="BE11" s="22">
        <f>IF(ISERROR(SEARCH("NOD",Tabella1[[#This Row],[Patologia Tiroidea]],1)),0,1)</f>
        <v>0</v>
      </c>
      <c r="BF11" s="22">
        <f>IF(ISERROR(SEARCH("GOZ",Tabella1[[#This Row],[Patologia Tiroidea]],1)),0,1)</f>
        <v>0</v>
      </c>
      <c r="BG11" s="11" t="s">
        <v>8</v>
      </c>
      <c r="BH11" s="18">
        <f>IF(Tabella1[[#This Row],[Obesità]]="no",0,1)</f>
        <v>0</v>
      </c>
      <c r="BI11" s="11" t="s">
        <v>25</v>
      </c>
      <c r="BJ11" s="22">
        <f>IF(ISERROR(SEARCH("nega",Tabella1[[#This Row],[Reflusso gastroesofageo]],1)),1,0)</f>
        <v>0</v>
      </c>
      <c r="BK11" s="11" t="s">
        <v>25</v>
      </c>
      <c r="BL11" s="18">
        <f>IF(ISERROR(SEARCH("NDD",Tabella1[[#This Row],[Patologia respiratoria]],1)),0,1)</f>
        <v>0</v>
      </c>
      <c r="BM11" s="18">
        <f>IF(ISERROR(SEARCH("asma",Tabella1[[#This Row],[Patologia respiratoria]],1)),0,1)</f>
        <v>0</v>
      </c>
      <c r="BN11" s="18">
        <f>IF(ISERROR(SEARCH("BPCO",Tabella1[[#This Row],[Patologia respiratoria]],1)),0,1)</f>
        <v>0</v>
      </c>
      <c r="BO11" s="18">
        <f>IF(ISERROR(SEARCH("BRONCOPOLMONITE",Tabella1[[#This Row],[Patologia respiratoria]],1)),0,1)</f>
        <v>0</v>
      </c>
      <c r="BP11" s="18">
        <f>IF(ISERROR(SEARCH("ASMA, OSAS",Tabella1[[#This Row],[Patologia respiratoria]],1)),0,1)</f>
        <v>0</v>
      </c>
      <c r="BQ11" s="18">
        <f>IF(ISERROR(SEARCH("OSAS e BPCO",Tabella1[[#This Row],[Patologia respiratoria]],1)),0,1)</f>
        <v>0</v>
      </c>
      <c r="BR11" s="18">
        <f>IF(ISERROR(SEARCH("OSAS",Tabella1[[#This Row],[Patologia respiratoria]],1)),0,1)</f>
        <v>0</v>
      </c>
      <c r="BS11" s="11" t="s">
        <v>147</v>
      </c>
      <c r="BT11" s="11" t="s">
        <v>163</v>
      </c>
      <c r="BU11" s="11" t="s">
        <v>8</v>
      </c>
      <c r="BV11" s="18">
        <f>IF(ISERROR(SEARCH("ndd",Tabella1[[#This Row],[O2 terapia]],1)),0,1)</f>
        <v>0</v>
      </c>
      <c r="BW11" s="17">
        <v>0</v>
      </c>
      <c r="BX11" s="11"/>
      <c r="BY11" s="11" t="s">
        <v>25</v>
      </c>
      <c r="BZ11" s="18">
        <v>0</v>
      </c>
      <c r="CA11" s="11" t="s">
        <v>25</v>
      </c>
      <c r="CB11" s="17">
        <v>0</v>
      </c>
      <c r="CC11" s="11" t="s">
        <v>164</v>
      </c>
      <c r="CD11" s="17">
        <v>1</v>
      </c>
      <c r="CE11" s="11" t="s">
        <v>25</v>
      </c>
      <c r="CF11" s="18">
        <v>0</v>
      </c>
      <c r="CG11" s="11" t="s">
        <v>25</v>
      </c>
      <c r="CH11" s="17">
        <v>0</v>
      </c>
      <c r="CI11" s="11" t="s">
        <v>25</v>
      </c>
      <c r="CJ11" s="18">
        <v>0</v>
      </c>
      <c r="CK11" s="11" t="s">
        <v>165</v>
      </c>
      <c r="CL11" s="17">
        <v>1</v>
      </c>
      <c r="CM11" s="11" t="s">
        <v>166</v>
      </c>
      <c r="CN11" s="17">
        <v>1</v>
      </c>
      <c r="CO11" s="11" t="s">
        <v>167</v>
      </c>
      <c r="CP11" s="17">
        <v>1</v>
      </c>
      <c r="CQ11" s="11" t="s">
        <v>54</v>
      </c>
      <c r="CR11" s="11" t="s">
        <v>168</v>
      </c>
      <c r="CS11" s="11" t="s">
        <v>86</v>
      </c>
      <c r="CT11" s="11" t="s">
        <v>169</v>
      </c>
      <c r="CU11" s="11" t="s">
        <v>170</v>
      </c>
      <c r="CV11" s="12" t="s">
        <v>171</v>
      </c>
    </row>
    <row r="12" spans="1:100" ht="185.25">
      <c r="A12" s="1">
        <f t="shared" si="0"/>
        <v>11</v>
      </c>
      <c r="B12" s="5">
        <v>103</v>
      </c>
      <c r="C12" s="6">
        <v>44335</v>
      </c>
      <c r="D12" s="7" t="s">
        <v>172</v>
      </c>
      <c r="E12" s="6">
        <v>25111</v>
      </c>
      <c r="F12" s="29">
        <f ca="1">_xlfn.DAYS(NOW(),Tabella1[[#This Row],[Data di Nascita]])/365.25</f>
        <v>56.843258042436688</v>
      </c>
      <c r="G12" s="7" t="s">
        <v>173</v>
      </c>
      <c r="H12" s="7" t="s">
        <v>174</v>
      </c>
      <c r="I12" s="7" t="s">
        <v>175</v>
      </c>
      <c r="J12" s="7" t="s">
        <v>176</v>
      </c>
      <c r="K12" s="7" t="s">
        <v>177</v>
      </c>
      <c r="L12" s="17">
        <f>IF(ISERROR(SEARCH("EX",Tabella1[[#This Row],[Attività lavorativa]],1)),0,1)</f>
        <v>0</v>
      </c>
      <c r="M12" s="17"/>
      <c r="N12" s="17"/>
      <c r="O12" s="18">
        <v>1</v>
      </c>
      <c r="P12" s="18"/>
      <c r="Q12" s="18"/>
      <c r="R12" s="18"/>
      <c r="S12" s="18"/>
      <c r="T12" s="17">
        <f>IF(ISERROR(SEARCH("NDD",Tabella1[[#This Row],[Attività lavorativa]],1)),0,1)</f>
        <v>0</v>
      </c>
      <c r="U12" s="7" t="s">
        <v>178</v>
      </c>
      <c r="V12" s="22">
        <v>20</v>
      </c>
      <c r="W12" s="22">
        <f>IF(ISERROR(SEARCH("ex",Tabella1[[#This Row],[Fumo]],1)),0,1)</f>
        <v>1</v>
      </c>
      <c r="X12" s="22">
        <f>IF(ISERROR(SEARCH("no",Tabella1[[#This Row],[Fumo]],1)),0,1)</f>
        <v>1</v>
      </c>
      <c r="Y12" s="7" t="s">
        <v>25</v>
      </c>
      <c r="Z12" s="17">
        <f>IF(ISERROR(SEARCH("NDD",Tabella1[[#This Row],[Bevitore alcolici]],1)),0,1)</f>
        <v>0</v>
      </c>
      <c r="AA12" s="17">
        <f>IF(ISERROR(SEARCH("raro",Tabella1[[#This Row],[Bevitore alcolici]],1)),0,1)</f>
        <v>0</v>
      </c>
      <c r="AB12" s="17">
        <f>IF(ISERROR(SEARCH("saltuariamente",Tabella1[[#This Row],[Bevitore alcolici]],1)),0,1)</f>
        <v>0</v>
      </c>
      <c r="AC12" s="17">
        <f>IF(ISERROR(SEARCH("nega",Tabella1[[#This Row],[Bevitore alcolici]],1)),0,1)</f>
        <v>1</v>
      </c>
      <c r="AD12" s="17">
        <f>IF(ISERROR(SEARCH("potus",Tabella1[[#This Row],[Bevitore alcolici]],1)),0,1)</f>
        <v>0</v>
      </c>
      <c r="AE12" s="7" t="s">
        <v>5689</v>
      </c>
      <c r="AF12" s="17"/>
      <c r="AG12" s="17"/>
      <c r="AH12" s="18">
        <v>1</v>
      </c>
      <c r="AI12" s="18">
        <v>1</v>
      </c>
      <c r="AJ12" s="18"/>
      <c r="AK12" s="7" t="s">
        <v>28</v>
      </c>
      <c r="AL12" s="17">
        <f>IF(ISERROR(SEARCH("si",Tabella1[[#This Row],[Patente di guida]],1)),0,1)</f>
        <v>1</v>
      </c>
      <c r="AM12" s="7" t="s">
        <v>8</v>
      </c>
      <c r="AN12" s="17">
        <f>IF(ISERROR(SEARCH("no",Tabella1[[#This Row],[Ipertensione]],1)),0,1)</f>
        <v>1</v>
      </c>
      <c r="AO12" s="7" t="s">
        <v>382</v>
      </c>
      <c r="AP12" s="18">
        <f>IF(ISERROR(SEARCH("NO",Tabella1[[#This Row],[Cardiopatia ischemica]],1)),1,0)</f>
        <v>0</v>
      </c>
      <c r="AQ12" s="17">
        <f>IF(ISERROR(SEARCH("sconosciuto",Tabella1[[#This Row],[Cardiopatia ischemica]],1)),0,1)</f>
        <v>0</v>
      </c>
      <c r="AR12" s="7" t="s">
        <v>25</v>
      </c>
      <c r="AS12" s="17">
        <f>IF(ISERROR(SEARCH("nega",Tabella1[[#This Row],[Artimie]],1)),0,1)</f>
        <v>1</v>
      </c>
      <c r="AT12" s="7" t="s">
        <v>25</v>
      </c>
      <c r="AU12" s="17">
        <f>IF(ISERROR(SEARCH("nega",Tabella1[[#This Row],[Ipercolesterolemia]],1)),0,1)</f>
        <v>1</v>
      </c>
      <c r="AV12" s="17">
        <f>IF(ISERROR(SEARCH("boh",Tabella1[[#This Row],[Ipercolesterolemia]],1)),0,1)</f>
        <v>0</v>
      </c>
      <c r="AW12" s="7" t="s">
        <v>8</v>
      </c>
      <c r="AX12" s="17">
        <f>IF(ISERROR(SEARCH("Intolleranza",Tabella1[[#This Row],[Diabete]],1)),0,1)</f>
        <v>0</v>
      </c>
      <c r="AY12" s="17">
        <f>IF(ISERROR(SEARCH("si",Tabella1[[#This Row],[Diabete]],1)),0,1)</f>
        <v>0</v>
      </c>
      <c r="AZ12" s="7" t="s">
        <v>5477</v>
      </c>
      <c r="BA12" s="17">
        <f>IF(ISERROR(SEARCH("NDD",Tabella1[[#This Row],[Patologia Tiroidea]],1)),0,1)</f>
        <v>1</v>
      </c>
      <c r="BB12" s="17">
        <f>IF(ISERROR(SEARCH("TIROIDITE",Tabella1[[#This Row],[Patologia Tiroidea]],1)),0,1)</f>
        <v>0</v>
      </c>
      <c r="BC12" s="17">
        <f>IF(ISERROR(SEARCH("HASHIMOTO",Tabella1[[#This Row],[Patologia Tiroidea]],1)),0,1)</f>
        <v>0</v>
      </c>
      <c r="BD12" s="17">
        <f>IF(ISERROR(SEARCH("BASEDOW",Tabella1[[#This Row],[Patologia Tiroidea]],1)),0,1)</f>
        <v>0</v>
      </c>
      <c r="BE12" s="17">
        <f>IF(ISERROR(SEARCH("NOD",Tabella1[[#This Row],[Patologia Tiroidea]],1)),0,1)</f>
        <v>0</v>
      </c>
      <c r="BF12" s="17">
        <f>IF(ISERROR(SEARCH("GOZ",Tabella1[[#This Row],[Patologia Tiroidea]],1)),0,1)</f>
        <v>0</v>
      </c>
      <c r="BG12" s="7" t="s">
        <v>5477</v>
      </c>
      <c r="BH12" s="18">
        <v>0</v>
      </c>
      <c r="BI12" s="7" t="s">
        <v>28</v>
      </c>
      <c r="BJ12" s="22">
        <f>IF(ISERROR(SEARCH("nega",Tabella1[[#This Row],[Reflusso gastroesofageo]],1)),1,0)</f>
        <v>1</v>
      </c>
      <c r="BK12" s="7" t="s">
        <v>179</v>
      </c>
      <c r="BL12" s="17">
        <f>IF(ISERROR(SEARCH("NDD",Tabella1[[#This Row],[Patologia respiratoria]],1)),0,1)</f>
        <v>0</v>
      </c>
      <c r="BM12" s="17">
        <f>IF(ISERROR(SEARCH("asma",Tabella1[[#This Row],[Patologia respiratoria]],1)),0,1)</f>
        <v>0</v>
      </c>
      <c r="BN12" s="17">
        <f>IF(ISERROR(SEARCH("BPCO",Tabella1[[#This Row],[Patologia respiratoria]],1)),0,1)</f>
        <v>0</v>
      </c>
      <c r="BO12" s="17">
        <f>IF(ISERROR(SEARCH("BRONCOPOLMONITE",Tabella1[[#This Row],[Patologia respiratoria]],1)),0,1)</f>
        <v>0</v>
      </c>
      <c r="BP12" s="17">
        <f>IF(ISERROR(SEARCH("ASMA, OSAS",Tabella1[[#This Row],[Patologia respiratoria]],1)),0,1)</f>
        <v>0</v>
      </c>
      <c r="BQ12" s="17">
        <f>IF(ISERROR(SEARCH("OSAS e BPCO",Tabella1[[#This Row],[Patologia respiratoria]],1)),0,1)</f>
        <v>0</v>
      </c>
      <c r="BR12" s="17">
        <f>IF(ISERROR(SEARCH("OSAS",Tabella1[[#This Row],[Patologia respiratoria]],1)),0,1)</f>
        <v>0</v>
      </c>
      <c r="BS12" s="7"/>
      <c r="BT12" s="7" t="s">
        <v>180</v>
      </c>
      <c r="BU12" s="7" t="s">
        <v>5477</v>
      </c>
      <c r="BV12" s="17">
        <f>IF(ISERROR(SEARCH("ndd",Tabella1[[#This Row],[O2 terapia]],1)),0,1)</f>
        <v>1</v>
      </c>
      <c r="BW12" s="17"/>
      <c r="BX12" s="7" t="s">
        <v>181</v>
      </c>
      <c r="BY12" s="7" t="s">
        <v>8</v>
      </c>
      <c r="BZ12" s="18">
        <v>0</v>
      </c>
      <c r="CA12" s="7" t="s">
        <v>8</v>
      </c>
      <c r="CB12" s="17">
        <v>0</v>
      </c>
      <c r="CC12" s="7" t="s">
        <v>182</v>
      </c>
      <c r="CD12" s="17">
        <v>1</v>
      </c>
      <c r="CE12" s="7" t="s">
        <v>8</v>
      </c>
      <c r="CF12" s="18">
        <v>0</v>
      </c>
      <c r="CG12" s="7" t="s">
        <v>5477</v>
      </c>
      <c r="CH12" s="17"/>
      <c r="CI12" s="7" t="s">
        <v>5477</v>
      </c>
      <c r="CJ12" s="17"/>
      <c r="CK12" s="7" t="s">
        <v>8</v>
      </c>
      <c r="CL12" s="17">
        <v>0</v>
      </c>
      <c r="CM12" s="7" t="s">
        <v>8</v>
      </c>
      <c r="CN12" s="17">
        <v>0</v>
      </c>
      <c r="CO12" s="7" t="s">
        <v>8</v>
      </c>
      <c r="CP12" s="18">
        <v>0</v>
      </c>
      <c r="CQ12" s="7" t="s">
        <v>13</v>
      </c>
      <c r="CR12" s="7" t="s">
        <v>183</v>
      </c>
      <c r="CS12" s="7" t="s">
        <v>37</v>
      </c>
      <c r="CT12" s="7" t="s">
        <v>184</v>
      </c>
      <c r="CU12" s="7" t="s">
        <v>185</v>
      </c>
      <c r="CV12" s="8" t="s">
        <v>186</v>
      </c>
    </row>
    <row r="13" spans="1:100" ht="128.25">
      <c r="A13" s="1">
        <f t="shared" si="0"/>
        <v>12</v>
      </c>
      <c r="B13" s="9">
        <v>110</v>
      </c>
      <c r="C13" s="10">
        <v>44347</v>
      </c>
      <c r="D13" s="11" t="s">
        <v>187</v>
      </c>
      <c r="E13" s="10">
        <v>18328</v>
      </c>
      <c r="F13" s="29">
        <f ca="1">_xlfn.DAYS(NOW(),Tabella1[[#This Row],[Data di Nascita]])/365.25</f>
        <v>75.414099931553736</v>
      </c>
      <c r="G13" s="11" t="s">
        <v>188</v>
      </c>
      <c r="H13" s="11" t="s">
        <v>189</v>
      </c>
      <c r="I13" s="11" t="s">
        <v>190</v>
      </c>
      <c r="J13" s="11" t="s">
        <v>191</v>
      </c>
      <c r="K13" s="11" t="s">
        <v>192</v>
      </c>
      <c r="L13" s="18">
        <f>IF(ISERROR(SEARCH("EX",Tabella1[[#This Row],[Attività lavorativa]],1)),0,1)</f>
        <v>1</v>
      </c>
      <c r="M13" s="18"/>
      <c r="N13" s="18"/>
      <c r="O13" s="18"/>
      <c r="P13" s="18"/>
      <c r="Q13" s="18"/>
      <c r="R13" s="18"/>
      <c r="S13" s="18"/>
      <c r="T13" s="17">
        <f>IF(ISERROR(SEARCH("NDD",Tabella1[[#This Row],[Attività lavorativa]],1)),0,1)</f>
        <v>0</v>
      </c>
      <c r="U13" s="11" t="s">
        <v>193</v>
      </c>
      <c r="V13" s="22" t="s">
        <v>3687</v>
      </c>
      <c r="W13" s="22">
        <f>IF(ISERROR(SEARCH("ex",Tabella1[[#This Row],[Fumo]],1)),0,1)</f>
        <v>0</v>
      </c>
      <c r="X13" s="22">
        <f>IF(ISERROR(SEARCH("no",Tabella1[[#This Row],[Fumo]],1)),0,1)</f>
        <v>0</v>
      </c>
      <c r="Y13" s="11" t="s">
        <v>25</v>
      </c>
      <c r="Z13" s="18">
        <f>IF(ISERROR(SEARCH("NDD",Tabella1[[#This Row],[Bevitore alcolici]],1)),0,1)</f>
        <v>0</v>
      </c>
      <c r="AA13" s="17">
        <f>IF(ISERROR(SEARCH("raro",Tabella1[[#This Row],[Bevitore alcolici]],1)),0,1)</f>
        <v>0</v>
      </c>
      <c r="AB13" s="17">
        <f>IF(ISERROR(SEARCH("saltuariamente",Tabella1[[#This Row],[Bevitore alcolici]],1)),0,1)</f>
        <v>0</v>
      </c>
      <c r="AC13" s="17">
        <f>IF(ISERROR(SEARCH("nega",Tabella1[[#This Row],[Bevitore alcolici]],1)),0,1)</f>
        <v>1</v>
      </c>
      <c r="AD13" s="17">
        <f>IF(ISERROR(SEARCH("potus",Tabella1[[#This Row],[Bevitore alcolici]],1)),0,1)</f>
        <v>0</v>
      </c>
      <c r="AE13" s="11" t="s">
        <v>657</v>
      </c>
      <c r="AF13" s="18"/>
      <c r="AG13" s="18"/>
      <c r="AH13" s="18"/>
      <c r="AI13" s="18"/>
      <c r="AJ13" s="18"/>
      <c r="AK13" s="11" t="s">
        <v>8</v>
      </c>
      <c r="AL13" s="18">
        <f>IF(ISERROR(SEARCH("si",Tabella1[[#This Row],[Patente di guida]],1)),0,1)</f>
        <v>0</v>
      </c>
      <c r="AM13" s="11" t="s">
        <v>28</v>
      </c>
      <c r="AN13" s="18">
        <f>IF(ISERROR(SEARCH("no",Tabella1[[#This Row],[Ipertensione]],1)),0,1)</f>
        <v>0</v>
      </c>
      <c r="AO13" s="11" t="s">
        <v>3727</v>
      </c>
      <c r="AP13" s="18">
        <f>IF(ISERROR(SEARCH("NO",Tabella1[[#This Row],[Cardiopatia ischemica]],1)),1,0)</f>
        <v>0</v>
      </c>
      <c r="AQ13" s="17">
        <f>IF(ISERROR(SEARCH("sconosciuto",Tabella1[[#This Row],[Cardiopatia ischemica]],1)),0,1)</f>
        <v>0</v>
      </c>
      <c r="AR13" s="11" t="s">
        <v>25</v>
      </c>
      <c r="AS13" s="22">
        <f>IF(ISERROR(SEARCH("nega",Tabella1[[#This Row],[Artimie]],1)),0,1)</f>
        <v>1</v>
      </c>
      <c r="AT13" s="11" t="s">
        <v>25</v>
      </c>
      <c r="AU13" s="22">
        <f>IF(ISERROR(SEARCH("nega",Tabella1[[#This Row],[Ipercolesterolemia]],1)),0,1)</f>
        <v>1</v>
      </c>
      <c r="AV13" s="22">
        <f>IF(ISERROR(SEARCH("boh",Tabella1[[#This Row],[Ipercolesterolemia]],1)),0,1)</f>
        <v>0</v>
      </c>
      <c r="AW13" s="11" t="s">
        <v>28</v>
      </c>
      <c r="AX13" s="22">
        <f>IF(ISERROR(SEARCH("Intolleranza",Tabella1[[#This Row],[Diabete]],1)),0,1)</f>
        <v>0</v>
      </c>
      <c r="AY13" s="22">
        <f>IF(ISERROR(SEARCH("si",Tabella1[[#This Row],[Diabete]],1)),0,1)</f>
        <v>1</v>
      </c>
      <c r="AZ13" s="11" t="s">
        <v>8</v>
      </c>
      <c r="BA13" s="18">
        <f>IF(ISERROR(SEARCH("NDD",Tabella1[[#This Row],[Patologia Tiroidea]],1)),0,1)</f>
        <v>0</v>
      </c>
      <c r="BB13" s="22">
        <f>IF(ISERROR(SEARCH("TIROIDITE",Tabella1[[#This Row],[Patologia Tiroidea]],1)),0,1)</f>
        <v>0</v>
      </c>
      <c r="BC13" s="22">
        <f>IF(ISERROR(SEARCH("HASHIMOTO",Tabella1[[#This Row],[Patologia Tiroidea]],1)),0,1)</f>
        <v>0</v>
      </c>
      <c r="BD13" s="22">
        <f>IF(ISERROR(SEARCH("BASEDOW",Tabella1[[#This Row],[Patologia Tiroidea]],1)),0,1)</f>
        <v>0</v>
      </c>
      <c r="BE13" s="22">
        <f>IF(ISERROR(SEARCH("NOD",Tabella1[[#This Row],[Patologia Tiroidea]],1)),0,1)</f>
        <v>0</v>
      </c>
      <c r="BF13" s="22">
        <f>IF(ISERROR(SEARCH("GOZ",Tabella1[[#This Row],[Patologia Tiroidea]],1)),0,1)</f>
        <v>0</v>
      </c>
      <c r="BG13" s="11" t="s">
        <v>28</v>
      </c>
      <c r="BH13" s="18">
        <f>IF(Tabella1[[#This Row],[Obesità]]="no",0,1)</f>
        <v>1</v>
      </c>
      <c r="BI13" s="11" t="s">
        <v>196</v>
      </c>
      <c r="BJ13" s="22">
        <f>IF(ISERROR(SEARCH("nega",Tabella1[[#This Row],[Reflusso gastroesofageo]],1)),1,0)</f>
        <v>1</v>
      </c>
      <c r="BK13" s="11" t="s">
        <v>5477</v>
      </c>
      <c r="BL13" s="18">
        <f>IF(ISERROR(SEARCH("NDD",Tabella1[[#This Row],[Patologia respiratoria]],1)),0,1)</f>
        <v>1</v>
      </c>
      <c r="BM13" s="18">
        <f>IF(ISERROR(SEARCH("asma",Tabella1[[#This Row],[Patologia respiratoria]],1)),0,1)</f>
        <v>0</v>
      </c>
      <c r="BN13" s="18">
        <f>IF(ISERROR(SEARCH("BPCO",Tabella1[[#This Row],[Patologia respiratoria]],1)),0,1)</f>
        <v>0</v>
      </c>
      <c r="BO13" s="18">
        <f>IF(ISERROR(SEARCH("BRONCOPOLMONITE",Tabella1[[#This Row],[Patologia respiratoria]],1)),0,1)</f>
        <v>0</v>
      </c>
      <c r="BP13" s="18">
        <f>IF(ISERROR(SEARCH("ASMA, OSAS",Tabella1[[#This Row],[Patologia respiratoria]],1)),0,1)</f>
        <v>0</v>
      </c>
      <c r="BQ13" s="18">
        <f>IF(ISERROR(SEARCH("OSAS e BPCO",Tabella1[[#This Row],[Patologia respiratoria]],1)),0,1)</f>
        <v>0</v>
      </c>
      <c r="BR13" s="18">
        <f>IF(ISERROR(SEARCH("OSAS",Tabella1[[#This Row],[Patologia respiratoria]],1)),0,1)</f>
        <v>0</v>
      </c>
      <c r="BS13" s="11" t="s">
        <v>197</v>
      </c>
      <c r="BT13" s="11" t="s">
        <v>198</v>
      </c>
      <c r="BU13" s="11" t="s">
        <v>8</v>
      </c>
      <c r="BV13" s="18">
        <f>IF(ISERROR(SEARCH("ndd",Tabella1[[#This Row],[O2 terapia]],1)),0,1)</f>
        <v>0</v>
      </c>
      <c r="BW13" s="17">
        <v>0</v>
      </c>
      <c r="BX13" s="11"/>
      <c r="BY13" s="11" t="s">
        <v>8</v>
      </c>
      <c r="BZ13" s="18">
        <v>0</v>
      </c>
      <c r="CA13" s="11" t="s">
        <v>8</v>
      </c>
      <c r="CB13" s="17">
        <v>0</v>
      </c>
      <c r="CC13" s="11" t="s">
        <v>8</v>
      </c>
      <c r="CD13" s="18">
        <v>0</v>
      </c>
      <c r="CE13" s="11" t="s">
        <v>8</v>
      </c>
      <c r="CF13" s="18">
        <v>0</v>
      </c>
      <c r="CG13" s="11" t="s">
        <v>8</v>
      </c>
      <c r="CH13" s="17">
        <v>0</v>
      </c>
      <c r="CI13" s="7" t="s">
        <v>5477</v>
      </c>
      <c r="CJ13" s="18"/>
      <c r="CK13" s="11" t="s">
        <v>199</v>
      </c>
      <c r="CL13" s="17">
        <v>0</v>
      </c>
      <c r="CM13" s="11" t="s">
        <v>200</v>
      </c>
      <c r="CN13" s="17">
        <v>1</v>
      </c>
      <c r="CO13" s="11" t="s">
        <v>201</v>
      </c>
      <c r="CP13" s="18">
        <v>0</v>
      </c>
      <c r="CQ13" s="11" t="s">
        <v>202</v>
      </c>
      <c r="CR13" s="11" t="s">
        <v>203</v>
      </c>
      <c r="CS13" s="11" t="s">
        <v>105</v>
      </c>
      <c r="CT13" s="11" t="s">
        <v>204</v>
      </c>
      <c r="CU13" s="11" t="s">
        <v>205</v>
      </c>
      <c r="CV13" s="12" t="s">
        <v>206</v>
      </c>
    </row>
    <row r="14" spans="1:100" ht="285">
      <c r="A14" s="1">
        <f t="shared" si="0"/>
        <v>13</v>
      </c>
      <c r="B14" s="5">
        <v>111</v>
      </c>
      <c r="C14" s="6">
        <v>44347</v>
      </c>
      <c r="D14" s="7" t="s">
        <v>207</v>
      </c>
      <c r="E14" s="6">
        <v>21779</v>
      </c>
      <c r="F14" s="29">
        <f ca="1">_xlfn.DAYS(NOW(),Tabella1[[#This Row],[Data di Nascita]])/365.25</f>
        <v>65.965776865160848</v>
      </c>
      <c r="G14" s="7" t="s">
        <v>208</v>
      </c>
      <c r="H14" s="7" t="s">
        <v>209</v>
      </c>
      <c r="I14" s="7" t="s">
        <v>210</v>
      </c>
      <c r="J14" s="7" t="s">
        <v>211</v>
      </c>
      <c r="K14" s="7" t="s">
        <v>5597</v>
      </c>
      <c r="L14" s="17">
        <f>IF(ISERROR(SEARCH("EX",Tabella1[[#This Row],[Attività lavorativa]],1)),0,1)</f>
        <v>1</v>
      </c>
      <c r="M14" s="17"/>
      <c r="N14" s="17"/>
      <c r="O14" s="17"/>
      <c r="P14" s="17"/>
      <c r="Q14" s="17"/>
      <c r="R14" s="17"/>
      <c r="S14" s="17"/>
      <c r="T14" s="17">
        <f>IF(ISERROR(SEARCH("NDD",Tabella1[[#This Row],[Attività lavorativa]],1)),0,1)</f>
        <v>0</v>
      </c>
      <c r="U14" s="7" t="s">
        <v>212</v>
      </c>
      <c r="V14" s="22">
        <v>10</v>
      </c>
      <c r="W14" s="22">
        <f>IF(ISERROR(SEARCH("ex",Tabella1[[#This Row],[Fumo]],1)),0,1)</f>
        <v>0</v>
      </c>
      <c r="X14" s="22">
        <f>IF(ISERROR(SEARCH("no",Tabella1[[#This Row],[Fumo]],1)),0,1)</f>
        <v>0</v>
      </c>
      <c r="Y14" s="7" t="s">
        <v>25</v>
      </c>
      <c r="Z14" s="17">
        <f>IF(ISERROR(SEARCH("NDD",Tabella1[[#This Row],[Bevitore alcolici]],1)),0,1)</f>
        <v>0</v>
      </c>
      <c r="AA14" s="17">
        <f>IF(ISERROR(SEARCH("raro",Tabella1[[#This Row],[Bevitore alcolici]],1)),0,1)</f>
        <v>0</v>
      </c>
      <c r="AB14" s="17">
        <f>IF(ISERROR(SEARCH("saltuariamente",Tabella1[[#This Row],[Bevitore alcolici]],1)),0,1)</f>
        <v>0</v>
      </c>
      <c r="AC14" s="17">
        <f>IF(ISERROR(SEARCH("nega",Tabella1[[#This Row],[Bevitore alcolici]],1)),0,1)</f>
        <v>1</v>
      </c>
      <c r="AD14" s="17">
        <f>IF(ISERROR(SEARCH("potus",Tabella1[[#This Row],[Bevitore alcolici]],1)),0,1)</f>
        <v>0</v>
      </c>
      <c r="AE14" s="7" t="s">
        <v>657</v>
      </c>
      <c r="AF14" s="17"/>
      <c r="AG14" s="17"/>
      <c r="AH14" s="17"/>
      <c r="AI14" s="17"/>
      <c r="AJ14" s="17"/>
      <c r="AK14" s="7" t="s">
        <v>194</v>
      </c>
      <c r="AL14" s="17">
        <f>IF(ISERROR(SEARCH("si",Tabella1[[#This Row],[Patente di guida]],1)),0,1)</f>
        <v>1</v>
      </c>
      <c r="AM14" s="7" t="s">
        <v>195</v>
      </c>
      <c r="AN14" s="17">
        <f>IF(ISERROR(SEARCH("no",Tabella1[[#This Row],[Ipertensione]],1)),0,1)</f>
        <v>1</v>
      </c>
      <c r="AO14" s="7" t="s">
        <v>382</v>
      </c>
      <c r="AP14" s="18">
        <f>IF(ISERROR(SEARCH("NO",Tabella1[[#This Row],[Cardiopatia ischemica]],1)),1,0)</f>
        <v>0</v>
      </c>
      <c r="AQ14" s="17">
        <f>IF(ISERROR(SEARCH("sconosciuto",Tabella1[[#This Row],[Cardiopatia ischemica]],1)),0,1)</f>
        <v>0</v>
      </c>
      <c r="AR14" s="7" t="s">
        <v>25</v>
      </c>
      <c r="AS14" s="17">
        <f>IF(ISERROR(SEARCH("nega",Tabella1[[#This Row],[Artimie]],1)),0,1)</f>
        <v>1</v>
      </c>
      <c r="AT14" s="7" t="s">
        <v>194</v>
      </c>
      <c r="AU14" s="17">
        <f>IF(ISERROR(SEARCH("nega",Tabella1[[#This Row],[Ipercolesterolemia]],1)),0,1)</f>
        <v>0</v>
      </c>
      <c r="AV14" s="17">
        <f>IF(ISERROR(SEARCH("boh",Tabella1[[#This Row],[Ipercolesterolemia]],1)),0,1)</f>
        <v>0</v>
      </c>
      <c r="AW14" s="7" t="s">
        <v>28</v>
      </c>
      <c r="AX14" s="17">
        <f>IF(ISERROR(SEARCH("Intolleranza",Tabella1[[#This Row],[Diabete]],1)),0,1)</f>
        <v>0</v>
      </c>
      <c r="AY14" s="17">
        <f>IF(ISERROR(SEARCH("si",Tabella1[[#This Row],[Diabete]],1)),0,1)</f>
        <v>1</v>
      </c>
      <c r="AZ14" s="7" t="s">
        <v>195</v>
      </c>
      <c r="BA14" s="17">
        <f>IF(ISERROR(SEARCH("NDD",Tabella1[[#This Row],[Patologia Tiroidea]],1)),0,1)</f>
        <v>0</v>
      </c>
      <c r="BB14" s="17">
        <f>IF(ISERROR(SEARCH("TIROIDITE",Tabella1[[#This Row],[Patologia Tiroidea]],1)),0,1)</f>
        <v>0</v>
      </c>
      <c r="BC14" s="17">
        <f>IF(ISERROR(SEARCH("HASHIMOTO",Tabella1[[#This Row],[Patologia Tiroidea]],1)),0,1)</f>
        <v>0</v>
      </c>
      <c r="BD14" s="17">
        <f>IF(ISERROR(SEARCH("BASEDOW",Tabella1[[#This Row],[Patologia Tiroidea]],1)),0,1)</f>
        <v>0</v>
      </c>
      <c r="BE14" s="17">
        <f>IF(ISERROR(SEARCH("NOD",Tabella1[[#This Row],[Patologia Tiroidea]],1)),0,1)</f>
        <v>0</v>
      </c>
      <c r="BF14" s="17">
        <f>IF(ISERROR(SEARCH("GOZ",Tabella1[[#This Row],[Patologia Tiroidea]],1)),0,1)</f>
        <v>0</v>
      </c>
      <c r="BG14" s="7" t="s">
        <v>28</v>
      </c>
      <c r="BH14" s="17">
        <f>IF(Tabella1[[#This Row],[Obesità]]="no",0,1)</f>
        <v>1</v>
      </c>
      <c r="BI14" s="7" t="s">
        <v>194</v>
      </c>
      <c r="BJ14" s="22">
        <f>IF(ISERROR(SEARCH("nega",Tabella1[[#This Row],[Reflusso gastroesofageo]],1)),1,0)</f>
        <v>1</v>
      </c>
      <c r="BK14" s="7" t="s">
        <v>195</v>
      </c>
      <c r="BL14" s="17">
        <f>IF(ISERROR(SEARCH("NDD",Tabella1[[#This Row],[Patologia respiratoria]],1)),0,1)</f>
        <v>0</v>
      </c>
      <c r="BM14" s="17">
        <f>IF(ISERROR(SEARCH("asma",Tabella1[[#This Row],[Patologia respiratoria]],1)),0,1)</f>
        <v>0</v>
      </c>
      <c r="BN14" s="17">
        <f>IF(ISERROR(SEARCH("BPCO",Tabella1[[#This Row],[Patologia respiratoria]],1)),0,1)</f>
        <v>0</v>
      </c>
      <c r="BO14" s="17">
        <f>IF(ISERROR(SEARCH("BRONCOPOLMONITE",Tabella1[[#This Row],[Patologia respiratoria]],1)),0,1)</f>
        <v>0</v>
      </c>
      <c r="BP14" s="17">
        <f>IF(ISERROR(SEARCH("ASMA, OSAS",Tabella1[[#This Row],[Patologia respiratoria]],1)),0,1)</f>
        <v>0</v>
      </c>
      <c r="BQ14" s="17">
        <f>IF(ISERROR(SEARCH("OSAS e BPCO",Tabella1[[#This Row],[Patologia respiratoria]],1)),0,1)</f>
        <v>0</v>
      </c>
      <c r="BR14" s="17">
        <f>IF(ISERROR(SEARCH("OSAS",Tabella1[[#This Row],[Patologia respiratoria]],1)),0,1)</f>
        <v>0</v>
      </c>
      <c r="BS14" s="7" t="s">
        <v>213</v>
      </c>
      <c r="BT14" s="7" t="s">
        <v>214</v>
      </c>
      <c r="BU14" s="7" t="s">
        <v>194</v>
      </c>
      <c r="BV14" s="17">
        <f>IF(ISERROR(SEARCH("ndd",Tabella1[[#This Row],[O2 terapia]],1)),0,1)</f>
        <v>0</v>
      </c>
      <c r="BW14" s="22">
        <v>1</v>
      </c>
      <c r="BX14" s="7"/>
      <c r="BY14" s="7" t="s">
        <v>195</v>
      </c>
      <c r="BZ14" s="18">
        <v>0</v>
      </c>
      <c r="CA14" s="7" t="s">
        <v>194</v>
      </c>
      <c r="CB14" s="17">
        <v>1</v>
      </c>
      <c r="CC14" s="7" t="s">
        <v>215</v>
      </c>
      <c r="CD14" s="17">
        <v>1</v>
      </c>
      <c r="CE14" s="7" t="s">
        <v>195</v>
      </c>
      <c r="CF14" s="18">
        <v>0</v>
      </c>
      <c r="CG14" s="7" t="s">
        <v>195</v>
      </c>
      <c r="CH14" s="17">
        <v>0</v>
      </c>
      <c r="CI14" s="7" t="s">
        <v>194</v>
      </c>
      <c r="CJ14" s="17">
        <v>1</v>
      </c>
      <c r="CK14" s="7" t="s">
        <v>216</v>
      </c>
      <c r="CL14" s="17">
        <v>1</v>
      </c>
      <c r="CM14" s="7" t="s">
        <v>194</v>
      </c>
      <c r="CN14" s="17">
        <v>1</v>
      </c>
      <c r="CO14" s="7" t="s">
        <v>217</v>
      </c>
      <c r="CP14" s="17">
        <v>1</v>
      </c>
      <c r="CQ14" s="7" t="s">
        <v>85</v>
      </c>
      <c r="CR14" s="7" t="s">
        <v>218</v>
      </c>
      <c r="CS14" s="7" t="s">
        <v>219</v>
      </c>
      <c r="CT14" s="7" t="s">
        <v>169</v>
      </c>
      <c r="CU14" s="7" t="s">
        <v>220</v>
      </c>
      <c r="CV14" s="8" t="s">
        <v>221</v>
      </c>
    </row>
    <row r="15" spans="1:100" ht="199.5">
      <c r="A15" s="1">
        <f t="shared" si="0"/>
        <v>14</v>
      </c>
      <c r="B15" s="9">
        <v>147</v>
      </c>
      <c r="C15" s="10">
        <v>44382</v>
      </c>
      <c r="D15" s="11" t="s">
        <v>222</v>
      </c>
      <c r="E15" s="10">
        <v>32018</v>
      </c>
      <c r="F15" s="29">
        <f ca="1">_xlfn.DAYS(NOW(),Tabella1[[#This Row],[Data di Nascita]])/365.25</f>
        <v>37.932922655715267</v>
      </c>
      <c r="G15" s="11" t="s">
        <v>223</v>
      </c>
      <c r="H15" s="11" t="s">
        <v>224</v>
      </c>
      <c r="I15" s="11" t="s">
        <v>225</v>
      </c>
      <c r="J15" s="11" t="s">
        <v>226</v>
      </c>
      <c r="K15" s="11" t="s">
        <v>227</v>
      </c>
      <c r="L15" s="18">
        <f>IF(ISERROR(SEARCH("EX",Tabella1[[#This Row],[Attività lavorativa]],1)),0,1)</f>
        <v>0</v>
      </c>
      <c r="M15" s="18"/>
      <c r="N15" s="18"/>
      <c r="O15" s="18"/>
      <c r="P15" s="18"/>
      <c r="Q15" s="18">
        <v>1</v>
      </c>
      <c r="R15" s="18"/>
      <c r="S15" s="18"/>
      <c r="T15" s="17">
        <f>IF(ISERROR(SEARCH("NDD",Tabella1[[#This Row],[Attività lavorativa]],1)),0,1)</f>
        <v>0</v>
      </c>
      <c r="U15" s="11" t="s">
        <v>228</v>
      </c>
      <c r="V15" s="22">
        <v>10</v>
      </c>
      <c r="W15" s="22">
        <f>IF(ISERROR(SEARCH("ex",Tabella1[[#This Row],[Fumo]],1)),0,1)</f>
        <v>1</v>
      </c>
      <c r="X15" s="22">
        <f>IF(ISERROR(SEARCH("no",Tabella1[[#This Row],[Fumo]],1)),0,1)</f>
        <v>1</v>
      </c>
      <c r="Y15" s="11" t="s">
        <v>25</v>
      </c>
      <c r="Z15" s="18">
        <f>IF(ISERROR(SEARCH("NDD",Tabella1[[#This Row],[Bevitore alcolici]],1)),0,1)</f>
        <v>0</v>
      </c>
      <c r="AA15" s="17">
        <f>IF(ISERROR(SEARCH("raro",Tabella1[[#This Row],[Bevitore alcolici]],1)),0,1)</f>
        <v>0</v>
      </c>
      <c r="AB15" s="17">
        <f>IF(ISERROR(SEARCH("saltuariamente",Tabella1[[#This Row],[Bevitore alcolici]],1)),0,1)</f>
        <v>0</v>
      </c>
      <c r="AC15" s="17">
        <f>IF(ISERROR(SEARCH("nega",Tabella1[[#This Row],[Bevitore alcolici]],1)),0,1)</f>
        <v>1</v>
      </c>
      <c r="AD15" s="17">
        <f>IF(ISERROR(SEARCH("potus",Tabella1[[#This Row],[Bevitore alcolici]],1)),0,1)</f>
        <v>0</v>
      </c>
      <c r="AE15" s="11" t="s">
        <v>229</v>
      </c>
      <c r="AF15" s="18"/>
      <c r="AG15" s="18">
        <v>1</v>
      </c>
      <c r="AH15" s="18"/>
      <c r="AI15" s="18"/>
      <c r="AJ15" s="18"/>
      <c r="AK15" s="11" t="s">
        <v>28</v>
      </c>
      <c r="AL15" s="18">
        <f>IF(ISERROR(SEARCH("si",Tabella1[[#This Row],[Patente di guida]],1)),0,1)</f>
        <v>1</v>
      </c>
      <c r="AM15" s="11" t="s">
        <v>28</v>
      </c>
      <c r="AN15" s="18">
        <f>IF(ISERROR(SEARCH("no",Tabella1[[#This Row],[Ipertensione]],1)),0,1)</f>
        <v>0</v>
      </c>
      <c r="AO15" s="11" t="s">
        <v>28</v>
      </c>
      <c r="AP15" s="18">
        <f>IF(ISERROR(SEARCH("NO",Tabella1[[#This Row],[Cardiopatia ischemica]],1)),1,0)</f>
        <v>1</v>
      </c>
      <c r="AQ15" s="17">
        <f>IF(ISERROR(SEARCH("sconosciuto",Tabella1[[#This Row],[Cardiopatia ischemica]],1)),0,1)</f>
        <v>0</v>
      </c>
      <c r="AR15" s="11" t="s">
        <v>230</v>
      </c>
      <c r="AS15" s="22">
        <f>IF(ISERROR(SEARCH("nega",Tabella1[[#This Row],[Artimie]],1)),0,1)</f>
        <v>0</v>
      </c>
      <c r="AT15" s="11" t="s">
        <v>25</v>
      </c>
      <c r="AU15" s="22">
        <f>IF(ISERROR(SEARCH("nega",Tabella1[[#This Row],[Ipercolesterolemia]],1)),0,1)</f>
        <v>1</v>
      </c>
      <c r="AV15" s="22">
        <f>IF(ISERROR(SEARCH("boh",Tabella1[[#This Row],[Ipercolesterolemia]],1)),0,1)</f>
        <v>0</v>
      </c>
      <c r="AW15" s="11" t="s">
        <v>25</v>
      </c>
      <c r="AX15" s="22">
        <f>IF(ISERROR(SEARCH("Intolleranza",Tabella1[[#This Row],[Diabete]],1)),0,1)</f>
        <v>0</v>
      </c>
      <c r="AY15" s="22">
        <f>IF(ISERROR(SEARCH("si",Tabella1[[#This Row],[Diabete]],1)),0,1)</f>
        <v>0</v>
      </c>
      <c r="AZ15" s="11" t="s">
        <v>25</v>
      </c>
      <c r="BA15" s="18">
        <f>IF(ISERROR(SEARCH("NDD",Tabella1[[#This Row],[Patologia Tiroidea]],1)),0,1)</f>
        <v>0</v>
      </c>
      <c r="BB15" s="22">
        <f>IF(ISERROR(SEARCH("TIROIDITE",Tabella1[[#This Row],[Patologia Tiroidea]],1)),0,1)</f>
        <v>0</v>
      </c>
      <c r="BC15" s="22">
        <f>IF(ISERROR(SEARCH("HASHIMOTO",Tabella1[[#This Row],[Patologia Tiroidea]],1)),0,1)</f>
        <v>0</v>
      </c>
      <c r="BD15" s="22">
        <f>IF(ISERROR(SEARCH("BASEDOW",Tabella1[[#This Row],[Patologia Tiroidea]],1)),0,1)</f>
        <v>0</v>
      </c>
      <c r="BE15" s="22">
        <f>IF(ISERROR(SEARCH("NOD",Tabella1[[#This Row],[Patologia Tiroidea]],1)),0,1)</f>
        <v>0</v>
      </c>
      <c r="BF15" s="22">
        <f>IF(ISERROR(SEARCH("GOZ",Tabella1[[#This Row],[Patologia Tiroidea]],1)),0,1)</f>
        <v>0</v>
      </c>
      <c r="BG15" s="11" t="s">
        <v>8</v>
      </c>
      <c r="BH15" s="18">
        <f>IF(Tabella1[[#This Row],[Obesità]]="no",0,1)</f>
        <v>0</v>
      </c>
      <c r="BI15" s="11" t="s">
        <v>25</v>
      </c>
      <c r="BJ15" s="22">
        <f>IF(ISERROR(SEARCH("nega",Tabella1[[#This Row],[Reflusso gastroesofageo]],1)),1,0)</f>
        <v>0</v>
      </c>
      <c r="BK15" s="11" t="s">
        <v>5477</v>
      </c>
      <c r="BL15" s="18">
        <f>IF(ISERROR(SEARCH("NDD",Tabella1[[#This Row],[Patologia respiratoria]],1)),0,1)</f>
        <v>1</v>
      </c>
      <c r="BM15" s="18">
        <f>IF(ISERROR(SEARCH("asma",Tabella1[[#This Row],[Patologia respiratoria]],1)),0,1)</f>
        <v>0</v>
      </c>
      <c r="BN15" s="18">
        <f>IF(ISERROR(SEARCH("BPCO",Tabella1[[#This Row],[Patologia respiratoria]],1)),0,1)</f>
        <v>0</v>
      </c>
      <c r="BO15" s="18">
        <f>IF(ISERROR(SEARCH("BRONCOPOLMONITE",Tabella1[[#This Row],[Patologia respiratoria]],1)),0,1)</f>
        <v>0</v>
      </c>
      <c r="BP15" s="18">
        <f>IF(ISERROR(SEARCH("ASMA, OSAS",Tabella1[[#This Row],[Patologia respiratoria]],1)),0,1)</f>
        <v>0</v>
      </c>
      <c r="BQ15" s="18">
        <f>IF(ISERROR(SEARCH("OSAS e BPCO",Tabella1[[#This Row],[Patologia respiratoria]],1)),0,1)</f>
        <v>0</v>
      </c>
      <c r="BR15" s="18">
        <f>IF(ISERROR(SEARCH("OSAS",Tabella1[[#This Row],[Patologia respiratoria]],1)),0,1)</f>
        <v>0</v>
      </c>
      <c r="BS15" s="11"/>
      <c r="BT15" s="11" t="s">
        <v>231</v>
      </c>
      <c r="BU15" s="11" t="s">
        <v>25</v>
      </c>
      <c r="BV15" s="18">
        <f>IF(ISERROR(SEARCH("ndd",Tabella1[[#This Row],[O2 terapia]],1)),0,1)</f>
        <v>0</v>
      </c>
      <c r="BW15" s="17">
        <v>0</v>
      </c>
      <c r="BX15" s="11" t="s">
        <v>232</v>
      </c>
      <c r="BY15" s="11" t="s">
        <v>25</v>
      </c>
      <c r="BZ15" s="18">
        <v>0</v>
      </c>
      <c r="CA15" s="11" t="s">
        <v>25</v>
      </c>
      <c r="CB15" s="17">
        <v>0</v>
      </c>
      <c r="CC15" s="11" t="s">
        <v>47</v>
      </c>
      <c r="CD15" s="17">
        <v>1</v>
      </c>
      <c r="CE15" s="11" t="s">
        <v>25</v>
      </c>
      <c r="CF15" s="18">
        <v>0</v>
      </c>
      <c r="CG15" s="7" t="s">
        <v>5477</v>
      </c>
      <c r="CH15" s="18"/>
      <c r="CI15" s="7" t="s">
        <v>5477</v>
      </c>
      <c r="CJ15" s="18"/>
      <c r="CK15" s="11" t="s">
        <v>25</v>
      </c>
      <c r="CL15" s="17">
        <v>0</v>
      </c>
      <c r="CM15" s="11" t="s">
        <v>25</v>
      </c>
      <c r="CN15" s="17">
        <v>0</v>
      </c>
      <c r="CO15" s="11" t="s">
        <v>28</v>
      </c>
      <c r="CP15" s="17">
        <v>1</v>
      </c>
      <c r="CQ15" s="11" t="s">
        <v>69</v>
      </c>
      <c r="CR15" s="11" t="s">
        <v>233</v>
      </c>
      <c r="CS15" s="11" t="s">
        <v>71</v>
      </c>
      <c r="CT15" s="11" t="s">
        <v>234</v>
      </c>
      <c r="CU15" s="11" t="s">
        <v>235</v>
      </c>
      <c r="CV15" s="12" t="s">
        <v>236</v>
      </c>
    </row>
    <row r="16" spans="1:100" ht="242.25">
      <c r="A16" s="1">
        <f t="shared" si="0"/>
        <v>15</v>
      </c>
      <c r="B16" s="5">
        <v>161</v>
      </c>
      <c r="C16" s="6">
        <v>44404</v>
      </c>
      <c r="D16" s="7" t="s">
        <v>237</v>
      </c>
      <c r="E16" s="6">
        <v>24419</v>
      </c>
      <c r="F16" s="29">
        <f ca="1">_xlfn.DAYS(NOW(),Tabella1[[#This Row],[Data di Nascita]])/365.25</f>
        <v>58.737850787132103</v>
      </c>
      <c r="G16" s="7" t="s">
        <v>238</v>
      </c>
      <c r="H16" s="7" t="s">
        <v>239</v>
      </c>
      <c r="I16" s="7" t="s">
        <v>225</v>
      </c>
      <c r="J16" s="7" t="s">
        <v>240</v>
      </c>
      <c r="K16" s="7" t="s">
        <v>241</v>
      </c>
      <c r="L16" s="17">
        <f>IF(ISERROR(SEARCH("EX",Tabella1[[#This Row],[Attività lavorativa]],1)),0,1)</f>
        <v>0</v>
      </c>
      <c r="M16" s="17"/>
      <c r="N16" s="17"/>
      <c r="O16" s="17"/>
      <c r="P16" s="18">
        <v>1</v>
      </c>
      <c r="Q16" s="17"/>
      <c r="R16" s="17"/>
      <c r="S16" s="17"/>
      <c r="T16" s="17">
        <f>IF(ISERROR(SEARCH("NDD",Tabella1[[#This Row],[Attività lavorativa]],1)),0,1)</f>
        <v>0</v>
      </c>
      <c r="U16" s="7" t="s">
        <v>8</v>
      </c>
      <c r="V16" s="22" t="s">
        <v>3687</v>
      </c>
      <c r="W16" s="22">
        <f>IF(ISERROR(SEARCH("ex",Tabella1[[#This Row],[Fumo]],1)),0,1)</f>
        <v>0</v>
      </c>
      <c r="X16" s="22">
        <f>IF(ISERROR(SEARCH("no",Tabella1[[#This Row],[Fumo]],1)),0,1)</f>
        <v>1</v>
      </c>
      <c r="Y16" s="7" t="s">
        <v>25</v>
      </c>
      <c r="Z16" s="17">
        <f>IF(ISERROR(SEARCH("NDD",Tabella1[[#This Row],[Bevitore alcolici]],1)),0,1)</f>
        <v>0</v>
      </c>
      <c r="AA16" s="17">
        <f>IF(ISERROR(SEARCH("raro",Tabella1[[#This Row],[Bevitore alcolici]],1)),0,1)</f>
        <v>0</v>
      </c>
      <c r="AB16" s="17">
        <f>IF(ISERROR(SEARCH("saltuariamente",Tabella1[[#This Row],[Bevitore alcolici]],1)),0,1)</f>
        <v>0</v>
      </c>
      <c r="AC16" s="17">
        <f>IF(ISERROR(SEARCH("nega",Tabella1[[#This Row],[Bevitore alcolici]],1)),0,1)</f>
        <v>1</v>
      </c>
      <c r="AD16" s="17">
        <f>IF(ISERROR(SEARCH("potus",Tabella1[[#This Row],[Bevitore alcolici]],1)),0,1)</f>
        <v>0</v>
      </c>
      <c r="AE16" s="7" t="s">
        <v>242</v>
      </c>
      <c r="AF16" s="17"/>
      <c r="AG16" s="17"/>
      <c r="AH16" s="18">
        <v>1</v>
      </c>
      <c r="AI16" s="18"/>
      <c r="AJ16" s="18"/>
      <c r="AK16" s="7" t="s">
        <v>28</v>
      </c>
      <c r="AL16" s="17">
        <f>IF(ISERROR(SEARCH("si",Tabella1[[#This Row],[Patente di guida]],1)),0,1)</f>
        <v>1</v>
      </c>
      <c r="AM16" s="7" t="s">
        <v>243</v>
      </c>
      <c r="AN16" s="17">
        <f>IF(ISERROR(SEARCH("no",Tabella1[[#This Row],[Ipertensione]],1)),0,1)</f>
        <v>0</v>
      </c>
      <c r="AO16" s="7" t="s">
        <v>382</v>
      </c>
      <c r="AP16" s="18">
        <f>IF(ISERROR(SEARCH("NO",Tabella1[[#This Row],[Cardiopatia ischemica]],1)),1,0)</f>
        <v>0</v>
      </c>
      <c r="AQ16" s="17">
        <f>IF(ISERROR(SEARCH("sconosciuto",Tabella1[[#This Row],[Cardiopatia ischemica]],1)),0,1)</f>
        <v>0</v>
      </c>
      <c r="AR16" s="7" t="s">
        <v>244</v>
      </c>
      <c r="AS16" s="22">
        <f>IF(ISERROR(SEARCH("nega",Tabella1[[#This Row],[Artimie]],1)),0,1)</f>
        <v>0</v>
      </c>
      <c r="AT16" s="7" t="s">
        <v>28</v>
      </c>
      <c r="AU16" s="22">
        <f>IF(ISERROR(SEARCH("nega",Tabella1[[#This Row],[Ipercolesterolemia]],1)),0,1)</f>
        <v>0</v>
      </c>
      <c r="AV16" s="22">
        <f>IF(ISERROR(SEARCH("boh",Tabella1[[#This Row],[Ipercolesterolemia]],1)),0,1)</f>
        <v>0</v>
      </c>
      <c r="AW16" s="7" t="s">
        <v>28</v>
      </c>
      <c r="AX16" s="22">
        <f>IF(ISERROR(SEARCH("Intolleranza",Tabella1[[#This Row],[Diabete]],1)),0,1)</f>
        <v>0</v>
      </c>
      <c r="AY16" s="22">
        <f>IF(ISERROR(SEARCH("si",Tabella1[[#This Row],[Diabete]],1)),0,1)</f>
        <v>1</v>
      </c>
      <c r="AZ16" s="7" t="s">
        <v>3787</v>
      </c>
      <c r="BA16" s="17">
        <f>IF(ISERROR(SEARCH("NDD",Tabella1[[#This Row],[Patologia Tiroidea]],1)),0,1)</f>
        <v>0</v>
      </c>
      <c r="BB16" s="22">
        <f>IF(ISERROR(SEARCH("TIROIDITE",Tabella1[[#This Row],[Patologia Tiroidea]],1)),0,1)</f>
        <v>0</v>
      </c>
      <c r="BC16" s="22">
        <f>IF(ISERROR(SEARCH("HASHIMOTO",Tabella1[[#This Row],[Patologia Tiroidea]],1)),0,1)</f>
        <v>0</v>
      </c>
      <c r="BD16" s="22">
        <f>IF(ISERROR(SEARCH("BASEDOW",Tabella1[[#This Row],[Patologia Tiroidea]],1)),0,1)</f>
        <v>0</v>
      </c>
      <c r="BE16" s="22">
        <f>IF(ISERROR(SEARCH("NOD",Tabella1[[#This Row],[Patologia Tiroidea]],1)),0,1)</f>
        <v>1</v>
      </c>
      <c r="BF16" s="22">
        <f>IF(ISERROR(SEARCH("GOZ",Tabella1[[#This Row],[Patologia Tiroidea]],1)),0,1)</f>
        <v>0</v>
      </c>
      <c r="BG16" s="7" t="s">
        <v>8</v>
      </c>
      <c r="BH16" s="17">
        <f>IF(Tabella1[[#This Row],[Obesità]]="no",0,1)</f>
        <v>0</v>
      </c>
      <c r="BI16" s="7" t="s">
        <v>25</v>
      </c>
      <c r="BJ16" s="22">
        <f>IF(ISERROR(SEARCH("nega",Tabella1[[#This Row],[Reflusso gastroesofageo]],1)),1,0)</f>
        <v>0</v>
      </c>
      <c r="BK16" s="7" t="s">
        <v>25</v>
      </c>
      <c r="BL16" s="17">
        <f>IF(ISERROR(SEARCH("NDD",Tabella1[[#This Row],[Patologia respiratoria]],1)),0,1)</f>
        <v>0</v>
      </c>
      <c r="BM16" s="17">
        <f>IF(ISERROR(SEARCH("asma",Tabella1[[#This Row],[Patologia respiratoria]],1)),0,1)</f>
        <v>0</v>
      </c>
      <c r="BN16" s="17">
        <f>IF(ISERROR(SEARCH("BPCO",Tabella1[[#This Row],[Patologia respiratoria]],1)),0,1)</f>
        <v>0</v>
      </c>
      <c r="BO16" s="17">
        <f>IF(ISERROR(SEARCH("BRONCOPOLMONITE",Tabella1[[#This Row],[Patologia respiratoria]],1)),0,1)</f>
        <v>0</v>
      </c>
      <c r="BP16" s="17">
        <f>IF(ISERROR(SEARCH("ASMA, OSAS",Tabella1[[#This Row],[Patologia respiratoria]],1)),0,1)</f>
        <v>0</v>
      </c>
      <c r="BQ16" s="17">
        <f>IF(ISERROR(SEARCH("OSAS e BPCO",Tabella1[[#This Row],[Patologia respiratoria]],1)),0,1)</f>
        <v>0</v>
      </c>
      <c r="BR16" s="17">
        <f>IF(ISERROR(SEARCH("OSAS",Tabella1[[#This Row],[Patologia respiratoria]],1)),0,1)</f>
        <v>0</v>
      </c>
      <c r="BS16" s="7" t="s">
        <v>245</v>
      </c>
      <c r="BT16" s="7" t="s">
        <v>246</v>
      </c>
      <c r="BU16" s="7" t="s">
        <v>8</v>
      </c>
      <c r="BV16" s="17">
        <f>IF(ISERROR(SEARCH("ndd",Tabella1[[#This Row],[O2 terapia]],1)),0,1)</f>
        <v>0</v>
      </c>
      <c r="BW16" s="17">
        <v>0</v>
      </c>
      <c r="BX16" s="7"/>
      <c r="BY16" s="7" t="s">
        <v>8</v>
      </c>
      <c r="BZ16" s="18">
        <v>0</v>
      </c>
      <c r="CA16" s="7" t="s">
        <v>28</v>
      </c>
      <c r="CB16" s="17">
        <v>1</v>
      </c>
      <c r="CC16" s="7" t="s">
        <v>8</v>
      </c>
      <c r="CD16" s="18">
        <v>0</v>
      </c>
      <c r="CE16" s="7" t="s">
        <v>28</v>
      </c>
      <c r="CF16" s="17">
        <v>1</v>
      </c>
      <c r="CG16" s="7" t="s">
        <v>5477</v>
      </c>
      <c r="CH16" s="17"/>
      <c r="CI16" s="7" t="s">
        <v>5477</v>
      </c>
      <c r="CJ16" s="17"/>
      <c r="CK16" s="7" t="s">
        <v>28</v>
      </c>
      <c r="CL16" s="17">
        <v>1</v>
      </c>
      <c r="CM16" s="7" t="s">
        <v>28</v>
      </c>
      <c r="CN16" s="17">
        <v>1</v>
      </c>
      <c r="CO16" s="7" t="s">
        <v>28</v>
      </c>
      <c r="CP16" s="17">
        <v>1</v>
      </c>
      <c r="CQ16" s="7" t="s">
        <v>202</v>
      </c>
      <c r="CR16" s="7" t="s">
        <v>247</v>
      </c>
      <c r="CS16" s="7" t="s">
        <v>71</v>
      </c>
      <c r="CT16" s="7" t="s">
        <v>248</v>
      </c>
      <c r="CU16" s="7" t="s">
        <v>249</v>
      </c>
      <c r="CV16" s="8" t="s">
        <v>250</v>
      </c>
    </row>
    <row r="17" spans="1:100" ht="409.5">
      <c r="A17" s="1">
        <f t="shared" si="0"/>
        <v>16</v>
      </c>
      <c r="B17" s="9">
        <v>164</v>
      </c>
      <c r="C17" s="10">
        <v>44406</v>
      </c>
      <c r="D17" s="11" t="s">
        <v>251</v>
      </c>
      <c r="E17" s="10">
        <v>22569</v>
      </c>
      <c r="F17" s="29">
        <f ca="1">_xlfn.DAYS(NOW(),Tabella1[[#This Row],[Data di Nascita]])/365.25</f>
        <v>63.802874743326491</v>
      </c>
      <c r="G17" s="11" t="s">
        <v>252</v>
      </c>
      <c r="H17" s="11" t="s">
        <v>253</v>
      </c>
      <c r="I17" s="11" t="s">
        <v>254</v>
      </c>
      <c r="J17" s="11" t="s">
        <v>255</v>
      </c>
      <c r="K17" s="11" t="s">
        <v>256</v>
      </c>
      <c r="L17" s="18">
        <f>IF(ISERROR(SEARCH("EX",Tabella1[[#This Row],[Attività lavorativa]],1)),0,1)</f>
        <v>0</v>
      </c>
      <c r="M17" s="18"/>
      <c r="N17" s="17">
        <v>1</v>
      </c>
      <c r="O17" s="17"/>
      <c r="P17" s="17"/>
      <c r="Q17" s="17"/>
      <c r="R17" s="17"/>
      <c r="S17" s="17"/>
      <c r="T17" s="17">
        <f>IF(ISERROR(SEARCH("NDD",Tabella1[[#This Row],[Attività lavorativa]],1)),0,1)</f>
        <v>0</v>
      </c>
      <c r="U17" s="11" t="s">
        <v>257</v>
      </c>
      <c r="V17" s="22">
        <v>15</v>
      </c>
      <c r="W17" s="22">
        <f>IF(ISERROR(SEARCH("ex",Tabella1[[#This Row],[Fumo]],1)),0,1)</f>
        <v>0</v>
      </c>
      <c r="X17" s="22">
        <f>IF(ISERROR(SEARCH("no",Tabella1[[#This Row],[Fumo]],1)),0,1)</f>
        <v>0</v>
      </c>
      <c r="Y17" s="11" t="s">
        <v>3694</v>
      </c>
      <c r="Z17" s="18">
        <f>IF(ISERROR(SEARCH("NDD",Tabella1[[#This Row],[Bevitore alcolici]],1)),0,1)</f>
        <v>0</v>
      </c>
      <c r="AA17" s="17">
        <f>IF(ISERROR(SEARCH("raro",Tabella1[[#This Row],[Bevitore alcolici]],1)),0,1)</f>
        <v>0</v>
      </c>
      <c r="AB17" s="17">
        <f>IF(ISERROR(SEARCH("saltuariamente",Tabella1[[#This Row],[Bevitore alcolici]],1)),0,1)</f>
        <v>1</v>
      </c>
      <c r="AC17" s="17">
        <f>IF(ISERROR(SEARCH("nega",Tabella1[[#This Row],[Bevitore alcolici]],1)),0,1)</f>
        <v>0</v>
      </c>
      <c r="AD17" s="17">
        <f>IF(ISERROR(SEARCH("potus",Tabella1[[#This Row],[Bevitore alcolici]],1)),0,1)</f>
        <v>0</v>
      </c>
      <c r="AE17" s="11" t="s">
        <v>657</v>
      </c>
      <c r="AF17" s="18"/>
      <c r="AG17" s="18"/>
      <c r="AH17" s="18"/>
      <c r="AI17" s="18"/>
      <c r="AJ17" s="18"/>
      <c r="AK17" s="11" t="s">
        <v>28</v>
      </c>
      <c r="AL17" s="18">
        <f>IF(ISERROR(SEARCH("si",Tabella1[[#This Row],[Patente di guida]],1)),0,1)</f>
        <v>1</v>
      </c>
      <c r="AM17" s="11" t="s">
        <v>28</v>
      </c>
      <c r="AN17" s="18">
        <f>IF(ISERROR(SEARCH("no",Tabella1[[#This Row],[Ipertensione]],1)),0,1)</f>
        <v>0</v>
      </c>
      <c r="AO17" s="11" t="s">
        <v>382</v>
      </c>
      <c r="AP17" s="18">
        <f>IF(ISERROR(SEARCH("NO",Tabella1[[#This Row],[Cardiopatia ischemica]],1)),1,0)</f>
        <v>0</v>
      </c>
      <c r="AQ17" s="17">
        <f>IF(ISERROR(SEARCH("sconosciuto",Tabella1[[#This Row],[Cardiopatia ischemica]],1)),0,1)</f>
        <v>0</v>
      </c>
      <c r="AR17" s="11" t="s">
        <v>25</v>
      </c>
      <c r="AS17" s="22">
        <f>IF(ISERROR(SEARCH("nega",Tabella1[[#This Row],[Artimie]],1)),0,1)</f>
        <v>1</v>
      </c>
      <c r="AT17" s="11" t="s">
        <v>28</v>
      </c>
      <c r="AU17" s="22">
        <f>IF(ISERROR(SEARCH("nega",Tabella1[[#This Row],[Ipercolesterolemia]],1)),0,1)</f>
        <v>0</v>
      </c>
      <c r="AV17" s="22">
        <f>IF(ISERROR(SEARCH("boh",Tabella1[[#This Row],[Ipercolesterolemia]],1)),0,1)</f>
        <v>0</v>
      </c>
      <c r="AW17" s="11" t="s">
        <v>25</v>
      </c>
      <c r="AX17" s="22">
        <f>IF(ISERROR(SEARCH("Intolleranza",Tabella1[[#This Row],[Diabete]],1)),0,1)</f>
        <v>0</v>
      </c>
      <c r="AY17" s="22">
        <f>IF(ISERROR(SEARCH("si",Tabella1[[#This Row],[Diabete]],1)),0,1)</f>
        <v>0</v>
      </c>
      <c r="AZ17" s="11" t="s">
        <v>3769</v>
      </c>
      <c r="BA17" s="18">
        <f>IF(ISERROR(SEARCH("NDD",Tabella1[[#This Row],[Patologia Tiroidea]],1)),0,1)</f>
        <v>0</v>
      </c>
      <c r="BB17" s="22">
        <f>IF(ISERROR(SEARCH("TIROIDITE",Tabella1[[#This Row],[Patologia Tiroidea]],1)),0,1)</f>
        <v>0</v>
      </c>
      <c r="BC17" s="22">
        <f>IF(ISERROR(SEARCH("HASHIMOTO",Tabella1[[#This Row],[Patologia Tiroidea]],1)),0,1)</f>
        <v>0</v>
      </c>
      <c r="BD17" s="22">
        <f>IF(ISERROR(SEARCH("BASEDOW",Tabella1[[#This Row],[Patologia Tiroidea]],1)),0,1)</f>
        <v>0</v>
      </c>
      <c r="BE17" s="22">
        <f>IF(ISERROR(SEARCH("NOD",Tabella1[[#This Row],[Patologia Tiroidea]],1)),0,1)</f>
        <v>0</v>
      </c>
      <c r="BF17" s="22">
        <f>IF(ISERROR(SEARCH("GOZ",Tabella1[[#This Row],[Patologia Tiroidea]],1)),0,1)</f>
        <v>0</v>
      </c>
      <c r="BG17" s="11" t="s">
        <v>8</v>
      </c>
      <c r="BH17" s="18">
        <f>IF(Tabella1[[#This Row],[Obesità]]="no",0,1)</f>
        <v>0</v>
      </c>
      <c r="BI17" s="11" t="s">
        <v>25</v>
      </c>
      <c r="BJ17" s="22">
        <f>IF(ISERROR(SEARCH("nega",Tabella1[[#This Row],[Reflusso gastroesofageo]],1)),1,0)</f>
        <v>0</v>
      </c>
      <c r="BK17" s="11" t="s">
        <v>5477</v>
      </c>
      <c r="BL17" s="18">
        <f>IF(ISERROR(SEARCH("NDD",Tabella1[[#This Row],[Patologia respiratoria]],1)),0,1)</f>
        <v>1</v>
      </c>
      <c r="BM17" s="18">
        <f>IF(ISERROR(SEARCH("asma",Tabella1[[#This Row],[Patologia respiratoria]],1)),0,1)</f>
        <v>0</v>
      </c>
      <c r="BN17" s="18">
        <f>IF(ISERROR(SEARCH("BPCO",Tabella1[[#This Row],[Patologia respiratoria]],1)),0,1)</f>
        <v>0</v>
      </c>
      <c r="BO17" s="18">
        <f>IF(ISERROR(SEARCH("BRONCOPOLMONITE",Tabella1[[#This Row],[Patologia respiratoria]],1)),0,1)</f>
        <v>0</v>
      </c>
      <c r="BP17" s="18">
        <f>IF(ISERROR(SEARCH("ASMA, OSAS",Tabella1[[#This Row],[Patologia respiratoria]],1)),0,1)</f>
        <v>0</v>
      </c>
      <c r="BQ17" s="18">
        <f>IF(ISERROR(SEARCH("OSAS e BPCO",Tabella1[[#This Row],[Patologia respiratoria]],1)),0,1)</f>
        <v>0</v>
      </c>
      <c r="BR17" s="18">
        <f>IF(ISERROR(SEARCH("OSAS",Tabella1[[#This Row],[Patologia respiratoria]],1)),0,1)</f>
        <v>0</v>
      </c>
      <c r="BS17" s="11" t="s">
        <v>132</v>
      </c>
      <c r="BT17" s="11" t="s">
        <v>258</v>
      </c>
      <c r="BU17" s="11" t="s">
        <v>8</v>
      </c>
      <c r="BV17" s="18">
        <f>IF(ISERROR(SEARCH("ndd",Tabella1[[#This Row],[O2 terapia]],1)),0,1)</f>
        <v>0</v>
      </c>
      <c r="BW17" s="17">
        <v>0</v>
      </c>
      <c r="BX17" s="11"/>
      <c r="BY17" s="11" t="s">
        <v>25</v>
      </c>
      <c r="BZ17" s="18">
        <v>0</v>
      </c>
      <c r="CA17" s="11" t="s">
        <v>28</v>
      </c>
      <c r="CB17" s="17">
        <v>1</v>
      </c>
      <c r="CC17" s="11" t="s">
        <v>25</v>
      </c>
      <c r="CD17" s="18">
        <v>0</v>
      </c>
      <c r="CE17" s="11" t="s">
        <v>259</v>
      </c>
      <c r="CF17" s="17">
        <v>1</v>
      </c>
      <c r="CG17" s="7" t="s">
        <v>5477</v>
      </c>
      <c r="CH17" s="18"/>
      <c r="CI17" s="7" t="s">
        <v>5477</v>
      </c>
      <c r="CJ17" s="18"/>
      <c r="CK17" s="11" t="s">
        <v>260</v>
      </c>
      <c r="CL17" s="17">
        <v>1</v>
      </c>
      <c r="CM17" s="11" t="s">
        <v>25</v>
      </c>
      <c r="CN17" s="17">
        <v>0</v>
      </c>
      <c r="CO17" s="11" t="s">
        <v>28</v>
      </c>
      <c r="CP17" s="17">
        <v>1</v>
      </c>
      <c r="CQ17" s="11" t="s">
        <v>54</v>
      </c>
      <c r="CR17" s="11" t="s">
        <v>261</v>
      </c>
      <c r="CS17" s="11" t="s">
        <v>37</v>
      </c>
      <c r="CT17" s="11" t="s">
        <v>262</v>
      </c>
      <c r="CU17" s="11" t="s">
        <v>263</v>
      </c>
      <c r="CV17" s="12" t="s">
        <v>264</v>
      </c>
    </row>
    <row r="18" spans="1:100" ht="156.75">
      <c r="A18" s="1">
        <f t="shared" si="0"/>
        <v>17</v>
      </c>
      <c r="B18" s="5">
        <v>166</v>
      </c>
      <c r="C18" s="7"/>
      <c r="D18" s="7" t="s">
        <v>265</v>
      </c>
      <c r="E18" s="6">
        <v>25831</v>
      </c>
      <c r="F18" s="29">
        <f ca="1">_xlfn.DAYS(NOW(),Tabella1[[#This Row],[Data di Nascita]])/365.25</f>
        <v>54.872005475701577</v>
      </c>
      <c r="G18" s="7" t="s">
        <v>266</v>
      </c>
      <c r="H18" s="7" t="s">
        <v>267</v>
      </c>
      <c r="I18" s="7" t="s">
        <v>268</v>
      </c>
      <c r="J18" s="7" t="s">
        <v>269</v>
      </c>
      <c r="K18" s="7" t="s">
        <v>270</v>
      </c>
      <c r="L18" s="17">
        <f>IF(ISERROR(SEARCH("EX",Tabella1[[#This Row],[Attività lavorativa]],1)),0,1)</f>
        <v>0</v>
      </c>
      <c r="M18" s="17"/>
      <c r="N18" s="17"/>
      <c r="O18" s="17"/>
      <c r="P18" s="17"/>
      <c r="Q18" s="17"/>
      <c r="R18" s="17"/>
      <c r="S18" s="17"/>
      <c r="T18" s="17">
        <f>IF(ISERROR(SEARCH("NDD",Tabella1[[#This Row],[Attività lavorativa]],1)),0,1)</f>
        <v>0</v>
      </c>
      <c r="U18" s="7" t="s">
        <v>271</v>
      </c>
      <c r="V18" s="22">
        <v>35</v>
      </c>
      <c r="W18" s="22">
        <f>IF(ISERROR(SEARCH("ex",Tabella1[[#This Row],[Fumo]],1)),0,1)</f>
        <v>0</v>
      </c>
      <c r="X18" s="22">
        <f>IF(ISERROR(SEARCH("no",Tabella1[[#This Row],[Fumo]],1)),0,1)</f>
        <v>0</v>
      </c>
      <c r="Y18" s="7" t="s">
        <v>26</v>
      </c>
      <c r="Z18" s="17">
        <f>IF(ISERROR(SEARCH("NDD",Tabella1[[#This Row],[Bevitore alcolici]],1)),0,1)</f>
        <v>0</v>
      </c>
      <c r="AA18" s="17">
        <f>IF(ISERROR(SEARCH("raro",Tabella1[[#This Row],[Bevitore alcolici]],1)),0,1)</f>
        <v>0</v>
      </c>
      <c r="AB18" s="17">
        <f>IF(ISERROR(SEARCH("saltuariamente",Tabella1[[#This Row],[Bevitore alcolici]],1)),0,1)</f>
        <v>1</v>
      </c>
      <c r="AC18" s="17">
        <f>IF(ISERROR(SEARCH("nega",Tabella1[[#This Row],[Bevitore alcolici]],1)),0,1)</f>
        <v>0</v>
      </c>
      <c r="AD18" s="17">
        <f>IF(ISERROR(SEARCH("potus",Tabella1[[#This Row],[Bevitore alcolici]],1)),0,1)</f>
        <v>0</v>
      </c>
      <c r="AE18" s="7" t="s">
        <v>657</v>
      </c>
      <c r="AF18" s="17"/>
      <c r="AG18" s="17"/>
      <c r="AH18" s="17"/>
      <c r="AI18" s="17"/>
      <c r="AJ18" s="17"/>
      <c r="AK18" s="7" t="s">
        <v>28</v>
      </c>
      <c r="AL18" s="17">
        <f>IF(ISERROR(SEARCH("si",Tabella1[[#This Row],[Patente di guida]],1)),0,1)</f>
        <v>1</v>
      </c>
      <c r="AM18" s="7" t="s">
        <v>8</v>
      </c>
      <c r="AN18" s="17">
        <f>IF(ISERROR(SEARCH("no",Tabella1[[#This Row],[Ipertensione]],1)),0,1)</f>
        <v>1</v>
      </c>
      <c r="AO18" s="7" t="s">
        <v>382</v>
      </c>
      <c r="AP18" s="18">
        <f>IF(ISERROR(SEARCH("NO",Tabella1[[#This Row],[Cardiopatia ischemica]],1)),1,0)</f>
        <v>0</v>
      </c>
      <c r="AQ18" s="17">
        <f>IF(ISERROR(SEARCH("sconosciuto",Tabella1[[#This Row],[Cardiopatia ischemica]],1)),0,1)</f>
        <v>0</v>
      </c>
      <c r="AR18" s="7" t="s">
        <v>25</v>
      </c>
      <c r="AS18" s="22">
        <f>IF(ISERROR(SEARCH("nega",Tabella1[[#This Row],[Artimie]],1)),0,1)</f>
        <v>1</v>
      </c>
      <c r="AT18" s="7" t="s">
        <v>25</v>
      </c>
      <c r="AU18" s="22">
        <f>IF(ISERROR(SEARCH("nega",Tabella1[[#This Row],[Ipercolesterolemia]],1)),0,1)</f>
        <v>1</v>
      </c>
      <c r="AV18" s="22">
        <f>IF(ISERROR(SEARCH("boh",Tabella1[[#This Row],[Ipercolesterolemia]],1)),0,1)</f>
        <v>0</v>
      </c>
      <c r="AW18" s="7" t="s">
        <v>8</v>
      </c>
      <c r="AX18" s="22">
        <f>IF(ISERROR(SEARCH("Intolleranza",Tabella1[[#This Row],[Diabete]],1)),0,1)</f>
        <v>0</v>
      </c>
      <c r="AY18" s="22">
        <f>IF(ISERROR(SEARCH("si",Tabella1[[#This Row],[Diabete]],1)),0,1)</f>
        <v>0</v>
      </c>
      <c r="AZ18" s="7" t="s">
        <v>3726</v>
      </c>
      <c r="BA18" s="17">
        <f>IF(ISERROR(SEARCH("NDD",Tabella1[[#This Row],[Patologia Tiroidea]],1)),0,1)</f>
        <v>0</v>
      </c>
      <c r="BB18" s="22">
        <f>IF(ISERROR(SEARCH("TIROIDITE",Tabella1[[#This Row],[Patologia Tiroidea]],1)),0,1)</f>
        <v>0</v>
      </c>
      <c r="BC18" s="22">
        <f>IF(ISERROR(SEARCH("HASHIMOTO",Tabella1[[#This Row],[Patologia Tiroidea]],1)),0,1)</f>
        <v>0</v>
      </c>
      <c r="BD18" s="22">
        <f>IF(ISERROR(SEARCH("BASEDOW",Tabella1[[#This Row],[Patologia Tiroidea]],1)),0,1)</f>
        <v>0</v>
      </c>
      <c r="BE18" s="22">
        <f>IF(ISERROR(SEARCH("NOD",Tabella1[[#This Row],[Patologia Tiroidea]],1)),0,1)</f>
        <v>0</v>
      </c>
      <c r="BF18" s="22">
        <f>IF(ISERROR(SEARCH("GOZ",Tabella1[[#This Row],[Patologia Tiroidea]],1)),0,1)</f>
        <v>0</v>
      </c>
      <c r="BG18" s="7" t="s">
        <v>7</v>
      </c>
      <c r="BH18" s="17">
        <f>IF(Tabella1[[#This Row],[Obesità]]="no",0,1)</f>
        <v>1</v>
      </c>
      <c r="BI18" s="7" t="s">
        <v>273</v>
      </c>
      <c r="BJ18" s="22">
        <f>IF(ISERROR(SEARCH("nega",Tabella1[[#This Row],[Reflusso gastroesofageo]],1)),1,0)</f>
        <v>1</v>
      </c>
      <c r="BK18" s="7" t="s">
        <v>3726</v>
      </c>
      <c r="BL18" s="17">
        <f>IF(ISERROR(SEARCH("NDD",Tabella1[[#This Row],[Patologia respiratoria]],1)),0,1)</f>
        <v>0</v>
      </c>
      <c r="BM18" s="17">
        <f>IF(ISERROR(SEARCH("asma",Tabella1[[#This Row],[Patologia respiratoria]],1)),0,1)</f>
        <v>0</v>
      </c>
      <c r="BN18" s="17">
        <f>IF(ISERROR(SEARCH("BPCO",Tabella1[[#This Row],[Patologia respiratoria]],1)),0,1)</f>
        <v>0</v>
      </c>
      <c r="BO18" s="17">
        <f>IF(ISERROR(SEARCH("BRONCOPOLMONITE",Tabella1[[#This Row],[Patologia respiratoria]],1)),0,1)</f>
        <v>0</v>
      </c>
      <c r="BP18" s="17">
        <f>IF(ISERROR(SEARCH("ASMA, OSAS",Tabella1[[#This Row],[Patologia respiratoria]],1)),0,1)</f>
        <v>0</v>
      </c>
      <c r="BQ18" s="17">
        <f>IF(ISERROR(SEARCH("OSAS e BPCO",Tabella1[[#This Row],[Patologia respiratoria]],1)),0,1)</f>
        <v>0</v>
      </c>
      <c r="BR18" s="17">
        <f>IF(ISERROR(SEARCH("OSAS",Tabella1[[#This Row],[Patologia respiratoria]],1)),0,1)</f>
        <v>0</v>
      </c>
      <c r="BS18" s="7"/>
      <c r="BT18" s="7" t="s">
        <v>274</v>
      </c>
      <c r="BU18" s="7" t="s">
        <v>8</v>
      </c>
      <c r="BV18" s="17">
        <f>IF(ISERROR(SEARCH("ndd",Tabella1[[#This Row],[O2 terapia]],1)),0,1)</f>
        <v>0</v>
      </c>
      <c r="BW18" s="17">
        <v>0</v>
      </c>
      <c r="BX18" s="7"/>
      <c r="BY18" s="7" t="s">
        <v>275</v>
      </c>
      <c r="BZ18" s="17">
        <v>1</v>
      </c>
      <c r="CA18" s="7" t="s">
        <v>8</v>
      </c>
      <c r="CB18" s="17">
        <v>0</v>
      </c>
      <c r="CC18" s="7" t="s">
        <v>276</v>
      </c>
      <c r="CD18" s="17">
        <v>1</v>
      </c>
      <c r="CE18" s="7" t="s">
        <v>8</v>
      </c>
      <c r="CF18" s="18">
        <v>0</v>
      </c>
      <c r="CG18" s="7" t="s">
        <v>8</v>
      </c>
      <c r="CH18" s="17">
        <v>0</v>
      </c>
      <c r="CI18" s="7" t="s">
        <v>277</v>
      </c>
      <c r="CJ18" s="18">
        <v>0</v>
      </c>
      <c r="CK18" s="7" t="s">
        <v>278</v>
      </c>
      <c r="CL18" s="17">
        <v>1</v>
      </c>
      <c r="CM18" s="7" t="s">
        <v>8</v>
      </c>
      <c r="CN18" s="17">
        <v>0</v>
      </c>
      <c r="CO18" s="7" t="s">
        <v>8</v>
      </c>
      <c r="CP18" s="18">
        <v>0</v>
      </c>
      <c r="CQ18" s="7" t="s">
        <v>35</v>
      </c>
      <c r="CR18" s="7" t="s">
        <v>279</v>
      </c>
      <c r="CS18" s="7" t="s">
        <v>37</v>
      </c>
      <c r="CT18" s="7"/>
      <c r="CU18" s="7" t="s">
        <v>280</v>
      </c>
      <c r="CV18" s="8" t="s">
        <v>281</v>
      </c>
    </row>
    <row r="19" spans="1:100" ht="213.75">
      <c r="A19" s="1">
        <f t="shared" si="0"/>
        <v>18</v>
      </c>
      <c r="B19" s="9">
        <v>169</v>
      </c>
      <c r="C19" s="10">
        <v>44413</v>
      </c>
      <c r="D19" s="11" t="s">
        <v>282</v>
      </c>
      <c r="E19" s="10">
        <v>21587</v>
      </c>
      <c r="F19" s="29">
        <f ca="1">_xlfn.DAYS(NOW(),Tabella1[[#This Row],[Data di Nascita]])/365.25</f>
        <v>66.491444216290219</v>
      </c>
      <c r="G19" s="11" t="s">
        <v>283</v>
      </c>
      <c r="H19" s="11" t="s">
        <v>284</v>
      </c>
      <c r="I19" s="11" t="s">
        <v>285</v>
      </c>
      <c r="J19" s="11" t="s">
        <v>269</v>
      </c>
      <c r="K19" s="11" t="s">
        <v>286</v>
      </c>
      <c r="L19" s="18">
        <f>IF(ISERROR(SEARCH("EX",Tabella1[[#This Row],[Attività lavorativa]],1)),0,1)</f>
        <v>0</v>
      </c>
      <c r="M19" s="18">
        <v>1</v>
      </c>
      <c r="N19" s="18"/>
      <c r="O19" s="18"/>
      <c r="P19" s="18"/>
      <c r="Q19" s="18"/>
      <c r="R19" s="18"/>
      <c r="S19" s="18"/>
      <c r="T19" s="17">
        <f>IF(ISERROR(SEARCH("NDD",Tabella1[[#This Row],[Attività lavorativa]],1)),0,1)</f>
        <v>0</v>
      </c>
      <c r="U19" s="11" t="s">
        <v>8</v>
      </c>
      <c r="V19" s="22" t="s">
        <v>3687</v>
      </c>
      <c r="W19" s="22">
        <f>IF(ISERROR(SEARCH("ex",Tabella1[[#This Row],[Fumo]],1)),0,1)</f>
        <v>0</v>
      </c>
      <c r="X19" s="22">
        <f>IF(ISERROR(SEARCH("no",Tabella1[[#This Row],[Fumo]],1)),0,1)</f>
        <v>1</v>
      </c>
      <c r="Y19" s="11" t="s">
        <v>287</v>
      </c>
      <c r="Z19" s="18">
        <f>IF(ISERROR(SEARCH("NDD",Tabella1[[#This Row],[Bevitore alcolici]],1)),0,1)</f>
        <v>0</v>
      </c>
      <c r="AA19" s="17">
        <f>IF(ISERROR(SEARCH("raro",Tabella1[[#This Row],[Bevitore alcolici]],1)),0,1)</f>
        <v>0</v>
      </c>
      <c r="AB19" s="17">
        <f>IF(ISERROR(SEARCH("saltuariamente",Tabella1[[#This Row],[Bevitore alcolici]],1)),0,1)</f>
        <v>0</v>
      </c>
      <c r="AC19" s="17">
        <f>IF(ISERROR(SEARCH("nega",Tabella1[[#This Row],[Bevitore alcolici]],1)),0,1)</f>
        <v>0</v>
      </c>
      <c r="AD19" s="17">
        <f>IF(ISERROR(SEARCH("potus",Tabella1[[#This Row],[Bevitore alcolici]],1)),0,1)</f>
        <v>0</v>
      </c>
      <c r="AE19" s="11" t="s">
        <v>657</v>
      </c>
      <c r="AF19" s="18"/>
      <c r="AG19" s="18"/>
      <c r="AH19" s="18"/>
      <c r="AI19" s="18"/>
      <c r="AJ19" s="18"/>
      <c r="AK19" s="11" t="s">
        <v>8</v>
      </c>
      <c r="AL19" s="18">
        <f>IF(ISERROR(SEARCH("si",Tabella1[[#This Row],[Patente di guida]],1)),0,1)</f>
        <v>0</v>
      </c>
      <c r="AM19" s="11" t="s">
        <v>8</v>
      </c>
      <c r="AN19" s="18">
        <f>IF(ISERROR(SEARCH("no",Tabella1[[#This Row],[Ipertensione]],1)),0,1)</f>
        <v>1</v>
      </c>
      <c r="AO19" s="11" t="s">
        <v>382</v>
      </c>
      <c r="AP19" s="18">
        <f>IF(ISERROR(SEARCH("NO",Tabella1[[#This Row],[Cardiopatia ischemica]],1)),1,0)</f>
        <v>0</v>
      </c>
      <c r="AQ19" s="17">
        <f>IF(ISERROR(SEARCH("sconosciuto",Tabella1[[#This Row],[Cardiopatia ischemica]],1)),0,1)</f>
        <v>0</v>
      </c>
      <c r="AR19" s="11" t="s">
        <v>25</v>
      </c>
      <c r="AS19" s="22">
        <f>IF(ISERROR(SEARCH("nega",Tabella1[[#This Row],[Artimie]],1)),0,1)</f>
        <v>1</v>
      </c>
      <c r="AT19" s="11" t="s">
        <v>25</v>
      </c>
      <c r="AU19" s="22">
        <f>IF(ISERROR(SEARCH("nega",Tabella1[[#This Row],[Ipercolesterolemia]],1)),0,1)</f>
        <v>1</v>
      </c>
      <c r="AV19" s="22">
        <f>IF(ISERROR(SEARCH("boh",Tabella1[[#This Row],[Ipercolesterolemia]],1)),0,1)</f>
        <v>0</v>
      </c>
      <c r="AW19" s="11" t="s">
        <v>8</v>
      </c>
      <c r="AX19" s="22">
        <f>IF(ISERROR(SEARCH("Intolleranza",Tabella1[[#This Row],[Diabete]],1)),0,1)</f>
        <v>0</v>
      </c>
      <c r="AY19" s="22">
        <f>IF(ISERROR(SEARCH("si",Tabella1[[#This Row],[Diabete]],1)),0,1)</f>
        <v>0</v>
      </c>
      <c r="AZ19" s="11" t="s">
        <v>288</v>
      </c>
      <c r="BA19" s="18">
        <f>IF(ISERROR(SEARCH("NDD",Tabella1[[#This Row],[Patologia Tiroidea]],1)),0,1)</f>
        <v>0</v>
      </c>
      <c r="BB19" s="22">
        <f>IF(ISERROR(SEARCH("TIROIDITE",Tabella1[[#This Row],[Patologia Tiroidea]],1)),0,1)</f>
        <v>0</v>
      </c>
      <c r="BC19" s="22">
        <f>IF(ISERROR(SEARCH("HASHIMOTO",Tabella1[[#This Row],[Patologia Tiroidea]],1)),0,1)</f>
        <v>0</v>
      </c>
      <c r="BD19" s="22">
        <f>IF(ISERROR(SEARCH("BASEDOW",Tabella1[[#This Row],[Patologia Tiroidea]],1)),0,1)</f>
        <v>0</v>
      </c>
      <c r="BE19" s="22">
        <f>IF(ISERROR(SEARCH("NOD",Tabella1[[#This Row],[Patologia Tiroidea]],1)),0,1)</f>
        <v>0</v>
      </c>
      <c r="BF19" s="22">
        <f>IF(ISERROR(SEARCH("GOZ",Tabella1[[#This Row],[Patologia Tiroidea]],1)),0,1)</f>
        <v>0</v>
      </c>
      <c r="BG19" s="11" t="s">
        <v>8</v>
      </c>
      <c r="BH19" s="18">
        <f>IF(Tabella1[[#This Row],[Obesità]]="no",0,1)</f>
        <v>0</v>
      </c>
      <c r="BI19" s="11" t="s">
        <v>25</v>
      </c>
      <c r="BJ19" s="22">
        <f>IF(ISERROR(SEARCH("nega",Tabella1[[#This Row],[Reflusso gastroesofageo]],1)),1,0)</f>
        <v>0</v>
      </c>
      <c r="BK19" s="11" t="s">
        <v>8</v>
      </c>
      <c r="BL19" s="18">
        <f>IF(ISERROR(SEARCH("NDD",Tabella1[[#This Row],[Patologia respiratoria]],1)),0,1)</f>
        <v>0</v>
      </c>
      <c r="BM19" s="18">
        <f>IF(ISERROR(SEARCH("asma",Tabella1[[#This Row],[Patologia respiratoria]],1)),0,1)</f>
        <v>0</v>
      </c>
      <c r="BN19" s="18">
        <f>IF(ISERROR(SEARCH("BPCO",Tabella1[[#This Row],[Patologia respiratoria]],1)),0,1)</f>
        <v>0</v>
      </c>
      <c r="BO19" s="18">
        <f>IF(ISERROR(SEARCH("BRONCOPOLMONITE",Tabella1[[#This Row],[Patologia respiratoria]],1)),0,1)</f>
        <v>0</v>
      </c>
      <c r="BP19" s="18">
        <f>IF(ISERROR(SEARCH("ASMA, OSAS",Tabella1[[#This Row],[Patologia respiratoria]],1)),0,1)</f>
        <v>0</v>
      </c>
      <c r="BQ19" s="18">
        <f>IF(ISERROR(SEARCH("OSAS e BPCO",Tabella1[[#This Row],[Patologia respiratoria]],1)),0,1)</f>
        <v>0</v>
      </c>
      <c r="BR19" s="18">
        <f>IF(ISERROR(SEARCH("OSAS",Tabella1[[#This Row],[Patologia respiratoria]],1)),0,1)</f>
        <v>0</v>
      </c>
      <c r="BS19" s="11"/>
      <c r="BT19" s="11" t="s">
        <v>8</v>
      </c>
      <c r="BU19" s="11" t="s">
        <v>8</v>
      </c>
      <c r="BV19" s="18">
        <f>IF(ISERROR(SEARCH("ndd",Tabella1[[#This Row],[O2 terapia]],1)),0,1)</f>
        <v>0</v>
      </c>
      <c r="BW19" s="17">
        <v>0</v>
      </c>
      <c r="BX19" s="11"/>
      <c r="BY19" s="11" t="s">
        <v>8</v>
      </c>
      <c r="BZ19" s="18">
        <v>0</v>
      </c>
      <c r="CA19" s="11" t="s">
        <v>8</v>
      </c>
      <c r="CB19" s="17">
        <v>0</v>
      </c>
      <c r="CC19" s="11" t="s">
        <v>8</v>
      </c>
      <c r="CD19" s="18">
        <v>0</v>
      </c>
      <c r="CE19" s="11" t="s">
        <v>8</v>
      </c>
      <c r="CF19" s="18">
        <v>0</v>
      </c>
      <c r="CG19" s="11" t="s">
        <v>8</v>
      </c>
      <c r="CH19" s="17">
        <v>0</v>
      </c>
      <c r="CI19" s="11" t="s">
        <v>8</v>
      </c>
      <c r="CJ19" s="18">
        <v>0</v>
      </c>
      <c r="CK19" s="11" t="s">
        <v>289</v>
      </c>
      <c r="CL19" s="17">
        <v>1</v>
      </c>
      <c r="CM19" s="11" t="s">
        <v>34</v>
      </c>
      <c r="CN19" s="17">
        <v>1</v>
      </c>
      <c r="CO19" s="11" t="s">
        <v>8</v>
      </c>
      <c r="CP19" s="18">
        <v>0</v>
      </c>
      <c r="CQ19" s="11" t="s">
        <v>103</v>
      </c>
      <c r="CR19" s="11" t="s">
        <v>70</v>
      </c>
      <c r="CS19" s="11" t="s">
        <v>71</v>
      </c>
      <c r="CT19" s="11" t="s">
        <v>184</v>
      </c>
      <c r="CU19" s="11" t="s">
        <v>290</v>
      </c>
      <c r="CV19" s="12" t="s">
        <v>291</v>
      </c>
    </row>
    <row r="20" spans="1:100" ht="213.75">
      <c r="A20" s="1">
        <f t="shared" si="0"/>
        <v>19</v>
      </c>
      <c r="B20" s="5">
        <v>170</v>
      </c>
      <c r="C20" s="6">
        <v>44413</v>
      </c>
      <c r="D20" s="7" t="s">
        <v>292</v>
      </c>
      <c r="E20" s="6">
        <v>17191</v>
      </c>
      <c r="F20" s="29">
        <f ca="1">_xlfn.DAYS(NOW(),Tabella1[[#This Row],[Data di Nascita]])/365.25</f>
        <v>78.527036276522935</v>
      </c>
      <c r="G20" s="7" t="s">
        <v>293</v>
      </c>
      <c r="H20" s="7" t="s">
        <v>294</v>
      </c>
      <c r="I20" s="7" t="s">
        <v>295</v>
      </c>
      <c r="J20" s="7" t="s">
        <v>296</v>
      </c>
      <c r="K20" s="7" t="s">
        <v>297</v>
      </c>
      <c r="L20" s="17">
        <f>IF(ISERROR(SEARCH("EX",Tabella1[[#This Row],[Attività lavorativa]],1)),0,1)</f>
        <v>0</v>
      </c>
      <c r="M20" s="17"/>
      <c r="N20" s="17"/>
      <c r="O20" s="17"/>
      <c r="P20" s="17"/>
      <c r="Q20" s="17"/>
      <c r="R20" s="17"/>
      <c r="S20" s="17"/>
      <c r="T20" s="17">
        <f>IF(ISERROR(SEARCH("NDD",Tabella1[[#This Row],[Attività lavorativa]],1)),0,1)</f>
        <v>0</v>
      </c>
      <c r="U20" s="7" t="s">
        <v>8</v>
      </c>
      <c r="V20" s="22" t="s">
        <v>3687</v>
      </c>
      <c r="W20" s="22">
        <f>IF(ISERROR(SEARCH("ex",Tabella1[[#This Row],[Fumo]],1)),0,1)</f>
        <v>0</v>
      </c>
      <c r="X20" s="22">
        <f>IF(ISERROR(SEARCH("no",Tabella1[[#This Row],[Fumo]],1)),0,1)</f>
        <v>1</v>
      </c>
      <c r="Y20" s="7" t="s">
        <v>25</v>
      </c>
      <c r="Z20" s="17">
        <f>IF(ISERROR(SEARCH("NDD",Tabella1[[#This Row],[Bevitore alcolici]],1)),0,1)</f>
        <v>0</v>
      </c>
      <c r="AA20" s="17">
        <f>IF(ISERROR(SEARCH("raro",Tabella1[[#This Row],[Bevitore alcolici]],1)),0,1)</f>
        <v>0</v>
      </c>
      <c r="AB20" s="17">
        <f>IF(ISERROR(SEARCH("saltuariamente",Tabella1[[#This Row],[Bevitore alcolici]],1)),0,1)</f>
        <v>0</v>
      </c>
      <c r="AC20" s="17">
        <f>IF(ISERROR(SEARCH("nega",Tabella1[[#This Row],[Bevitore alcolici]],1)),0,1)</f>
        <v>1</v>
      </c>
      <c r="AD20" s="17">
        <f>IF(ISERROR(SEARCH("potus",Tabella1[[#This Row],[Bevitore alcolici]],1)),0,1)</f>
        <v>0</v>
      </c>
      <c r="AE20" s="7" t="s">
        <v>657</v>
      </c>
      <c r="AF20" s="17"/>
      <c r="AG20" s="17"/>
      <c r="AH20" s="17"/>
      <c r="AI20" s="17"/>
      <c r="AJ20" s="17"/>
      <c r="AK20" s="7" t="s">
        <v>28</v>
      </c>
      <c r="AL20" s="17">
        <f>IF(ISERROR(SEARCH("si",Tabella1[[#This Row],[Patente di guida]],1)),0,1)</f>
        <v>1</v>
      </c>
      <c r="AM20" s="7" t="s">
        <v>28</v>
      </c>
      <c r="AN20" s="17">
        <f>IF(ISERROR(SEARCH("no",Tabella1[[#This Row],[Ipertensione]],1)),0,1)</f>
        <v>0</v>
      </c>
      <c r="AO20" s="7" t="s">
        <v>382</v>
      </c>
      <c r="AP20" s="18">
        <f>IF(ISERROR(SEARCH("NO",Tabella1[[#This Row],[Cardiopatia ischemica]],1)),1,0)</f>
        <v>0</v>
      </c>
      <c r="AQ20" s="17">
        <f>IF(ISERROR(SEARCH("sconosciuto",Tabella1[[#This Row],[Cardiopatia ischemica]],1)),0,1)</f>
        <v>0</v>
      </c>
      <c r="AR20" s="7" t="s">
        <v>25</v>
      </c>
      <c r="AS20" s="22">
        <f>IF(ISERROR(SEARCH("nega",Tabella1[[#This Row],[Artimie]],1)),0,1)</f>
        <v>1</v>
      </c>
      <c r="AT20" s="7" t="s">
        <v>25</v>
      </c>
      <c r="AU20" s="22">
        <f>IF(ISERROR(SEARCH("nega",Tabella1[[#This Row],[Ipercolesterolemia]],1)),0,1)</f>
        <v>1</v>
      </c>
      <c r="AV20" s="22">
        <f>IF(ISERROR(SEARCH("boh",Tabella1[[#This Row],[Ipercolesterolemia]],1)),0,1)</f>
        <v>0</v>
      </c>
      <c r="AW20" s="7" t="s">
        <v>25</v>
      </c>
      <c r="AX20" s="22">
        <f>IF(ISERROR(SEARCH("Intolleranza",Tabella1[[#This Row],[Diabete]],1)),0,1)</f>
        <v>0</v>
      </c>
      <c r="AY20" s="22">
        <f>IF(ISERROR(SEARCH("si",Tabella1[[#This Row],[Diabete]],1)),0,1)</f>
        <v>0</v>
      </c>
      <c r="AZ20" s="7" t="s">
        <v>3773</v>
      </c>
      <c r="BA20" s="17">
        <f>IF(ISERROR(SEARCH("NDD",Tabella1[[#This Row],[Patologia Tiroidea]],1)),0,1)</f>
        <v>0</v>
      </c>
      <c r="BB20" s="22">
        <f>IF(ISERROR(SEARCH("TIROIDITE",Tabella1[[#This Row],[Patologia Tiroidea]],1)),0,1)</f>
        <v>1</v>
      </c>
      <c r="BC20" s="22">
        <f>IF(ISERROR(SEARCH("HASHIMOTO",Tabella1[[#This Row],[Patologia Tiroidea]],1)),0,1)</f>
        <v>0</v>
      </c>
      <c r="BD20" s="22">
        <f>IF(ISERROR(SEARCH("BASEDOW",Tabella1[[#This Row],[Patologia Tiroidea]],1)),0,1)</f>
        <v>0</v>
      </c>
      <c r="BE20" s="22">
        <f>IF(ISERROR(SEARCH("NOD",Tabella1[[#This Row],[Patologia Tiroidea]],1)),0,1)</f>
        <v>0</v>
      </c>
      <c r="BF20" s="22">
        <f>IF(ISERROR(SEARCH("GOZ",Tabella1[[#This Row],[Patologia Tiroidea]],1)),0,1)</f>
        <v>0</v>
      </c>
      <c r="BG20" s="7" t="s">
        <v>298</v>
      </c>
      <c r="BH20" s="17">
        <f>IF(Tabella1[[#This Row],[Obesità]]="no",0,1)</f>
        <v>1</v>
      </c>
      <c r="BI20" s="7" t="s">
        <v>25</v>
      </c>
      <c r="BJ20" s="22">
        <f>IF(ISERROR(SEARCH("nega",Tabella1[[#This Row],[Reflusso gastroesofageo]],1)),1,0)</f>
        <v>0</v>
      </c>
      <c r="BK20" s="7" t="s">
        <v>5477</v>
      </c>
      <c r="BL20" s="17">
        <f>IF(ISERROR(SEARCH("NDD",Tabella1[[#This Row],[Patologia respiratoria]],1)),0,1)</f>
        <v>1</v>
      </c>
      <c r="BM20" s="17">
        <f>IF(ISERROR(SEARCH("asma",Tabella1[[#This Row],[Patologia respiratoria]],1)),0,1)</f>
        <v>0</v>
      </c>
      <c r="BN20" s="17">
        <f>IF(ISERROR(SEARCH("BPCO",Tabella1[[#This Row],[Patologia respiratoria]],1)),0,1)</f>
        <v>0</v>
      </c>
      <c r="BO20" s="17">
        <f>IF(ISERROR(SEARCH("BRONCOPOLMONITE",Tabella1[[#This Row],[Patologia respiratoria]],1)),0,1)</f>
        <v>0</v>
      </c>
      <c r="BP20" s="17">
        <f>IF(ISERROR(SEARCH("ASMA, OSAS",Tabella1[[#This Row],[Patologia respiratoria]],1)),0,1)</f>
        <v>0</v>
      </c>
      <c r="BQ20" s="17">
        <f>IF(ISERROR(SEARCH("OSAS e BPCO",Tabella1[[#This Row],[Patologia respiratoria]],1)),0,1)</f>
        <v>0</v>
      </c>
      <c r="BR20" s="17">
        <f>IF(ISERROR(SEARCH("OSAS",Tabella1[[#This Row],[Patologia respiratoria]],1)),0,1)</f>
        <v>0</v>
      </c>
      <c r="BS20" s="7" t="s">
        <v>299</v>
      </c>
      <c r="BT20" s="7" t="s">
        <v>300</v>
      </c>
      <c r="BU20" s="7" t="s">
        <v>8</v>
      </c>
      <c r="BV20" s="17">
        <f>IF(ISERROR(SEARCH("ndd",Tabella1[[#This Row],[O2 terapia]],1)),0,1)</f>
        <v>0</v>
      </c>
      <c r="BW20" s="17">
        <v>0</v>
      </c>
      <c r="BX20" s="7"/>
      <c r="BY20" s="7" t="s">
        <v>25</v>
      </c>
      <c r="BZ20" s="18">
        <v>0</v>
      </c>
      <c r="CA20" s="7" t="s">
        <v>25</v>
      </c>
      <c r="CB20" s="17">
        <v>0</v>
      </c>
      <c r="CC20" s="7" t="s">
        <v>25</v>
      </c>
      <c r="CD20" s="18">
        <v>0</v>
      </c>
      <c r="CE20" s="7" t="s">
        <v>25</v>
      </c>
      <c r="CF20" s="18">
        <v>0</v>
      </c>
      <c r="CG20" s="7" t="s">
        <v>25</v>
      </c>
      <c r="CH20" s="17">
        <v>0</v>
      </c>
      <c r="CI20" s="7" t="s">
        <v>25</v>
      </c>
      <c r="CJ20" s="18">
        <v>0</v>
      </c>
      <c r="CK20" s="7" t="s">
        <v>25</v>
      </c>
      <c r="CL20" s="17">
        <v>0</v>
      </c>
      <c r="CM20" s="7" t="s">
        <v>25</v>
      </c>
      <c r="CN20" s="17">
        <v>0</v>
      </c>
      <c r="CO20" s="7" t="s">
        <v>301</v>
      </c>
      <c r="CP20" s="17">
        <v>1</v>
      </c>
      <c r="CQ20" s="7" t="s">
        <v>152</v>
      </c>
      <c r="CR20" s="7" t="s">
        <v>14</v>
      </c>
      <c r="CS20" s="7" t="s">
        <v>71</v>
      </c>
      <c r="CT20" s="7" t="s">
        <v>169</v>
      </c>
      <c r="CU20" s="7" t="s">
        <v>302</v>
      </c>
      <c r="CV20" s="8" t="s">
        <v>303</v>
      </c>
    </row>
    <row r="21" spans="1:100" ht="409.5">
      <c r="A21" s="1">
        <f t="shared" si="0"/>
        <v>20</v>
      </c>
      <c r="B21" s="9">
        <v>174</v>
      </c>
      <c r="C21" s="10">
        <v>44419</v>
      </c>
      <c r="D21" s="11" t="s">
        <v>304</v>
      </c>
      <c r="E21" s="10">
        <v>30551</v>
      </c>
      <c r="F21" s="29">
        <f ca="1">_xlfn.DAYS(NOW(),Tabella1[[#This Row],[Data di Nascita]])/365.25</f>
        <v>41.949349760438054</v>
      </c>
      <c r="G21" s="11" t="s">
        <v>305</v>
      </c>
      <c r="H21" s="11" t="s">
        <v>306</v>
      </c>
      <c r="I21" s="11" t="s">
        <v>307</v>
      </c>
      <c r="J21" s="11" t="s">
        <v>308</v>
      </c>
      <c r="K21" s="11" t="s">
        <v>79</v>
      </c>
      <c r="L21" s="18">
        <f>IF(ISERROR(SEARCH("EX",Tabella1[[#This Row],[Attività lavorativa]],1)),0,1)</f>
        <v>0</v>
      </c>
      <c r="M21" s="18"/>
      <c r="N21" s="18"/>
      <c r="O21" s="18"/>
      <c r="P21" s="18">
        <v>1</v>
      </c>
      <c r="Q21" s="18"/>
      <c r="R21" s="18"/>
      <c r="S21" s="18"/>
      <c r="T21" s="17">
        <f>IF(ISERROR(SEARCH("NDD",Tabella1[[#This Row],[Attività lavorativa]],1)),0,1)</f>
        <v>0</v>
      </c>
      <c r="U21" s="11" t="s">
        <v>8</v>
      </c>
      <c r="V21" s="22" t="s">
        <v>3687</v>
      </c>
      <c r="W21" s="22">
        <f>IF(ISERROR(SEARCH("ex",Tabella1[[#This Row],[Fumo]],1)),0,1)</f>
        <v>0</v>
      </c>
      <c r="X21" s="22">
        <f>IF(ISERROR(SEARCH("no",Tabella1[[#This Row],[Fumo]],1)),0,1)</f>
        <v>1</v>
      </c>
      <c r="Y21" s="11" t="s">
        <v>25</v>
      </c>
      <c r="Z21" s="18">
        <f>IF(ISERROR(SEARCH("NDD",Tabella1[[#This Row],[Bevitore alcolici]],1)),0,1)</f>
        <v>0</v>
      </c>
      <c r="AA21" s="17">
        <f>IF(ISERROR(SEARCH("raro",Tabella1[[#This Row],[Bevitore alcolici]],1)),0,1)</f>
        <v>0</v>
      </c>
      <c r="AB21" s="17">
        <f>IF(ISERROR(SEARCH("saltuariamente",Tabella1[[#This Row],[Bevitore alcolici]],1)),0,1)</f>
        <v>0</v>
      </c>
      <c r="AC21" s="17">
        <f>IF(ISERROR(SEARCH("nega",Tabella1[[#This Row],[Bevitore alcolici]],1)),0,1)</f>
        <v>1</v>
      </c>
      <c r="AD21" s="17">
        <f>IF(ISERROR(SEARCH("potus",Tabella1[[#This Row],[Bevitore alcolici]],1)),0,1)</f>
        <v>0</v>
      </c>
      <c r="AE21" s="11" t="s">
        <v>657</v>
      </c>
      <c r="AF21" s="18"/>
      <c r="AG21" s="18"/>
      <c r="AH21" s="18"/>
      <c r="AI21" s="18"/>
      <c r="AJ21" s="18"/>
      <c r="AK21" s="11" t="s">
        <v>310</v>
      </c>
      <c r="AL21" s="18">
        <f>IF(ISERROR(SEARCH("si",Tabella1[[#This Row],[Patente di guida]],1)),0,1)</f>
        <v>0</v>
      </c>
      <c r="AM21" s="11" t="s">
        <v>8</v>
      </c>
      <c r="AN21" s="18">
        <f>IF(ISERROR(SEARCH("no",Tabella1[[#This Row],[Ipertensione]],1)),0,1)</f>
        <v>1</v>
      </c>
      <c r="AO21" s="11" t="s">
        <v>382</v>
      </c>
      <c r="AP21" s="18">
        <f>IF(ISERROR(SEARCH("NO",Tabella1[[#This Row],[Cardiopatia ischemica]],1)),1,0)</f>
        <v>0</v>
      </c>
      <c r="AQ21" s="17">
        <f>IF(ISERROR(SEARCH("sconosciuto",Tabella1[[#This Row],[Cardiopatia ischemica]],1)),0,1)</f>
        <v>0</v>
      </c>
      <c r="AR21" s="11" t="s">
        <v>25</v>
      </c>
      <c r="AS21" s="22">
        <f>IF(ISERROR(SEARCH("nega",Tabella1[[#This Row],[Artimie]],1)),0,1)</f>
        <v>1</v>
      </c>
      <c r="AT21" s="11" t="s">
        <v>311</v>
      </c>
      <c r="AU21" s="22">
        <f>IF(ISERROR(SEARCH("nega",Tabella1[[#This Row],[Ipercolesterolemia]],1)),0,1)</f>
        <v>0</v>
      </c>
      <c r="AV21" s="22">
        <f>IF(ISERROR(SEARCH("boh",Tabella1[[#This Row],[Ipercolesterolemia]],1)),0,1)</f>
        <v>0</v>
      </c>
      <c r="AW21" s="11" t="s">
        <v>195</v>
      </c>
      <c r="AX21" s="22">
        <f>IF(ISERROR(SEARCH("Intolleranza",Tabella1[[#This Row],[Diabete]],1)),0,1)</f>
        <v>0</v>
      </c>
      <c r="AY21" s="22">
        <f>IF(ISERROR(SEARCH("si",Tabella1[[#This Row],[Diabete]],1)),0,1)</f>
        <v>0</v>
      </c>
      <c r="AZ21" s="11" t="s">
        <v>309</v>
      </c>
      <c r="BA21" s="18">
        <f>IF(ISERROR(SEARCH("NDD",Tabella1[[#This Row],[Patologia Tiroidea]],1)),0,1)</f>
        <v>0</v>
      </c>
      <c r="BB21" s="22">
        <f>IF(ISERROR(SEARCH("TIROIDITE",Tabella1[[#This Row],[Patologia Tiroidea]],1)),0,1)</f>
        <v>0</v>
      </c>
      <c r="BC21" s="22">
        <f>IF(ISERROR(SEARCH("HASHIMOTO",Tabella1[[#This Row],[Patologia Tiroidea]],1)),0,1)</f>
        <v>0</v>
      </c>
      <c r="BD21" s="22">
        <f>IF(ISERROR(SEARCH("BASEDOW",Tabella1[[#This Row],[Patologia Tiroidea]],1)),0,1)</f>
        <v>0</v>
      </c>
      <c r="BE21" s="22">
        <f>IF(ISERROR(SEARCH("NOD",Tabella1[[#This Row],[Patologia Tiroidea]],1)),0,1)</f>
        <v>0</v>
      </c>
      <c r="BF21" s="22">
        <f>IF(ISERROR(SEARCH("GOZ",Tabella1[[#This Row],[Patologia Tiroidea]],1)),0,1)</f>
        <v>0</v>
      </c>
      <c r="BG21" s="11" t="s">
        <v>312</v>
      </c>
      <c r="BH21" s="18">
        <f>IF(Tabella1[[#This Row],[Obesità]]="no",0,1)</f>
        <v>1</v>
      </c>
      <c r="BI21" s="11" t="s">
        <v>313</v>
      </c>
      <c r="BJ21" s="22">
        <f>IF(ISERROR(SEARCH("nega",Tabella1[[#This Row],[Reflusso gastroesofageo]],1)),1,0)</f>
        <v>1</v>
      </c>
      <c r="BK21" s="11" t="s">
        <v>5477</v>
      </c>
      <c r="BL21" s="18">
        <f>IF(ISERROR(SEARCH("NDD",Tabella1[[#This Row],[Patologia respiratoria]],1)),0,1)</f>
        <v>1</v>
      </c>
      <c r="BM21" s="18">
        <f>IF(ISERROR(SEARCH("asma",Tabella1[[#This Row],[Patologia respiratoria]],1)),0,1)</f>
        <v>0</v>
      </c>
      <c r="BN21" s="18">
        <f>IF(ISERROR(SEARCH("BPCO",Tabella1[[#This Row],[Patologia respiratoria]],1)),0,1)</f>
        <v>0</v>
      </c>
      <c r="BO21" s="18">
        <f>IF(ISERROR(SEARCH("BRONCOPOLMONITE",Tabella1[[#This Row],[Patologia respiratoria]],1)),0,1)</f>
        <v>0</v>
      </c>
      <c r="BP21" s="18">
        <f>IF(ISERROR(SEARCH("ASMA, OSAS",Tabella1[[#This Row],[Patologia respiratoria]],1)),0,1)</f>
        <v>0</v>
      </c>
      <c r="BQ21" s="18">
        <f>IF(ISERROR(SEARCH("OSAS e BPCO",Tabella1[[#This Row],[Patologia respiratoria]],1)),0,1)</f>
        <v>0</v>
      </c>
      <c r="BR21" s="18">
        <f>IF(ISERROR(SEARCH("OSAS",Tabella1[[#This Row],[Patologia respiratoria]],1)),0,1)</f>
        <v>0</v>
      </c>
      <c r="BS21" s="11" t="s">
        <v>314</v>
      </c>
      <c r="BT21" s="11" t="s">
        <v>315</v>
      </c>
      <c r="BU21" s="11" t="s">
        <v>309</v>
      </c>
      <c r="BV21" s="18">
        <f>IF(ISERROR(SEARCH("ndd",Tabella1[[#This Row],[O2 terapia]],1)),0,1)</f>
        <v>0</v>
      </c>
      <c r="BW21" s="17">
        <v>0</v>
      </c>
      <c r="BX21" s="11"/>
      <c r="BY21" s="11" t="s">
        <v>309</v>
      </c>
      <c r="BZ21" s="18">
        <v>0</v>
      </c>
      <c r="CA21" s="11" t="s">
        <v>316</v>
      </c>
      <c r="CB21" s="17">
        <v>1</v>
      </c>
      <c r="CC21" s="11" t="s">
        <v>8</v>
      </c>
      <c r="CD21" s="18">
        <v>0</v>
      </c>
      <c r="CE21" s="11" t="s">
        <v>8</v>
      </c>
      <c r="CF21" s="18">
        <v>0</v>
      </c>
      <c r="CG21" s="11" t="s">
        <v>8</v>
      </c>
      <c r="CH21" s="17">
        <v>0</v>
      </c>
      <c r="CI21" s="11" t="s">
        <v>8</v>
      </c>
      <c r="CJ21" s="18">
        <v>0</v>
      </c>
      <c r="CK21" s="11" t="s">
        <v>194</v>
      </c>
      <c r="CL21" s="17">
        <v>1</v>
      </c>
      <c r="CM21" s="11" t="s">
        <v>28</v>
      </c>
      <c r="CN21" s="17">
        <v>1</v>
      </c>
      <c r="CO21" s="11" t="s">
        <v>194</v>
      </c>
      <c r="CP21" s="17">
        <v>1</v>
      </c>
      <c r="CQ21" s="11" t="s">
        <v>317</v>
      </c>
      <c r="CR21" s="11" t="s">
        <v>318</v>
      </c>
      <c r="CS21" s="11" t="s">
        <v>86</v>
      </c>
      <c r="CT21" s="11" t="s">
        <v>319</v>
      </c>
      <c r="CU21" s="11" t="s">
        <v>320</v>
      </c>
      <c r="CV21" s="12" t="s">
        <v>321</v>
      </c>
    </row>
    <row r="22" spans="1:100" ht="213.75">
      <c r="A22" s="1">
        <f t="shared" si="0"/>
        <v>21</v>
      </c>
      <c r="B22" s="5">
        <v>182</v>
      </c>
      <c r="C22" s="6">
        <v>44434</v>
      </c>
      <c r="D22" s="7" t="s">
        <v>322</v>
      </c>
      <c r="E22" s="6">
        <v>21132</v>
      </c>
      <c r="F22" s="29">
        <f ca="1">_xlfn.DAYS(NOW(),Tabella1[[#This Row],[Data di Nascita]])/365.25</f>
        <v>67.737166324435321</v>
      </c>
      <c r="G22" s="7" t="s">
        <v>323</v>
      </c>
      <c r="H22" s="7" t="s">
        <v>324</v>
      </c>
      <c r="I22" s="7" t="s">
        <v>325</v>
      </c>
      <c r="J22" s="7" t="s">
        <v>211</v>
      </c>
      <c r="K22" s="7" t="s">
        <v>326</v>
      </c>
      <c r="L22" s="17">
        <f>IF(ISERROR(SEARCH("EX",Tabella1[[#This Row],[Attività lavorativa]],1)),0,1)</f>
        <v>0</v>
      </c>
      <c r="M22" s="17"/>
      <c r="N22" s="17"/>
      <c r="O22" s="17"/>
      <c r="P22" s="17"/>
      <c r="Q22" s="17"/>
      <c r="R22" s="17"/>
      <c r="S22" s="17"/>
      <c r="T22" s="17">
        <f>IF(ISERROR(SEARCH("NDD",Tabella1[[#This Row],[Attività lavorativa]],1)),0,1)</f>
        <v>0</v>
      </c>
      <c r="U22" s="7" t="s">
        <v>8</v>
      </c>
      <c r="V22" s="22" t="s">
        <v>3687</v>
      </c>
      <c r="W22" s="22">
        <f>IF(ISERROR(SEARCH("ex",Tabella1[[#This Row],[Fumo]],1)),0,1)</f>
        <v>0</v>
      </c>
      <c r="X22" s="22">
        <f>IF(ISERROR(SEARCH("no",Tabella1[[#This Row],[Fumo]],1)),0,1)</f>
        <v>1</v>
      </c>
      <c r="Y22" s="7" t="s">
        <v>327</v>
      </c>
      <c r="Z22" s="17">
        <f>IF(ISERROR(SEARCH("NDD",Tabella1[[#This Row],[Bevitore alcolici]],1)),0,1)</f>
        <v>0</v>
      </c>
      <c r="AA22" s="17">
        <f>IF(ISERROR(SEARCH("raro",Tabella1[[#This Row],[Bevitore alcolici]],1)),0,1)</f>
        <v>0</v>
      </c>
      <c r="AB22" s="17">
        <f>IF(ISERROR(SEARCH("saltuariamente",Tabella1[[#This Row],[Bevitore alcolici]],1)),0,1)</f>
        <v>0</v>
      </c>
      <c r="AC22" s="17">
        <f>IF(ISERROR(SEARCH("nega",Tabella1[[#This Row],[Bevitore alcolici]],1)),0,1)</f>
        <v>0</v>
      </c>
      <c r="AD22" s="17">
        <f>IF(ISERROR(SEARCH("potus",Tabella1[[#This Row],[Bevitore alcolici]],1)),0,1)</f>
        <v>0</v>
      </c>
      <c r="AE22" s="7" t="s">
        <v>328</v>
      </c>
      <c r="AF22" s="17"/>
      <c r="AG22" s="18">
        <v>1</v>
      </c>
      <c r="AH22" s="18"/>
      <c r="AI22" s="18"/>
      <c r="AJ22" s="18"/>
      <c r="AK22" s="7" t="s">
        <v>28</v>
      </c>
      <c r="AL22" s="17">
        <f>IF(ISERROR(SEARCH("si",Tabella1[[#This Row],[Patente di guida]],1)),0,1)</f>
        <v>1</v>
      </c>
      <c r="AM22" s="7" t="s">
        <v>329</v>
      </c>
      <c r="AN22" s="17">
        <f>IF(ISERROR(SEARCH("no",Tabella1[[#This Row],[Ipertensione]],1)),0,1)</f>
        <v>0</v>
      </c>
      <c r="AO22" s="7" t="s">
        <v>330</v>
      </c>
      <c r="AP22" s="18">
        <f>IF(ISERROR(SEARCH("NO",Tabella1[[#This Row],[Cardiopatia ischemica]],1)),1,0)</f>
        <v>1</v>
      </c>
      <c r="AQ22" s="17">
        <f>IF(ISERROR(SEARCH("sconosciuto",Tabella1[[#This Row],[Cardiopatia ischemica]],1)),0,1)</f>
        <v>0</v>
      </c>
      <c r="AR22" s="7" t="s">
        <v>25</v>
      </c>
      <c r="AS22" s="22">
        <f>IF(ISERROR(SEARCH("nega",Tabella1[[#This Row],[Artimie]],1)),0,1)</f>
        <v>1</v>
      </c>
      <c r="AT22" s="7" t="s">
        <v>28</v>
      </c>
      <c r="AU22" s="22">
        <f>IF(ISERROR(SEARCH("nega",Tabella1[[#This Row],[Ipercolesterolemia]],1)),0,1)</f>
        <v>0</v>
      </c>
      <c r="AV22" s="22">
        <f>IF(ISERROR(SEARCH("boh",Tabella1[[#This Row],[Ipercolesterolemia]],1)),0,1)</f>
        <v>0</v>
      </c>
      <c r="AW22" s="7" t="s">
        <v>8</v>
      </c>
      <c r="AX22" s="22">
        <f>IF(ISERROR(SEARCH("Intolleranza",Tabella1[[#This Row],[Diabete]],1)),0,1)</f>
        <v>0</v>
      </c>
      <c r="AY22" s="22">
        <f>IF(ISERROR(SEARCH("si",Tabella1[[#This Row],[Diabete]],1)),0,1)</f>
        <v>0</v>
      </c>
      <c r="AZ22" s="7" t="s">
        <v>8</v>
      </c>
      <c r="BA22" s="17">
        <f>IF(ISERROR(SEARCH("NDD",Tabella1[[#This Row],[Patologia Tiroidea]],1)),0,1)</f>
        <v>0</v>
      </c>
      <c r="BB22" s="22">
        <f>IF(ISERROR(SEARCH("TIROIDITE",Tabella1[[#This Row],[Patologia Tiroidea]],1)),0,1)</f>
        <v>0</v>
      </c>
      <c r="BC22" s="22">
        <f>IF(ISERROR(SEARCH("HASHIMOTO",Tabella1[[#This Row],[Patologia Tiroidea]],1)),0,1)</f>
        <v>0</v>
      </c>
      <c r="BD22" s="22">
        <f>IF(ISERROR(SEARCH("BASEDOW",Tabella1[[#This Row],[Patologia Tiroidea]],1)),0,1)</f>
        <v>0</v>
      </c>
      <c r="BE22" s="22">
        <f>IF(ISERROR(SEARCH("NOD",Tabella1[[#This Row],[Patologia Tiroidea]],1)),0,1)</f>
        <v>0</v>
      </c>
      <c r="BF22" s="22">
        <f>IF(ISERROR(SEARCH("GOZ",Tabella1[[#This Row],[Patologia Tiroidea]],1)),0,1)</f>
        <v>0</v>
      </c>
      <c r="BG22" s="7" t="s">
        <v>28</v>
      </c>
      <c r="BH22" s="17">
        <f>IF(Tabella1[[#This Row],[Obesità]]="no",0,1)</f>
        <v>1</v>
      </c>
      <c r="BI22" s="7" t="s">
        <v>25</v>
      </c>
      <c r="BJ22" s="22">
        <f>IF(ISERROR(SEARCH("nega",Tabella1[[#This Row],[Reflusso gastroesofageo]],1)),1,0)</f>
        <v>0</v>
      </c>
      <c r="BK22" s="7" t="s">
        <v>3826</v>
      </c>
      <c r="BL22" s="17">
        <f>IF(ISERROR(SEARCH("NDD",Tabella1[[#This Row],[Patologia respiratoria]],1)),0,1)</f>
        <v>0</v>
      </c>
      <c r="BM22" s="17">
        <f>IF(ISERROR(SEARCH("asma",Tabella1[[#This Row],[Patologia respiratoria]],1)),0,1)</f>
        <v>0</v>
      </c>
      <c r="BN22" s="17">
        <f>IF(ISERROR(SEARCH("BPCO",Tabella1[[#This Row],[Patologia respiratoria]],1)),0,1)</f>
        <v>0</v>
      </c>
      <c r="BO22" s="17">
        <f>IF(ISERROR(SEARCH("BRONCOPOLMONITE",Tabella1[[#This Row],[Patologia respiratoria]],1)),0,1)</f>
        <v>1</v>
      </c>
      <c r="BP22" s="17">
        <f>IF(ISERROR(SEARCH("ASMA, OSAS",Tabella1[[#This Row],[Patologia respiratoria]],1)),0,1)</f>
        <v>0</v>
      </c>
      <c r="BQ22" s="17">
        <f>IF(ISERROR(SEARCH("OSAS e BPCO",Tabella1[[#This Row],[Patologia respiratoria]],1)),0,1)</f>
        <v>0</v>
      </c>
      <c r="BR22" s="17">
        <f>IF(ISERROR(SEARCH("OSAS",Tabella1[[#This Row],[Patologia respiratoria]],1)),0,1)</f>
        <v>0</v>
      </c>
      <c r="BS22" s="7" t="s">
        <v>331</v>
      </c>
      <c r="BT22" s="7" t="s">
        <v>332</v>
      </c>
      <c r="BU22" s="7" t="s">
        <v>8</v>
      </c>
      <c r="BV22" s="17">
        <f>IF(ISERROR(SEARCH("ndd",Tabella1[[#This Row],[O2 terapia]],1)),0,1)</f>
        <v>0</v>
      </c>
      <c r="BW22" s="17">
        <v>0</v>
      </c>
      <c r="BX22" s="7" t="s">
        <v>333</v>
      </c>
      <c r="BY22" s="7" t="s">
        <v>25</v>
      </c>
      <c r="BZ22" s="18">
        <v>0</v>
      </c>
      <c r="CA22" s="7" t="s">
        <v>25</v>
      </c>
      <c r="CB22" s="17">
        <v>0</v>
      </c>
      <c r="CC22" s="7" t="s">
        <v>334</v>
      </c>
      <c r="CD22" s="17">
        <v>1</v>
      </c>
      <c r="CE22" s="7" t="s">
        <v>25</v>
      </c>
      <c r="CF22" s="18">
        <v>0</v>
      </c>
      <c r="CG22" s="7" t="s">
        <v>335</v>
      </c>
      <c r="CH22" s="17">
        <v>1</v>
      </c>
      <c r="CI22" s="7" t="s">
        <v>25</v>
      </c>
      <c r="CJ22" s="18">
        <v>0</v>
      </c>
      <c r="CK22" s="7" t="s">
        <v>336</v>
      </c>
      <c r="CL22" s="17">
        <v>1</v>
      </c>
      <c r="CM22" s="7" t="s">
        <v>337</v>
      </c>
      <c r="CN22" s="17">
        <v>1</v>
      </c>
      <c r="CO22" s="7" t="s">
        <v>25</v>
      </c>
      <c r="CP22" s="18">
        <v>0</v>
      </c>
      <c r="CQ22" s="7" t="s">
        <v>69</v>
      </c>
      <c r="CR22" s="7" t="s">
        <v>36</v>
      </c>
      <c r="CS22" s="7" t="s">
        <v>338</v>
      </c>
      <c r="CT22" s="7" t="s">
        <v>339</v>
      </c>
      <c r="CU22" s="7"/>
      <c r="CV22" s="8" t="s">
        <v>340</v>
      </c>
    </row>
    <row r="23" spans="1:100" ht="171">
      <c r="A23" s="1">
        <f t="shared" si="0"/>
        <v>22</v>
      </c>
      <c r="B23" s="9">
        <v>185</v>
      </c>
      <c r="C23" s="10">
        <v>44445</v>
      </c>
      <c r="D23" s="11" t="s">
        <v>341</v>
      </c>
      <c r="E23" s="10">
        <v>23167</v>
      </c>
      <c r="F23" s="29">
        <f ca="1">_xlfn.DAYS(NOW(),Tabella1[[#This Row],[Data di Nascita]])/365.25</f>
        <v>62.165639972621491</v>
      </c>
      <c r="G23" s="11" t="s">
        <v>342</v>
      </c>
      <c r="H23" s="11" t="s">
        <v>343</v>
      </c>
      <c r="I23" s="11" t="s">
        <v>344</v>
      </c>
      <c r="J23" s="11" t="s">
        <v>211</v>
      </c>
      <c r="K23" s="11" t="s">
        <v>345</v>
      </c>
      <c r="L23" s="18">
        <f>IF(ISERROR(SEARCH("EX",Tabella1[[#This Row],[Attività lavorativa]],1)),0,1)</f>
        <v>0</v>
      </c>
      <c r="M23" s="18"/>
      <c r="N23" s="18"/>
      <c r="O23" s="18"/>
      <c r="P23" s="18">
        <v>1</v>
      </c>
      <c r="Q23" s="18"/>
      <c r="R23" s="18"/>
      <c r="S23" s="18"/>
      <c r="T23" s="17">
        <f>IF(ISERROR(SEARCH("NDD",Tabella1[[#This Row],[Attività lavorativa]],1)),0,1)</f>
        <v>0</v>
      </c>
      <c r="U23" s="11" t="s">
        <v>346</v>
      </c>
      <c r="V23" s="22">
        <v>10</v>
      </c>
      <c r="W23" s="22">
        <f>IF(ISERROR(SEARCH("ex",Tabella1[[#This Row],[Fumo]],1)),0,1)</f>
        <v>1</v>
      </c>
      <c r="X23" s="22">
        <f>IF(ISERROR(SEARCH("no",Tabella1[[#This Row],[Fumo]],1)),0,1)</f>
        <v>0</v>
      </c>
      <c r="Y23" s="11" t="s">
        <v>25</v>
      </c>
      <c r="Z23" s="18">
        <f>IF(ISERROR(SEARCH("NDD",Tabella1[[#This Row],[Bevitore alcolici]],1)),0,1)</f>
        <v>0</v>
      </c>
      <c r="AA23" s="17">
        <f>IF(ISERROR(SEARCH("raro",Tabella1[[#This Row],[Bevitore alcolici]],1)),0,1)</f>
        <v>0</v>
      </c>
      <c r="AB23" s="17">
        <f>IF(ISERROR(SEARCH("saltuariamente",Tabella1[[#This Row],[Bevitore alcolici]],1)),0,1)</f>
        <v>0</v>
      </c>
      <c r="AC23" s="17">
        <f>IF(ISERROR(SEARCH("nega",Tabella1[[#This Row],[Bevitore alcolici]],1)),0,1)</f>
        <v>1</v>
      </c>
      <c r="AD23" s="17">
        <f>IF(ISERROR(SEARCH("potus",Tabella1[[#This Row],[Bevitore alcolici]],1)),0,1)</f>
        <v>0</v>
      </c>
      <c r="AE23" s="11" t="s">
        <v>657</v>
      </c>
      <c r="AF23" s="18"/>
      <c r="AG23" s="18"/>
      <c r="AH23" s="18"/>
      <c r="AI23" s="18"/>
      <c r="AJ23" s="18"/>
      <c r="AK23" s="11" t="s">
        <v>8</v>
      </c>
      <c r="AL23" s="18">
        <f>IF(ISERROR(SEARCH("si",Tabella1[[#This Row],[Patente di guida]],1)),0,1)</f>
        <v>0</v>
      </c>
      <c r="AM23" s="11" t="s">
        <v>8</v>
      </c>
      <c r="AN23" s="18">
        <f>IF(ISERROR(SEARCH("no",Tabella1[[#This Row],[Ipertensione]],1)),0,1)</f>
        <v>1</v>
      </c>
      <c r="AO23" s="11" t="s">
        <v>382</v>
      </c>
      <c r="AP23" s="18">
        <f>IF(ISERROR(SEARCH("NO",Tabella1[[#This Row],[Cardiopatia ischemica]],1)),1,0)</f>
        <v>0</v>
      </c>
      <c r="AQ23" s="17">
        <f>IF(ISERROR(SEARCH("sconosciuto",Tabella1[[#This Row],[Cardiopatia ischemica]],1)),0,1)</f>
        <v>0</v>
      </c>
      <c r="AR23" s="11" t="s">
        <v>25</v>
      </c>
      <c r="AS23" s="22">
        <f>IF(ISERROR(SEARCH("nega",Tabella1[[#This Row],[Artimie]],1)),0,1)</f>
        <v>1</v>
      </c>
      <c r="AT23" s="11" t="s">
        <v>25</v>
      </c>
      <c r="AU23" s="22">
        <f>IF(ISERROR(SEARCH("nega",Tabella1[[#This Row],[Ipercolesterolemia]],1)),0,1)</f>
        <v>1</v>
      </c>
      <c r="AV23" s="22">
        <f>IF(ISERROR(SEARCH("boh",Tabella1[[#This Row],[Ipercolesterolemia]],1)),0,1)</f>
        <v>0</v>
      </c>
      <c r="AW23" s="11" t="s">
        <v>25</v>
      </c>
      <c r="AX23" s="22">
        <f>IF(ISERROR(SEARCH("Intolleranza",Tabella1[[#This Row],[Diabete]],1)),0,1)</f>
        <v>0</v>
      </c>
      <c r="AY23" s="22">
        <f>IF(ISERROR(SEARCH("si",Tabella1[[#This Row],[Diabete]],1)),0,1)</f>
        <v>0</v>
      </c>
      <c r="AZ23" s="11" t="s">
        <v>8</v>
      </c>
      <c r="BA23" s="18">
        <f>IF(ISERROR(SEARCH("NDD",Tabella1[[#This Row],[Patologia Tiroidea]],1)),0,1)</f>
        <v>0</v>
      </c>
      <c r="BB23" s="22">
        <f>IF(ISERROR(SEARCH("TIROIDITE",Tabella1[[#This Row],[Patologia Tiroidea]],1)),0,1)</f>
        <v>0</v>
      </c>
      <c r="BC23" s="22">
        <f>IF(ISERROR(SEARCH("HASHIMOTO",Tabella1[[#This Row],[Patologia Tiroidea]],1)),0,1)</f>
        <v>0</v>
      </c>
      <c r="BD23" s="22">
        <f>IF(ISERROR(SEARCH("BASEDOW",Tabella1[[#This Row],[Patologia Tiroidea]],1)),0,1)</f>
        <v>0</v>
      </c>
      <c r="BE23" s="22">
        <f>IF(ISERROR(SEARCH("NOD",Tabella1[[#This Row],[Patologia Tiroidea]],1)),0,1)</f>
        <v>0</v>
      </c>
      <c r="BF23" s="22">
        <f>IF(ISERROR(SEARCH("GOZ",Tabella1[[#This Row],[Patologia Tiroidea]],1)),0,1)</f>
        <v>0</v>
      </c>
      <c r="BG23" s="11" t="s">
        <v>8</v>
      </c>
      <c r="BH23" s="18">
        <f>IF(Tabella1[[#This Row],[Obesità]]="no",0,1)</f>
        <v>0</v>
      </c>
      <c r="BI23" s="11" t="s">
        <v>25</v>
      </c>
      <c r="BJ23" s="22">
        <f>IF(ISERROR(SEARCH("nega",Tabella1[[#This Row],[Reflusso gastroesofageo]],1)),1,0)</f>
        <v>0</v>
      </c>
      <c r="BK23" s="11" t="s">
        <v>347</v>
      </c>
      <c r="BL23" s="18">
        <f>IF(ISERROR(SEARCH("NDD",Tabella1[[#This Row],[Patologia respiratoria]],1)),0,1)</f>
        <v>0</v>
      </c>
      <c r="BM23" s="18">
        <f>IF(ISERROR(SEARCH("asma",Tabella1[[#This Row],[Patologia respiratoria]],1)),0,1)</f>
        <v>0</v>
      </c>
      <c r="BN23" s="18">
        <f>IF(ISERROR(SEARCH("BPCO",Tabella1[[#This Row],[Patologia respiratoria]],1)),0,1)</f>
        <v>0</v>
      </c>
      <c r="BO23" s="18">
        <f>IF(ISERROR(SEARCH("BRONCOPOLMONITE",Tabella1[[#This Row],[Patologia respiratoria]],1)),0,1)</f>
        <v>0</v>
      </c>
      <c r="BP23" s="18">
        <f>IF(ISERROR(SEARCH("ASMA, OSAS",Tabella1[[#This Row],[Patologia respiratoria]],1)),0,1)</f>
        <v>0</v>
      </c>
      <c r="BQ23" s="18">
        <f>IF(ISERROR(SEARCH("OSAS e BPCO",Tabella1[[#This Row],[Patologia respiratoria]],1)),0,1)</f>
        <v>0</v>
      </c>
      <c r="BR23" s="18">
        <f>IF(ISERROR(SEARCH("OSAS",Tabella1[[#This Row],[Patologia respiratoria]],1)),0,1)</f>
        <v>0</v>
      </c>
      <c r="BS23" s="11" t="s">
        <v>348</v>
      </c>
      <c r="BT23" s="11" t="s">
        <v>349</v>
      </c>
      <c r="BU23" s="11" t="s">
        <v>8</v>
      </c>
      <c r="BV23" s="18">
        <f>IF(ISERROR(SEARCH("ndd",Tabella1[[#This Row],[O2 terapia]],1)),0,1)</f>
        <v>0</v>
      </c>
      <c r="BW23" s="17">
        <v>0</v>
      </c>
      <c r="BX23" s="11"/>
      <c r="BY23" s="11" t="s">
        <v>350</v>
      </c>
      <c r="BZ23" s="17">
        <v>1</v>
      </c>
      <c r="CA23" s="11" t="s">
        <v>351</v>
      </c>
      <c r="CB23" s="17">
        <v>1</v>
      </c>
      <c r="CC23" s="11" t="s">
        <v>25</v>
      </c>
      <c r="CD23" s="18">
        <v>0</v>
      </c>
      <c r="CE23" s="11" t="s">
        <v>25</v>
      </c>
      <c r="CF23" s="18">
        <v>0</v>
      </c>
      <c r="CG23" s="11" t="s">
        <v>352</v>
      </c>
      <c r="CH23" s="17">
        <v>1</v>
      </c>
      <c r="CI23" s="11" t="s">
        <v>8</v>
      </c>
      <c r="CJ23" s="18">
        <v>0</v>
      </c>
      <c r="CK23" s="11" t="s">
        <v>353</v>
      </c>
      <c r="CL23" s="17">
        <v>1</v>
      </c>
      <c r="CM23" s="11" t="s">
        <v>34</v>
      </c>
      <c r="CN23" s="17">
        <v>1</v>
      </c>
      <c r="CO23" s="11" t="s">
        <v>354</v>
      </c>
      <c r="CP23" s="17">
        <v>1</v>
      </c>
      <c r="CQ23" s="11" t="s">
        <v>69</v>
      </c>
      <c r="CR23" s="11" t="s">
        <v>35</v>
      </c>
      <c r="CS23" s="11" t="s">
        <v>355</v>
      </c>
      <c r="CT23" s="11" t="s">
        <v>262</v>
      </c>
      <c r="CU23" s="11" t="s">
        <v>356</v>
      </c>
      <c r="CV23" s="12" t="s">
        <v>357</v>
      </c>
    </row>
    <row r="24" spans="1:100" ht="409.5">
      <c r="A24" s="1">
        <f t="shared" si="0"/>
        <v>23</v>
      </c>
      <c r="B24" s="5">
        <v>193</v>
      </c>
      <c r="C24" s="6">
        <v>44453</v>
      </c>
      <c r="D24" s="7" t="s">
        <v>358</v>
      </c>
      <c r="E24" s="6">
        <v>17518</v>
      </c>
      <c r="F24" s="29">
        <f ca="1">_xlfn.DAYS(NOW(),Tabella1[[#This Row],[Data di Nascita]])/365.25</f>
        <v>77.631759069130737</v>
      </c>
      <c r="G24" s="7" t="s">
        <v>359</v>
      </c>
      <c r="H24" s="7" t="s">
        <v>360</v>
      </c>
      <c r="I24" s="7" t="s">
        <v>361</v>
      </c>
      <c r="J24" s="7" t="s">
        <v>211</v>
      </c>
      <c r="K24" s="7" t="s">
        <v>362</v>
      </c>
      <c r="L24" s="17">
        <f>IF(ISERROR(SEARCH("EX",Tabella1[[#This Row],[Attività lavorativa]],1)),0,1)</f>
        <v>0</v>
      </c>
      <c r="M24" s="17"/>
      <c r="N24" s="17">
        <v>1</v>
      </c>
      <c r="O24" s="17"/>
      <c r="P24" s="17"/>
      <c r="Q24" s="17"/>
      <c r="R24" s="17"/>
      <c r="S24" s="17"/>
      <c r="T24" s="17">
        <f>IF(ISERROR(SEARCH("NDD",Tabella1[[#This Row],[Attività lavorativa]],1)),0,1)</f>
        <v>0</v>
      </c>
      <c r="U24" s="7" t="s">
        <v>363</v>
      </c>
      <c r="V24" s="22">
        <v>75</v>
      </c>
      <c r="W24" s="22">
        <f>IF(ISERROR(SEARCH("ex",Tabella1[[#This Row],[Fumo]],1)),0,1)</f>
        <v>0</v>
      </c>
      <c r="X24" s="22">
        <f>IF(ISERROR(SEARCH("no",Tabella1[[#This Row],[Fumo]],1)),0,1)</f>
        <v>0</v>
      </c>
      <c r="Y24" s="7" t="s">
        <v>26</v>
      </c>
      <c r="Z24" s="17">
        <f>IF(ISERROR(SEARCH("NDD",Tabella1[[#This Row],[Bevitore alcolici]],1)),0,1)</f>
        <v>0</v>
      </c>
      <c r="AA24" s="17">
        <f>IF(ISERROR(SEARCH("raro",Tabella1[[#This Row],[Bevitore alcolici]],1)),0,1)</f>
        <v>0</v>
      </c>
      <c r="AB24" s="17">
        <f>IF(ISERROR(SEARCH("saltuariamente",Tabella1[[#This Row],[Bevitore alcolici]],1)),0,1)</f>
        <v>1</v>
      </c>
      <c r="AC24" s="17">
        <f>IF(ISERROR(SEARCH("nega",Tabella1[[#This Row],[Bevitore alcolici]],1)),0,1)</f>
        <v>0</v>
      </c>
      <c r="AD24" s="17">
        <f>IF(ISERROR(SEARCH("potus",Tabella1[[#This Row],[Bevitore alcolici]],1)),0,1)</f>
        <v>0</v>
      </c>
      <c r="AE24" s="7" t="s">
        <v>657</v>
      </c>
      <c r="AF24" s="17"/>
      <c r="AG24" s="17"/>
      <c r="AH24" s="17"/>
      <c r="AI24" s="17"/>
      <c r="AJ24" s="17"/>
      <c r="AK24" s="7" t="s">
        <v>28</v>
      </c>
      <c r="AL24" s="17">
        <f>IF(ISERROR(SEARCH("si",Tabella1[[#This Row],[Patente di guida]],1)),0,1)</f>
        <v>1</v>
      </c>
      <c r="AM24" s="7" t="s">
        <v>28</v>
      </c>
      <c r="AN24" s="17">
        <f>IF(ISERROR(SEARCH("no",Tabella1[[#This Row],[Ipertensione]],1)),0,1)</f>
        <v>0</v>
      </c>
      <c r="AO24" s="7" t="s">
        <v>382</v>
      </c>
      <c r="AP24" s="18">
        <f>IF(ISERROR(SEARCH("NO",Tabella1[[#This Row],[Cardiopatia ischemica]],1)),1,0)</f>
        <v>0</v>
      </c>
      <c r="AQ24" s="17">
        <f>IF(ISERROR(SEARCH("sconosciuto",Tabella1[[#This Row],[Cardiopatia ischemica]],1)),0,1)</f>
        <v>0</v>
      </c>
      <c r="AR24" s="7" t="s">
        <v>25</v>
      </c>
      <c r="AS24" s="22">
        <f>IF(ISERROR(SEARCH("nega",Tabella1[[#This Row],[Artimie]],1)),0,1)</f>
        <v>1</v>
      </c>
      <c r="AT24" s="7" t="s">
        <v>25</v>
      </c>
      <c r="AU24" s="22">
        <f>IF(ISERROR(SEARCH("nega",Tabella1[[#This Row],[Ipercolesterolemia]],1)),0,1)</f>
        <v>1</v>
      </c>
      <c r="AV24" s="22">
        <f>IF(ISERROR(SEARCH("boh",Tabella1[[#This Row],[Ipercolesterolemia]],1)),0,1)</f>
        <v>0</v>
      </c>
      <c r="AW24" s="7" t="s">
        <v>8</v>
      </c>
      <c r="AX24" s="22">
        <f>IF(ISERROR(SEARCH("Intolleranza",Tabella1[[#This Row],[Diabete]],1)),0,1)</f>
        <v>0</v>
      </c>
      <c r="AY24" s="22">
        <f>IF(ISERROR(SEARCH("si",Tabella1[[#This Row],[Diabete]],1)),0,1)</f>
        <v>0</v>
      </c>
      <c r="AZ24" s="7" t="s">
        <v>8</v>
      </c>
      <c r="BA24" s="17">
        <f>IF(ISERROR(SEARCH("NDD",Tabella1[[#This Row],[Patologia Tiroidea]],1)),0,1)</f>
        <v>0</v>
      </c>
      <c r="BB24" s="22">
        <f>IF(ISERROR(SEARCH("TIROIDITE",Tabella1[[#This Row],[Patologia Tiroidea]],1)),0,1)</f>
        <v>0</v>
      </c>
      <c r="BC24" s="22">
        <f>IF(ISERROR(SEARCH("HASHIMOTO",Tabella1[[#This Row],[Patologia Tiroidea]],1)),0,1)</f>
        <v>0</v>
      </c>
      <c r="BD24" s="22">
        <f>IF(ISERROR(SEARCH("BASEDOW",Tabella1[[#This Row],[Patologia Tiroidea]],1)),0,1)</f>
        <v>0</v>
      </c>
      <c r="BE24" s="22">
        <f>IF(ISERROR(SEARCH("NOD",Tabella1[[#This Row],[Patologia Tiroidea]],1)),0,1)</f>
        <v>0</v>
      </c>
      <c r="BF24" s="22">
        <f>IF(ISERROR(SEARCH("GOZ",Tabella1[[#This Row],[Patologia Tiroidea]],1)),0,1)</f>
        <v>0</v>
      </c>
      <c r="BG24" s="7" t="s">
        <v>7</v>
      </c>
      <c r="BH24" s="17">
        <f>IF(Tabella1[[#This Row],[Obesità]]="no",0,1)</f>
        <v>1</v>
      </c>
      <c r="BI24" s="7" t="s">
        <v>25</v>
      </c>
      <c r="BJ24" s="22">
        <f>IF(ISERROR(SEARCH("nega",Tabella1[[#This Row],[Reflusso gastroesofageo]],1)),1,0)</f>
        <v>0</v>
      </c>
      <c r="BK24" s="7" t="s">
        <v>5477</v>
      </c>
      <c r="BL24" s="17">
        <f>IF(ISERROR(SEARCH("NDD",Tabella1[[#This Row],[Patologia respiratoria]],1)),0,1)</f>
        <v>1</v>
      </c>
      <c r="BM24" s="17">
        <f>IF(ISERROR(SEARCH("asma",Tabella1[[#This Row],[Patologia respiratoria]],1)),0,1)</f>
        <v>0</v>
      </c>
      <c r="BN24" s="17">
        <f>IF(ISERROR(SEARCH("BPCO",Tabella1[[#This Row],[Patologia respiratoria]],1)),0,1)</f>
        <v>0</v>
      </c>
      <c r="BO24" s="17">
        <f>IF(ISERROR(SEARCH("BRONCOPOLMONITE",Tabella1[[#This Row],[Patologia respiratoria]],1)),0,1)</f>
        <v>0</v>
      </c>
      <c r="BP24" s="17">
        <f>IF(ISERROR(SEARCH("ASMA, OSAS",Tabella1[[#This Row],[Patologia respiratoria]],1)),0,1)</f>
        <v>0</v>
      </c>
      <c r="BQ24" s="17">
        <f>IF(ISERROR(SEARCH("OSAS e BPCO",Tabella1[[#This Row],[Patologia respiratoria]],1)),0,1)</f>
        <v>0</v>
      </c>
      <c r="BR24" s="17">
        <f>IF(ISERROR(SEARCH("OSAS",Tabella1[[#This Row],[Patologia respiratoria]],1)),0,1)</f>
        <v>0</v>
      </c>
      <c r="BS24" s="7" t="s">
        <v>132</v>
      </c>
      <c r="BT24" s="7" t="s">
        <v>364</v>
      </c>
      <c r="BU24" s="7" t="s">
        <v>8</v>
      </c>
      <c r="BV24" s="17">
        <f>IF(ISERROR(SEARCH("ndd",Tabella1[[#This Row],[O2 terapia]],1)),0,1)</f>
        <v>0</v>
      </c>
      <c r="BW24" s="17">
        <v>0</v>
      </c>
      <c r="BX24" s="7" t="s">
        <v>365</v>
      </c>
      <c r="BY24" s="7" t="s">
        <v>8</v>
      </c>
      <c r="BZ24" s="18">
        <v>0</v>
      </c>
      <c r="CA24" s="7" t="s">
        <v>351</v>
      </c>
      <c r="CB24" s="17">
        <v>1</v>
      </c>
      <c r="CC24" s="7" t="s">
        <v>366</v>
      </c>
      <c r="CD24" s="17">
        <v>1</v>
      </c>
      <c r="CE24" s="7" t="s">
        <v>25</v>
      </c>
      <c r="CF24" s="18">
        <v>0</v>
      </c>
      <c r="CG24" s="7" t="s">
        <v>25</v>
      </c>
      <c r="CH24" s="17">
        <v>0</v>
      </c>
      <c r="CI24" s="7" t="s">
        <v>25</v>
      </c>
      <c r="CJ24" s="18">
        <v>0</v>
      </c>
      <c r="CK24" s="7" t="s">
        <v>367</v>
      </c>
      <c r="CL24" s="17">
        <v>1</v>
      </c>
      <c r="CM24" s="7" t="s">
        <v>34</v>
      </c>
      <c r="CN24" s="17">
        <v>1</v>
      </c>
      <c r="CO24" s="7" t="s">
        <v>25</v>
      </c>
      <c r="CP24" s="18">
        <v>0</v>
      </c>
      <c r="CQ24" s="7" t="s">
        <v>368</v>
      </c>
      <c r="CR24" s="7" t="s">
        <v>369</v>
      </c>
      <c r="CS24" s="7" t="s">
        <v>71</v>
      </c>
      <c r="CT24" s="7" t="s">
        <v>370</v>
      </c>
      <c r="CU24" s="7" t="s">
        <v>371</v>
      </c>
      <c r="CV24" s="8" t="s">
        <v>372</v>
      </c>
    </row>
    <row r="25" spans="1:100" ht="213.75">
      <c r="A25" s="1">
        <f t="shared" si="0"/>
        <v>24</v>
      </c>
      <c r="B25" s="9">
        <v>206</v>
      </c>
      <c r="C25" s="10">
        <v>44468</v>
      </c>
      <c r="D25" s="11" t="s">
        <v>373</v>
      </c>
      <c r="E25" s="10">
        <v>22939</v>
      </c>
      <c r="F25" s="29">
        <f ca="1">_xlfn.DAYS(NOW(),Tabella1[[#This Row],[Data di Nascita]])/365.25</f>
        <v>62.789869952087614</v>
      </c>
      <c r="G25" s="11" t="s">
        <v>374</v>
      </c>
      <c r="H25" s="11" t="s">
        <v>375</v>
      </c>
      <c r="I25" s="11" t="s">
        <v>376</v>
      </c>
      <c r="J25" s="11" t="s">
        <v>377</v>
      </c>
      <c r="K25" s="11" t="s">
        <v>79</v>
      </c>
      <c r="L25" s="18">
        <f>IF(ISERROR(SEARCH("EX",Tabella1[[#This Row],[Attività lavorativa]],1)),0,1)</f>
        <v>0</v>
      </c>
      <c r="M25" s="18"/>
      <c r="N25" s="18"/>
      <c r="O25" s="18"/>
      <c r="P25" s="18">
        <v>1</v>
      </c>
      <c r="Q25" s="18"/>
      <c r="R25" s="18"/>
      <c r="S25" s="18"/>
      <c r="T25" s="17">
        <f>IF(ISERROR(SEARCH("NDD",Tabella1[[#This Row],[Attività lavorativa]],1)),0,1)</f>
        <v>0</v>
      </c>
      <c r="U25" s="11" t="s">
        <v>378</v>
      </c>
      <c r="V25" s="22">
        <v>35</v>
      </c>
      <c r="W25" s="22">
        <f>IF(ISERROR(SEARCH("ex",Tabella1[[#This Row],[Fumo]],1)),0,1)</f>
        <v>0</v>
      </c>
      <c r="X25" s="22">
        <f>IF(ISERROR(SEARCH("no",Tabella1[[#This Row],[Fumo]],1)),0,1)</f>
        <v>0</v>
      </c>
      <c r="Y25" s="11" t="s">
        <v>25</v>
      </c>
      <c r="Z25" s="18">
        <f>IF(ISERROR(SEARCH("NDD",Tabella1[[#This Row],[Bevitore alcolici]],1)),0,1)</f>
        <v>0</v>
      </c>
      <c r="AA25" s="17">
        <f>IF(ISERROR(SEARCH("raro",Tabella1[[#This Row],[Bevitore alcolici]],1)),0,1)</f>
        <v>0</v>
      </c>
      <c r="AB25" s="17">
        <f>IF(ISERROR(SEARCH("saltuariamente",Tabella1[[#This Row],[Bevitore alcolici]],1)),0,1)</f>
        <v>0</v>
      </c>
      <c r="AC25" s="17">
        <f>IF(ISERROR(SEARCH("nega",Tabella1[[#This Row],[Bevitore alcolici]],1)),0,1)</f>
        <v>1</v>
      </c>
      <c r="AD25" s="17">
        <f>IF(ISERROR(SEARCH("potus",Tabella1[[#This Row],[Bevitore alcolici]],1)),0,1)</f>
        <v>0</v>
      </c>
      <c r="AE25" s="11" t="s">
        <v>379</v>
      </c>
      <c r="AF25" s="18"/>
      <c r="AG25" s="18"/>
      <c r="AH25" s="18"/>
      <c r="AI25" s="18"/>
      <c r="AJ25" s="18">
        <v>1</v>
      </c>
      <c r="AK25" s="11" t="s">
        <v>8</v>
      </c>
      <c r="AL25" s="18">
        <f>IF(ISERROR(SEARCH("si",Tabella1[[#This Row],[Patente di guida]],1)),0,1)</f>
        <v>0</v>
      </c>
      <c r="AM25" s="11" t="s">
        <v>381</v>
      </c>
      <c r="AN25" s="18">
        <f>IF(ISERROR(SEARCH("no",Tabella1[[#This Row],[Ipertensione]],1)),0,1)</f>
        <v>0</v>
      </c>
      <c r="AO25" s="11" t="s">
        <v>3748</v>
      </c>
      <c r="AP25" s="18">
        <f>IF(ISERROR(SEARCH("NO",Tabella1[[#This Row],[Cardiopatia ischemica]],1)),1,0)</f>
        <v>0</v>
      </c>
      <c r="AQ25" s="17">
        <f>IF(ISERROR(SEARCH("sconosciuto",Tabella1[[#This Row],[Cardiopatia ischemica]],1)),0,1)</f>
        <v>0</v>
      </c>
      <c r="AR25" s="11" t="s">
        <v>25</v>
      </c>
      <c r="AS25" s="22">
        <f>IF(ISERROR(SEARCH("nega",Tabella1[[#This Row],[Artimie]],1)),0,1)</f>
        <v>1</v>
      </c>
      <c r="AT25" s="11" t="s">
        <v>381</v>
      </c>
      <c r="AU25" s="22">
        <f>IF(ISERROR(SEARCH("nega",Tabella1[[#This Row],[Ipercolesterolemia]],1)),0,1)</f>
        <v>0</v>
      </c>
      <c r="AV25" s="22">
        <f>IF(ISERROR(SEARCH("boh",Tabella1[[#This Row],[Ipercolesterolemia]],1)),0,1)</f>
        <v>0</v>
      </c>
      <c r="AW25" s="11" t="s">
        <v>382</v>
      </c>
      <c r="AX25" s="22">
        <f>IF(ISERROR(SEARCH("Intolleranza",Tabella1[[#This Row],[Diabete]],1)),0,1)</f>
        <v>0</v>
      </c>
      <c r="AY25" s="22">
        <f>IF(ISERROR(SEARCH("si",Tabella1[[#This Row],[Diabete]],1)),0,1)</f>
        <v>0</v>
      </c>
      <c r="AZ25" s="11" t="s">
        <v>383</v>
      </c>
      <c r="BA25" s="18">
        <f>IF(ISERROR(SEARCH("NDD",Tabella1[[#This Row],[Patologia Tiroidea]],1)),0,1)</f>
        <v>0</v>
      </c>
      <c r="BB25" s="22">
        <f>IF(ISERROR(SEARCH("TIROIDITE",Tabella1[[#This Row],[Patologia Tiroidea]],1)),0,1)</f>
        <v>0</v>
      </c>
      <c r="BC25" s="22">
        <f>IF(ISERROR(SEARCH("HASHIMOTO",Tabella1[[#This Row],[Patologia Tiroidea]],1)),0,1)</f>
        <v>0</v>
      </c>
      <c r="BD25" s="22">
        <f>IF(ISERROR(SEARCH("BASEDOW",Tabella1[[#This Row],[Patologia Tiroidea]],1)),0,1)</f>
        <v>0</v>
      </c>
      <c r="BE25" s="22">
        <f>IF(ISERROR(SEARCH("NOD",Tabella1[[#This Row],[Patologia Tiroidea]],1)),0,1)</f>
        <v>0</v>
      </c>
      <c r="BF25" s="22">
        <f>IF(ISERROR(SEARCH("GOZ",Tabella1[[#This Row],[Patologia Tiroidea]],1)),0,1)</f>
        <v>0</v>
      </c>
      <c r="BG25" s="11" t="s">
        <v>384</v>
      </c>
      <c r="BH25" s="18">
        <f>IF(Tabella1[[#This Row],[Obesità]]="no",0,1)</f>
        <v>1</v>
      </c>
      <c r="BI25" s="11" t="s">
        <v>194</v>
      </c>
      <c r="BJ25" s="22">
        <f>IF(ISERROR(SEARCH("nega",Tabella1[[#This Row],[Reflusso gastroesofageo]],1)),1,0)</f>
        <v>1</v>
      </c>
      <c r="BK25" s="11" t="s">
        <v>195</v>
      </c>
      <c r="BL25" s="18">
        <f>IF(ISERROR(SEARCH("NDD",Tabella1[[#This Row],[Patologia respiratoria]],1)),0,1)</f>
        <v>0</v>
      </c>
      <c r="BM25" s="18">
        <f>IF(ISERROR(SEARCH("asma",Tabella1[[#This Row],[Patologia respiratoria]],1)),0,1)</f>
        <v>0</v>
      </c>
      <c r="BN25" s="18">
        <f>IF(ISERROR(SEARCH("BPCO",Tabella1[[#This Row],[Patologia respiratoria]],1)),0,1)</f>
        <v>0</v>
      </c>
      <c r="BO25" s="18">
        <f>IF(ISERROR(SEARCH("BRONCOPOLMONITE",Tabella1[[#This Row],[Patologia respiratoria]],1)),0,1)</f>
        <v>0</v>
      </c>
      <c r="BP25" s="18">
        <f>IF(ISERROR(SEARCH("ASMA, OSAS",Tabella1[[#This Row],[Patologia respiratoria]],1)),0,1)</f>
        <v>0</v>
      </c>
      <c r="BQ25" s="18">
        <f>IF(ISERROR(SEARCH("OSAS e BPCO",Tabella1[[#This Row],[Patologia respiratoria]],1)),0,1)</f>
        <v>0</v>
      </c>
      <c r="BR25" s="18">
        <f>IF(ISERROR(SEARCH("OSAS",Tabella1[[#This Row],[Patologia respiratoria]],1)),0,1)</f>
        <v>0</v>
      </c>
      <c r="BS25" s="11" t="s">
        <v>380</v>
      </c>
      <c r="BT25" s="11" t="s">
        <v>385</v>
      </c>
      <c r="BU25" s="11" t="s">
        <v>195</v>
      </c>
      <c r="BV25" s="18">
        <f>IF(ISERROR(SEARCH("ndd",Tabella1[[#This Row],[O2 terapia]],1)),0,1)</f>
        <v>0</v>
      </c>
      <c r="BW25" s="17">
        <v>0</v>
      </c>
      <c r="BX25" s="11" t="s">
        <v>382</v>
      </c>
      <c r="BY25" s="11" t="s">
        <v>195</v>
      </c>
      <c r="BZ25" s="18">
        <v>0</v>
      </c>
      <c r="CA25" s="11" t="s">
        <v>194</v>
      </c>
      <c r="CB25" s="17">
        <v>1</v>
      </c>
      <c r="CC25" s="11" t="s">
        <v>194</v>
      </c>
      <c r="CD25" s="17">
        <v>1</v>
      </c>
      <c r="CE25" s="11" t="s">
        <v>195</v>
      </c>
      <c r="CF25" s="18">
        <v>0</v>
      </c>
      <c r="CG25" s="11" t="s">
        <v>195</v>
      </c>
      <c r="CH25" s="17">
        <v>0</v>
      </c>
      <c r="CI25" s="11" t="s">
        <v>194</v>
      </c>
      <c r="CJ25" s="17">
        <v>1</v>
      </c>
      <c r="CK25" s="11" t="s">
        <v>386</v>
      </c>
      <c r="CL25" s="17">
        <v>1</v>
      </c>
      <c r="CM25" s="11" t="s">
        <v>194</v>
      </c>
      <c r="CN25" s="17">
        <v>1</v>
      </c>
      <c r="CO25" s="11" t="s">
        <v>387</v>
      </c>
      <c r="CP25" s="17">
        <v>1</v>
      </c>
      <c r="CQ25" s="11" t="s">
        <v>202</v>
      </c>
      <c r="CR25" s="11" t="s">
        <v>388</v>
      </c>
      <c r="CS25" s="11" t="s">
        <v>389</v>
      </c>
      <c r="CT25" s="11" t="s">
        <v>136</v>
      </c>
      <c r="CU25" s="11" t="s">
        <v>390</v>
      </c>
      <c r="CV25" s="12" t="s">
        <v>391</v>
      </c>
    </row>
    <row r="26" spans="1:100" ht="256.5">
      <c r="A26" s="1">
        <f t="shared" si="0"/>
        <v>25</v>
      </c>
      <c r="B26" s="5">
        <v>207</v>
      </c>
      <c r="C26" s="6">
        <v>44469</v>
      </c>
      <c r="D26" s="7" t="s">
        <v>392</v>
      </c>
      <c r="E26" s="6">
        <v>15164</v>
      </c>
      <c r="F26" s="29">
        <f ca="1">_xlfn.DAYS(NOW(),Tabella1[[#This Row],[Data di Nascita]])/365.25</f>
        <v>84.076659822039701</v>
      </c>
      <c r="G26" s="7" t="s">
        <v>393</v>
      </c>
      <c r="H26" s="7" t="s">
        <v>394</v>
      </c>
      <c r="I26" s="7" t="s">
        <v>395</v>
      </c>
      <c r="J26" s="7" t="s">
        <v>396</v>
      </c>
      <c r="K26" s="7" t="s">
        <v>397</v>
      </c>
      <c r="L26" s="17">
        <f>IF(ISERROR(SEARCH("EX",Tabella1[[#This Row],[Attività lavorativa]],1)),0,1)</f>
        <v>0</v>
      </c>
      <c r="M26" s="17"/>
      <c r="N26" s="17"/>
      <c r="O26" s="17"/>
      <c r="P26" s="17"/>
      <c r="Q26" s="17"/>
      <c r="R26" s="17"/>
      <c r="S26" s="17"/>
      <c r="T26" s="17">
        <f>IF(ISERROR(SEARCH("NDD",Tabella1[[#This Row],[Attività lavorativa]],1)),0,1)</f>
        <v>0</v>
      </c>
      <c r="U26" s="7" t="s">
        <v>195</v>
      </c>
      <c r="V26" s="22"/>
      <c r="W26" s="22">
        <f>IF(ISERROR(SEARCH("ex",Tabella1[[#This Row],[Fumo]],1)),0,1)</f>
        <v>0</v>
      </c>
      <c r="X26" s="22">
        <f>IF(ISERROR(SEARCH("no",Tabella1[[#This Row],[Fumo]],1)),0,1)</f>
        <v>1</v>
      </c>
      <c r="Y26" s="7" t="s">
        <v>25</v>
      </c>
      <c r="Z26" s="17">
        <f>IF(ISERROR(SEARCH("NDD",Tabella1[[#This Row],[Bevitore alcolici]],1)),0,1)</f>
        <v>0</v>
      </c>
      <c r="AA26" s="17">
        <f>IF(ISERROR(SEARCH("raro",Tabella1[[#This Row],[Bevitore alcolici]],1)),0,1)</f>
        <v>0</v>
      </c>
      <c r="AB26" s="17">
        <f>IF(ISERROR(SEARCH("saltuariamente",Tabella1[[#This Row],[Bevitore alcolici]],1)),0,1)</f>
        <v>0</v>
      </c>
      <c r="AC26" s="17">
        <f>IF(ISERROR(SEARCH("nega",Tabella1[[#This Row],[Bevitore alcolici]],1)),0,1)</f>
        <v>1</v>
      </c>
      <c r="AD26" s="17">
        <f>IF(ISERROR(SEARCH("potus",Tabella1[[#This Row],[Bevitore alcolici]],1)),0,1)</f>
        <v>0</v>
      </c>
      <c r="AE26" s="7" t="s">
        <v>657</v>
      </c>
      <c r="AF26" s="17"/>
      <c r="AG26" s="17"/>
      <c r="AH26" s="17"/>
      <c r="AI26" s="17"/>
      <c r="AJ26" s="17"/>
      <c r="AK26" s="7" t="s">
        <v>195</v>
      </c>
      <c r="AL26" s="17">
        <f>IF(ISERROR(SEARCH("si",Tabella1[[#This Row],[Patente di guida]],1)),0,1)</f>
        <v>0</v>
      </c>
      <c r="AM26" s="7" t="s">
        <v>28</v>
      </c>
      <c r="AN26" s="17">
        <f>IF(ISERROR(SEARCH("no",Tabella1[[#This Row],[Ipertensione]],1)),0,1)</f>
        <v>0</v>
      </c>
      <c r="AO26" s="7" t="s">
        <v>194</v>
      </c>
      <c r="AP26" s="18">
        <f>IF(ISERROR(SEARCH("NO",Tabella1[[#This Row],[Cardiopatia ischemica]],1)),1,0)</f>
        <v>1</v>
      </c>
      <c r="AQ26" s="17">
        <f>IF(ISERROR(SEARCH("sconosciuto",Tabella1[[#This Row],[Cardiopatia ischemica]],1)),0,1)</f>
        <v>0</v>
      </c>
      <c r="AR26" s="7" t="s">
        <v>398</v>
      </c>
      <c r="AS26" s="22">
        <f>IF(ISERROR(SEARCH("nega",Tabella1[[#This Row],[Artimie]],1)),0,1)</f>
        <v>0</v>
      </c>
      <c r="AT26" s="7" t="s">
        <v>194</v>
      </c>
      <c r="AU26" s="22">
        <f>IF(ISERROR(SEARCH("nega",Tabella1[[#This Row],[Ipercolesterolemia]],1)),0,1)</f>
        <v>0</v>
      </c>
      <c r="AV26" s="22">
        <f>IF(ISERROR(SEARCH("boh",Tabella1[[#This Row],[Ipercolesterolemia]],1)),0,1)</f>
        <v>0</v>
      </c>
      <c r="AW26" s="7" t="s">
        <v>3759</v>
      </c>
      <c r="AX26" s="22">
        <f>IF(ISERROR(SEARCH("Intolleranza",Tabella1[[#This Row],[Diabete]],1)),0,1)</f>
        <v>1</v>
      </c>
      <c r="AY26" s="22">
        <f>IF(ISERROR(SEARCH("si",Tabella1[[#This Row],[Diabete]],1)),0,1)</f>
        <v>1</v>
      </c>
      <c r="AZ26" s="7" t="s">
        <v>195</v>
      </c>
      <c r="BA26" s="17">
        <f>IF(ISERROR(SEARCH("NDD",Tabella1[[#This Row],[Patologia Tiroidea]],1)),0,1)</f>
        <v>0</v>
      </c>
      <c r="BB26" s="22">
        <f>IF(ISERROR(SEARCH("TIROIDITE",Tabella1[[#This Row],[Patologia Tiroidea]],1)),0,1)</f>
        <v>0</v>
      </c>
      <c r="BC26" s="22">
        <f>IF(ISERROR(SEARCH("HASHIMOTO",Tabella1[[#This Row],[Patologia Tiroidea]],1)),0,1)</f>
        <v>0</v>
      </c>
      <c r="BD26" s="22">
        <f>IF(ISERROR(SEARCH("BASEDOW",Tabella1[[#This Row],[Patologia Tiroidea]],1)),0,1)</f>
        <v>0</v>
      </c>
      <c r="BE26" s="22">
        <f>IF(ISERROR(SEARCH("NOD",Tabella1[[#This Row],[Patologia Tiroidea]],1)),0,1)</f>
        <v>0</v>
      </c>
      <c r="BF26" s="22">
        <f>IF(ISERROR(SEARCH("GOZ",Tabella1[[#This Row],[Patologia Tiroidea]],1)),0,1)</f>
        <v>0</v>
      </c>
      <c r="BG26" s="7" t="s">
        <v>194</v>
      </c>
      <c r="BH26" s="17">
        <f>IF(Tabella1[[#This Row],[Obesità]]="no",0,1)</f>
        <v>1</v>
      </c>
      <c r="BI26" s="7" t="s">
        <v>25</v>
      </c>
      <c r="BJ26" s="22">
        <f>IF(ISERROR(SEARCH("nega",Tabella1[[#This Row],[Reflusso gastroesofageo]],1)),1,0)</f>
        <v>0</v>
      </c>
      <c r="BK26" s="7" t="s">
        <v>195</v>
      </c>
      <c r="BL26" s="17">
        <f>IF(ISERROR(SEARCH("NDD",Tabella1[[#This Row],[Patologia respiratoria]],1)),0,1)</f>
        <v>0</v>
      </c>
      <c r="BM26" s="17">
        <f>IF(ISERROR(SEARCH("asma",Tabella1[[#This Row],[Patologia respiratoria]],1)),0,1)</f>
        <v>0</v>
      </c>
      <c r="BN26" s="17">
        <f>IF(ISERROR(SEARCH("BPCO",Tabella1[[#This Row],[Patologia respiratoria]],1)),0,1)</f>
        <v>0</v>
      </c>
      <c r="BO26" s="17">
        <f>IF(ISERROR(SEARCH("BRONCOPOLMONITE",Tabella1[[#This Row],[Patologia respiratoria]],1)),0,1)</f>
        <v>0</v>
      </c>
      <c r="BP26" s="17">
        <f>IF(ISERROR(SEARCH("ASMA, OSAS",Tabella1[[#This Row],[Patologia respiratoria]],1)),0,1)</f>
        <v>0</v>
      </c>
      <c r="BQ26" s="17">
        <f>IF(ISERROR(SEARCH("OSAS e BPCO",Tabella1[[#This Row],[Patologia respiratoria]],1)),0,1)</f>
        <v>0</v>
      </c>
      <c r="BR26" s="17">
        <f>IF(ISERROR(SEARCH("OSAS",Tabella1[[#This Row],[Patologia respiratoria]],1)),0,1)</f>
        <v>0</v>
      </c>
      <c r="BS26" s="7" t="s">
        <v>195</v>
      </c>
      <c r="BT26" s="7" t="s">
        <v>399</v>
      </c>
      <c r="BU26" s="7" t="s">
        <v>195</v>
      </c>
      <c r="BV26" s="17">
        <f>IF(ISERROR(SEARCH("ndd",Tabella1[[#This Row],[O2 terapia]],1)),0,1)</f>
        <v>0</v>
      </c>
      <c r="BW26" s="17">
        <v>0</v>
      </c>
      <c r="BX26" s="7" t="s">
        <v>195</v>
      </c>
      <c r="BY26" s="7" t="s">
        <v>195</v>
      </c>
      <c r="BZ26" s="18">
        <v>0</v>
      </c>
      <c r="CA26" s="7" t="s">
        <v>400</v>
      </c>
      <c r="CB26" s="17">
        <v>1</v>
      </c>
      <c r="CC26" s="7" t="s">
        <v>401</v>
      </c>
      <c r="CD26" s="17">
        <v>1</v>
      </c>
      <c r="CE26" s="7" t="s">
        <v>195</v>
      </c>
      <c r="CF26" s="18">
        <v>0</v>
      </c>
      <c r="CG26" s="7" t="s">
        <v>194</v>
      </c>
      <c r="CH26" s="17">
        <v>1</v>
      </c>
      <c r="CI26" s="7" t="s">
        <v>195</v>
      </c>
      <c r="CJ26" s="18">
        <v>0</v>
      </c>
      <c r="CK26" s="7" t="s">
        <v>402</v>
      </c>
      <c r="CL26" s="17">
        <v>1</v>
      </c>
      <c r="CM26" s="7" t="s">
        <v>194</v>
      </c>
      <c r="CN26" s="17">
        <v>1</v>
      </c>
      <c r="CO26" s="7" t="s">
        <v>195</v>
      </c>
      <c r="CP26" s="18">
        <v>0</v>
      </c>
      <c r="CQ26" s="7" t="s">
        <v>202</v>
      </c>
      <c r="CR26" s="7" t="s">
        <v>403</v>
      </c>
      <c r="CS26" s="7" t="s">
        <v>404</v>
      </c>
      <c r="CT26" s="7" t="s">
        <v>405</v>
      </c>
      <c r="CU26" s="7" t="s">
        <v>406</v>
      </c>
      <c r="CV26" s="8" t="s">
        <v>407</v>
      </c>
    </row>
    <row r="27" spans="1:100" ht="256.5">
      <c r="A27" s="1">
        <f t="shared" si="0"/>
        <v>26</v>
      </c>
      <c r="B27" s="9">
        <v>209</v>
      </c>
      <c r="C27" s="10">
        <v>44469</v>
      </c>
      <c r="D27" s="11" t="s">
        <v>408</v>
      </c>
      <c r="E27" s="10">
        <v>19066</v>
      </c>
      <c r="F27" s="29">
        <f ca="1">_xlfn.DAYS(NOW(),Tabella1[[#This Row],[Data di Nascita]])/365.25</f>
        <v>73.393566050650236</v>
      </c>
      <c r="G27" s="11" t="s">
        <v>409</v>
      </c>
      <c r="H27" s="11" t="s">
        <v>410</v>
      </c>
      <c r="I27" s="11" t="s">
        <v>411</v>
      </c>
      <c r="J27" s="11"/>
      <c r="K27" s="11" t="s">
        <v>5598</v>
      </c>
      <c r="L27" s="18">
        <f>IF(ISERROR(SEARCH("EX",Tabella1[[#This Row],[Attività lavorativa]],1)),0,1)</f>
        <v>1</v>
      </c>
      <c r="M27" s="18"/>
      <c r="N27" s="18"/>
      <c r="O27" s="18"/>
      <c r="P27" s="18"/>
      <c r="Q27" s="18"/>
      <c r="R27" s="18"/>
      <c r="S27" s="18"/>
      <c r="T27" s="17">
        <f>IF(ISERROR(SEARCH("NDD",Tabella1[[#This Row],[Attività lavorativa]],1)),0,1)</f>
        <v>0</v>
      </c>
      <c r="U27" s="11" t="s">
        <v>412</v>
      </c>
      <c r="V27" s="22">
        <v>37.5</v>
      </c>
      <c r="W27" s="22">
        <f>IF(ISERROR(SEARCH("ex",Tabella1[[#This Row],[Fumo]],1)),0,1)</f>
        <v>1</v>
      </c>
      <c r="X27" s="22">
        <f>IF(ISERROR(SEARCH("no",Tabella1[[#This Row],[Fumo]],1)),0,1)</f>
        <v>0</v>
      </c>
      <c r="Y27" s="11" t="s">
        <v>25</v>
      </c>
      <c r="Z27" s="18">
        <f>IF(ISERROR(SEARCH("NDD",Tabella1[[#This Row],[Bevitore alcolici]],1)),0,1)</f>
        <v>0</v>
      </c>
      <c r="AA27" s="17">
        <f>IF(ISERROR(SEARCH("raro",Tabella1[[#This Row],[Bevitore alcolici]],1)),0,1)</f>
        <v>0</v>
      </c>
      <c r="AB27" s="17">
        <f>IF(ISERROR(SEARCH("saltuariamente",Tabella1[[#This Row],[Bevitore alcolici]],1)),0,1)</f>
        <v>0</v>
      </c>
      <c r="AC27" s="17">
        <f>IF(ISERROR(SEARCH("nega",Tabella1[[#This Row],[Bevitore alcolici]],1)),0,1)</f>
        <v>1</v>
      </c>
      <c r="AD27" s="17">
        <f>IF(ISERROR(SEARCH("potus",Tabella1[[#This Row],[Bevitore alcolici]],1)),0,1)</f>
        <v>0</v>
      </c>
      <c r="AE27" s="11" t="s">
        <v>657</v>
      </c>
      <c r="AF27" s="18"/>
      <c r="AG27" s="18"/>
      <c r="AH27" s="18"/>
      <c r="AI27" s="18"/>
      <c r="AJ27" s="18"/>
      <c r="AK27" s="11" t="s">
        <v>3711</v>
      </c>
      <c r="AL27" s="18">
        <f>IF(ISERROR(SEARCH("si",Tabella1[[#This Row],[Patente di guida]],1)),0,1)</f>
        <v>1</v>
      </c>
      <c r="AM27" s="11" t="s">
        <v>28</v>
      </c>
      <c r="AN27" s="18">
        <f>IF(ISERROR(SEARCH("no",Tabella1[[#This Row],[Ipertensione]],1)),0,1)</f>
        <v>0</v>
      </c>
      <c r="AO27" s="11" t="s">
        <v>382</v>
      </c>
      <c r="AP27" s="18">
        <f>IF(ISERROR(SEARCH("NO",Tabella1[[#This Row],[Cardiopatia ischemica]],1)),1,0)</f>
        <v>0</v>
      </c>
      <c r="AQ27" s="17">
        <f>IF(ISERROR(SEARCH("sconosciuto",Tabella1[[#This Row],[Cardiopatia ischemica]],1)),0,1)</f>
        <v>0</v>
      </c>
      <c r="AR27" s="11" t="s">
        <v>25</v>
      </c>
      <c r="AS27" s="22">
        <f>IF(ISERROR(SEARCH("nega",Tabella1[[#This Row],[Artimie]],1)),0,1)</f>
        <v>1</v>
      </c>
      <c r="AT27" s="11" t="s">
        <v>413</v>
      </c>
      <c r="AU27" s="22">
        <f>IF(ISERROR(SEARCH("nega",Tabella1[[#This Row],[Ipercolesterolemia]],1)),0,1)</f>
        <v>0</v>
      </c>
      <c r="AV27" s="22">
        <f>IF(ISERROR(SEARCH("boh",Tabella1[[#This Row],[Ipercolesterolemia]],1)),0,1)</f>
        <v>0</v>
      </c>
      <c r="AW27" s="11" t="s">
        <v>3763</v>
      </c>
      <c r="AX27" s="22">
        <f>IF(ISERROR(SEARCH("Intolleranza",Tabella1[[#This Row],[Diabete]],1)),0,1)</f>
        <v>0</v>
      </c>
      <c r="AY27" s="22">
        <f>IF(ISERROR(SEARCH("si",Tabella1[[#This Row],[Diabete]],1)),0,1)</f>
        <v>1</v>
      </c>
      <c r="AZ27" s="11" t="s">
        <v>195</v>
      </c>
      <c r="BA27" s="18">
        <f>IF(ISERROR(SEARCH("NDD",Tabella1[[#This Row],[Patologia Tiroidea]],1)),0,1)</f>
        <v>0</v>
      </c>
      <c r="BB27" s="22">
        <f>IF(ISERROR(SEARCH("TIROIDITE",Tabella1[[#This Row],[Patologia Tiroidea]],1)),0,1)</f>
        <v>0</v>
      </c>
      <c r="BC27" s="22">
        <f>IF(ISERROR(SEARCH("HASHIMOTO",Tabella1[[#This Row],[Patologia Tiroidea]],1)),0,1)</f>
        <v>0</v>
      </c>
      <c r="BD27" s="22">
        <f>IF(ISERROR(SEARCH("BASEDOW",Tabella1[[#This Row],[Patologia Tiroidea]],1)),0,1)</f>
        <v>0</v>
      </c>
      <c r="BE27" s="22">
        <f>IF(ISERROR(SEARCH("NOD",Tabella1[[#This Row],[Patologia Tiroidea]],1)),0,1)</f>
        <v>0</v>
      </c>
      <c r="BF27" s="22">
        <f>IF(ISERROR(SEARCH("GOZ",Tabella1[[#This Row],[Patologia Tiroidea]],1)),0,1)</f>
        <v>0</v>
      </c>
      <c r="BG27" s="11" t="s">
        <v>384</v>
      </c>
      <c r="BH27" s="18">
        <f>IF(Tabella1[[#This Row],[Obesità]]="no",0,1)</f>
        <v>1</v>
      </c>
      <c r="BI27" s="11" t="s">
        <v>194</v>
      </c>
      <c r="BJ27" s="22">
        <f>IF(ISERROR(SEARCH("nega",Tabella1[[#This Row],[Reflusso gastroesofageo]],1)),1,0)</f>
        <v>1</v>
      </c>
      <c r="BK27" s="11" t="s">
        <v>195</v>
      </c>
      <c r="BL27" s="18">
        <f>IF(ISERROR(SEARCH("NDD",Tabella1[[#This Row],[Patologia respiratoria]],1)),0,1)</f>
        <v>0</v>
      </c>
      <c r="BM27" s="18">
        <f>IF(ISERROR(SEARCH("asma",Tabella1[[#This Row],[Patologia respiratoria]],1)),0,1)</f>
        <v>0</v>
      </c>
      <c r="BN27" s="18">
        <f>IF(ISERROR(SEARCH("BPCO",Tabella1[[#This Row],[Patologia respiratoria]],1)),0,1)</f>
        <v>0</v>
      </c>
      <c r="BO27" s="18">
        <f>IF(ISERROR(SEARCH("BRONCOPOLMONITE",Tabella1[[#This Row],[Patologia respiratoria]],1)),0,1)</f>
        <v>0</v>
      </c>
      <c r="BP27" s="18">
        <f>IF(ISERROR(SEARCH("ASMA, OSAS",Tabella1[[#This Row],[Patologia respiratoria]],1)),0,1)</f>
        <v>0</v>
      </c>
      <c r="BQ27" s="18">
        <f>IF(ISERROR(SEARCH("OSAS e BPCO",Tabella1[[#This Row],[Patologia respiratoria]],1)),0,1)</f>
        <v>0</v>
      </c>
      <c r="BR27" s="18">
        <f>IF(ISERROR(SEARCH("OSAS",Tabella1[[#This Row],[Patologia respiratoria]],1)),0,1)</f>
        <v>0</v>
      </c>
      <c r="BS27" s="11" t="s">
        <v>195</v>
      </c>
      <c r="BT27" s="11" t="s">
        <v>414</v>
      </c>
      <c r="BU27" s="11" t="s">
        <v>195</v>
      </c>
      <c r="BV27" s="18">
        <f>IF(ISERROR(SEARCH("ndd",Tabella1[[#This Row],[O2 terapia]],1)),0,1)</f>
        <v>0</v>
      </c>
      <c r="BW27" s="17">
        <v>0</v>
      </c>
      <c r="BX27" s="11" t="s">
        <v>415</v>
      </c>
      <c r="BY27" s="11" t="s">
        <v>195</v>
      </c>
      <c r="BZ27" s="18">
        <v>0</v>
      </c>
      <c r="CA27" s="11" t="s">
        <v>416</v>
      </c>
      <c r="CB27" s="17">
        <v>1</v>
      </c>
      <c r="CC27" s="11" t="s">
        <v>417</v>
      </c>
      <c r="CD27" s="17">
        <v>1</v>
      </c>
      <c r="CE27" s="11" t="s">
        <v>195</v>
      </c>
      <c r="CF27" s="18">
        <v>0</v>
      </c>
      <c r="CG27" s="11" t="s">
        <v>418</v>
      </c>
      <c r="CH27" s="17">
        <v>1</v>
      </c>
      <c r="CI27" s="11" t="s">
        <v>195</v>
      </c>
      <c r="CJ27" s="18">
        <v>0</v>
      </c>
      <c r="CK27" s="11" t="s">
        <v>419</v>
      </c>
      <c r="CL27" s="17">
        <v>1</v>
      </c>
      <c r="CM27" s="11" t="s">
        <v>195</v>
      </c>
      <c r="CN27" s="17">
        <v>0</v>
      </c>
      <c r="CO27" s="11" t="s">
        <v>195</v>
      </c>
      <c r="CP27" s="18">
        <v>0</v>
      </c>
      <c r="CQ27" s="11" t="s">
        <v>54</v>
      </c>
      <c r="CR27" s="11" t="s">
        <v>14</v>
      </c>
      <c r="CS27" s="11" t="s">
        <v>355</v>
      </c>
      <c r="CT27" s="11" t="s">
        <v>420</v>
      </c>
      <c r="CU27" s="11" t="s">
        <v>421</v>
      </c>
      <c r="CV27" s="12" t="s">
        <v>422</v>
      </c>
    </row>
    <row r="28" spans="1:100" ht="299.25">
      <c r="A28" s="1">
        <f t="shared" si="0"/>
        <v>27</v>
      </c>
      <c r="B28" s="5">
        <v>210</v>
      </c>
      <c r="C28" s="6">
        <v>44469</v>
      </c>
      <c r="D28" s="7" t="s">
        <v>423</v>
      </c>
      <c r="E28" s="6">
        <v>16796</v>
      </c>
      <c r="F28" s="29">
        <f ca="1">_xlfn.DAYS(NOW(),Tabella1[[#This Row],[Data di Nascita]])/365.25</f>
        <v>79.60848733744011</v>
      </c>
      <c r="G28" s="7" t="s">
        <v>424</v>
      </c>
      <c r="H28" s="7" t="s">
        <v>425</v>
      </c>
      <c r="I28" s="7" t="s">
        <v>426</v>
      </c>
      <c r="J28" s="7" t="s">
        <v>427</v>
      </c>
      <c r="K28" s="7" t="s">
        <v>428</v>
      </c>
      <c r="L28" s="18">
        <v>1</v>
      </c>
      <c r="M28" s="17"/>
      <c r="N28" s="17"/>
      <c r="O28" s="17"/>
      <c r="P28" s="17"/>
      <c r="Q28" s="17"/>
      <c r="R28" s="17"/>
      <c r="S28" s="17"/>
      <c r="T28" s="17">
        <f>IF(ISERROR(SEARCH("NDD",Tabella1[[#This Row],[Attività lavorativa]],1)),0,1)</f>
        <v>0</v>
      </c>
      <c r="U28" s="7" t="s">
        <v>8</v>
      </c>
      <c r="V28" s="22"/>
      <c r="W28" s="22">
        <f>IF(ISERROR(SEARCH("ex",Tabella1[[#This Row],[Fumo]],1)),0,1)</f>
        <v>0</v>
      </c>
      <c r="X28" s="22">
        <f>IF(ISERROR(SEARCH("no",Tabella1[[#This Row],[Fumo]],1)),0,1)</f>
        <v>1</v>
      </c>
      <c r="Y28" s="7" t="s">
        <v>25</v>
      </c>
      <c r="Z28" s="17">
        <f>IF(ISERROR(SEARCH("NDD",Tabella1[[#This Row],[Bevitore alcolici]],1)),0,1)</f>
        <v>0</v>
      </c>
      <c r="AA28" s="17">
        <f>IF(ISERROR(SEARCH("raro",Tabella1[[#This Row],[Bevitore alcolici]],1)),0,1)</f>
        <v>0</v>
      </c>
      <c r="AB28" s="17">
        <f>IF(ISERROR(SEARCH("saltuariamente",Tabella1[[#This Row],[Bevitore alcolici]],1)),0,1)</f>
        <v>0</v>
      </c>
      <c r="AC28" s="17">
        <f>IF(ISERROR(SEARCH("nega",Tabella1[[#This Row],[Bevitore alcolici]],1)),0,1)</f>
        <v>1</v>
      </c>
      <c r="AD28" s="17">
        <f>IF(ISERROR(SEARCH("potus",Tabella1[[#This Row],[Bevitore alcolici]],1)),0,1)</f>
        <v>0</v>
      </c>
      <c r="AE28" s="7" t="s">
        <v>5675</v>
      </c>
      <c r="AF28" s="17"/>
      <c r="AG28" s="17"/>
      <c r="AH28" s="17"/>
      <c r="AI28" s="17"/>
      <c r="AJ28" s="17"/>
      <c r="AK28" s="7" t="s">
        <v>28</v>
      </c>
      <c r="AL28" s="17">
        <f>IF(ISERROR(SEARCH("si",Tabella1[[#This Row],[Patente di guida]],1)),0,1)</f>
        <v>1</v>
      </c>
      <c r="AM28" s="7" t="s">
        <v>28</v>
      </c>
      <c r="AN28" s="17">
        <f>IF(ISERROR(SEARCH("no",Tabella1[[#This Row],[Ipertensione]],1)),0,1)</f>
        <v>0</v>
      </c>
      <c r="AO28" s="7" t="s">
        <v>3726</v>
      </c>
      <c r="AP28" s="18">
        <f>IF(ISERROR(SEARCH("NO",Tabella1[[#This Row],[Cardiopatia ischemica]],1)),1,0)</f>
        <v>0</v>
      </c>
      <c r="AQ28" s="17">
        <f>IF(ISERROR(SEARCH("sconosciuto",Tabella1[[#This Row],[Cardiopatia ischemica]],1)),0,1)</f>
        <v>1</v>
      </c>
      <c r="AR28" s="7" t="s">
        <v>25</v>
      </c>
      <c r="AS28" s="22">
        <f>IF(ISERROR(SEARCH("nega",Tabella1[[#This Row],[Artimie]],1)),0,1)</f>
        <v>1</v>
      </c>
      <c r="AT28" s="7" t="s">
        <v>25</v>
      </c>
      <c r="AU28" s="22">
        <f>IF(ISERROR(SEARCH("nega",Tabella1[[#This Row],[Ipercolesterolemia]],1)),0,1)</f>
        <v>1</v>
      </c>
      <c r="AV28" s="22">
        <f>IF(ISERROR(SEARCH("boh",Tabella1[[#This Row],[Ipercolesterolemia]],1)),0,1)</f>
        <v>0</v>
      </c>
      <c r="AW28" s="7" t="s">
        <v>429</v>
      </c>
      <c r="AX28" s="22">
        <f>IF(ISERROR(SEARCH("Intolleranza",Tabella1[[#This Row],[Diabete]],1)),0,1)</f>
        <v>1</v>
      </c>
      <c r="AY28" s="22">
        <f>IF(ISERROR(SEARCH("si",Tabella1[[#This Row],[Diabete]],1)),0,1)</f>
        <v>0</v>
      </c>
      <c r="AZ28" s="7" t="s">
        <v>25</v>
      </c>
      <c r="BA28" s="17">
        <f>IF(ISERROR(SEARCH("NDD",Tabella1[[#This Row],[Patologia Tiroidea]],1)),0,1)</f>
        <v>0</v>
      </c>
      <c r="BB28" s="22">
        <f>IF(ISERROR(SEARCH("TIROIDITE",Tabella1[[#This Row],[Patologia Tiroidea]],1)),0,1)</f>
        <v>0</v>
      </c>
      <c r="BC28" s="22">
        <f>IF(ISERROR(SEARCH("HASHIMOTO",Tabella1[[#This Row],[Patologia Tiroidea]],1)),0,1)</f>
        <v>0</v>
      </c>
      <c r="BD28" s="22">
        <f>IF(ISERROR(SEARCH("BASEDOW",Tabella1[[#This Row],[Patologia Tiroidea]],1)),0,1)</f>
        <v>0</v>
      </c>
      <c r="BE28" s="22">
        <f>IF(ISERROR(SEARCH("NOD",Tabella1[[#This Row],[Patologia Tiroidea]],1)),0,1)</f>
        <v>0</v>
      </c>
      <c r="BF28" s="22">
        <f>IF(ISERROR(SEARCH("GOZ",Tabella1[[#This Row],[Patologia Tiroidea]],1)),0,1)</f>
        <v>0</v>
      </c>
      <c r="BG28" s="7" t="s">
        <v>7</v>
      </c>
      <c r="BH28" s="17">
        <f>IF(Tabella1[[#This Row],[Obesità]]="no",0,1)</f>
        <v>1</v>
      </c>
      <c r="BI28" s="7" t="s">
        <v>7</v>
      </c>
      <c r="BJ28" s="22">
        <f>IF(ISERROR(SEARCH("nega",Tabella1[[#This Row],[Reflusso gastroesofageo]],1)),1,0)</f>
        <v>1</v>
      </c>
      <c r="BK28" s="7" t="s">
        <v>25</v>
      </c>
      <c r="BL28" s="17">
        <f>IF(ISERROR(SEARCH("NDD",Tabella1[[#This Row],[Patologia respiratoria]],1)),0,1)</f>
        <v>0</v>
      </c>
      <c r="BM28" s="17">
        <f>IF(ISERROR(SEARCH("asma",Tabella1[[#This Row],[Patologia respiratoria]],1)),0,1)</f>
        <v>0</v>
      </c>
      <c r="BN28" s="17">
        <f>IF(ISERROR(SEARCH("BPCO",Tabella1[[#This Row],[Patologia respiratoria]],1)),0,1)</f>
        <v>0</v>
      </c>
      <c r="BO28" s="17">
        <f>IF(ISERROR(SEARCH("BRONCOPOLMONITE",Tabella1[[#This Row],[Patologia respiratoria]],1)),0,1)</f>
        <v>0</v>
      </c>
      <c r="BP28" s="17">
        <f>IF(ISERROR(SEARCH("ASMA, OSAS",Tabella1[[#This Row],[Patologia respiratoria]],1)),0,1)</f>
        <v>0</v>
      </c>
      <c r="BQ28" s="17">
        <f>IF(ISERROR(SEARCH("OSAS e BPCO",Tabella1[[#This Row],[Patologia respiratoria]],1)),0,1)</f>
        <v>0</v>
      </c>
      <c r="BR28" s="17">
        <f>IF(ISERROR(SEARCH("OSAS",Tabella1[[#This Row],[Patologia respiratoria]],1)),0,1)</f>
        <v>0</v>
      </c>
      <c r="BS28" s="7"/>
      <c r="BT28" s="7" t="s">
        <v>430</v>
      </c>
      <c r="BU28" s="7" t="s">
        <v>8</v>
      </c>
      <c r="BV28" s="17">
        <f>IF(ISERROR(SEARCH("ndd",Tabella1[[#This Row],[O2 terapia]],1)),0,1)</f>
        <v>0</v>
      </c>
      <c r="BW28" s="17">
        <v>0</v>
      </c>
      <c r="BX28" s="7"/>
      <c r="BY28" s="7" t="s">
        <v>25</v>
      </c>
      <c r="BZ28" s="18">
        <v>0</v>
      </c>
      <c r="CA28" s="7" t="s">
        <v>7</v>
      </c>
      <c r="CB28" s="17">
        <v>1</v>
      </c>
      <c r="CC28" s="7" t="s">
        <v>25</v>
      </c>
      <c r="CD28" s="18">
        <v>0</v>
      </c>
      <c r="CE28" s="7" t="s">
        <v>51</v>
      </c>
      <c r="CF28" s="17">
        <v>1</v>
      </c>
      <c r="CG28" s="7" t="s">
        <v>25</v>
      </c>
      <c r="CH28" s="17">
        <v>0</v>
      </c>
      <c r="CI28" s="7" t="s">
        <v>34</v>
      </c>
      <c r="CJ28" s="17">
        <v>1</v>
      </c>
      <c r="CK28" s="7" t="s">
        <v>165</v>
      </c>
      <c r="CL28" s="17">
        <v>1</v>
      </c>
      <c r="CM28" s="7" t="s">
        <v>25</v>
      </c>
      <c r="CN28" s="17">
        <v>0</v>
      </c>
      <c r="CO28" s="7" t="s">
        <v>25</v>
      </c>
      <c r="CP28" s="18">
        <v>0</v>
      </c>
      <c r="CQ28" s="7" t="s">
        <v>54</v>
      </c>
      <c r="CR28" s="7" t="s">
        <v>431</v>
      </c>
      <c r="CS28" s="7" t="s">
        <v>432</v>
      </c>
      <c r="CT28" s="7" t="s">
        <v>433</v>
      </c>
      <c r="CU28" s="7" t="s">
        <v>434</v>
      </c>
      <c r="CV28" s="8" t="s">
        <v>435</v>
      </c>
    </row>
    <row r="29" spans="1:100" ht="409.5">
      <c r="A29" s="1">
        <f t="shared" si="0"/>
        <v>28</v>
      </c>
      <c r="B29" s="9">
        <v>211</v>
      </c>
      <c r="C29" s="10">
        <v>44470</v>
      </c>
      <c r="D29" s="11" t="s">
        <v>436</v>
      </c>
      <c r="E29" s="10">
        <v>30741</v>
      </c>
      <c r="F29" s="29">
        <f ca="1">_xlfn.DAYS(NOW(),Tabella1[[#This Row],[Data di Nascita]])/365.25</f>
        <v>41.429158110882959</v>
      </c>
      <c r="G29" s="11" t="s">
        <v>437</v>
      </c>
      <c r="H29" s="11" t="s">
        <v>438</v>
      </c>
      <c r="I29" s="11" t="s">
        <v>439</v>
      </c>
      <c r="J29" s="11" t="s">
        <v>440</v>
      </c>
      <c r="K29" s="11" t="s">
        <v>441</v>
      </c>
      <c r="L29" s="18">
        <f>IF(ISERROR(SEARCH("EX",Tabella1[[#This Row],[Attività lavorativa]],1)),0,1)</f>
        <v>0</v>
      </c>
      <c r="M29" s="18"/>
      <c r="N29" s="18"/>
      <c r="O29" s="18"/>
      <c r="P29" s="18"/>
      <c r="Q29" s="18"/>
      <c r="R29" s="18"/>
      <c r="S29" s="18"/>
      <c r="T29" s="17">
        <f>IF(ISERROR(SEARCH("NDD",Tabella1[[#This Row],[Attività lavorativa]],1)),0,1)</f>
        <v>0</v>
      </c>
      <c r="U29" s="11" t="s">
        <v>195</v>
      </c>
      <c r="V29" s="22"/>
      <c r="W29" s="22">
        <f>IF(ISERROR(SEARCH("ex",Tabella1[[#This Row],[Fumo]],1)),0,1)</f>
        <v>0</v>
      </c>
      <c r="X29" s="22">
        <f>IF(ISERROR(SEARCH("no",Tabella1[[#This Row],[Fumo]],1)),0,1)</f>
        <v>1</v>
      </c>
      <c r="Y29" s="11" t="s">
        <v>25</v>
      </c>
      <c r="Z29" s="18">
        <f>IF(ISERROR(SEARCH("NDD",Tabella1[[#This Row],[Bevitore alcolici]],1)),0,1)</f>
        <v>0</v>
      </c>
      <c r="AA29" s="17">
        <f>IF(ISERROR(SEARCH("raro",Tabella1[[#This Row],[Bevitore alcolici]],1)),0,1)</f>
        <v>0</v>
      </c>
      <c r="AB29" s="17">
        <f>IF(ISERROR(SEARCH("saltuariamente",Tabella1[[#This Row],[Bevitore alcolici]],1)),0,1)</f>
        <v>0</v>
      </c>
      <c r="AC29" s="17">
        <f>IF(ISERROR(SEARCH("nega",Tabella1[[#This Row],[Bevitore alcolici]],1)),0,1)</f>
        <v>1</v>
      </c>
      <c r="AD29" s="17">
        <f>IF(ISERROR(SEARCH("potus",Tabella1[[#This Row],[Bevitore alcolici]],1)),0,1)</f>
        <v>0</v>
      </c>
      <c r="AE29" s="11" t="s">
        <v>442</v>
      </c>
      <c r="AF29" s="18"/>
      <c r="AG29" s="18">
        <v>1</v>
      </c>
      <c r="AH29" s="18"/>
      <c r="AI29" s="18"/>
      <c r="AJ29" s="18"/>
      <c r="AK29" s="11" t="s">
        <v>28</v>
      </c>
      <c r="AL29" s="18">
        <f>IF(ISERROR(SEARCH("si",Tabella1[[#This Row],[Patente di guida]],1)),0,1)</f>
        <v>1</v>
      </c>
      <c r="AM29" s="11" t="s">
        <v>28</v>
      </c>
      <c r="AN29" s="18">
        <f>IF(ISERROR(SEARCH("no",Tabella1[[#This Row],[Ipertensione]],1)),0,1)</f>
        <v>0</v>
      </c>
      <c r="AO29" s="11" t="s">
        <v>382</v>
      </c>
      <c r="AP29" s="18">
        <f>IF(ISERROR(SEARCH("NO",Tabella1[[#This Row],[Cardiopatia ischemica]],1)),1,0)</f>
        <v>0</v>
      </c>
      <c r="AQ29" s="17">
        <f>IF(ISERROR(SEARCH("sconosciuto",Tabella1[[#This Row],[Cardiopatia ischemica]],1)),0,1)</f>
        <v>0</v>
      </c>
      <c r="AR29" s="11" t="s">
        <v>3752</v>
      </c>
      <c r="AS29" s="22">
        <f>IF(ISERROR(SEARCH("nega",Tabella1[[#This Row],[Artimie]],1)),0,1)</f>
        <v>1</v>
      </c>
      <c r="AT29" s="11" t="s">
        <v>25</v>
      </c>
      <c r="AU29" s="22">
        <f>IF(ISERROR(SEARCH("nega",Tabella1[[#This Row],[Ipercolesterolemia]],1)),0,1)</f>
        <v>1</v>
      </c>
      <c r="AV29" s="22">
        <f>IF(ISERROR(SEARCH("boh",Tabella1[[#This Row],[Ipercolesterolemia]],1)),0,1)</f>
        <v>0</v>
      </c>
      <c r="AW29" s="11" t="s">
        <v>195</v>
      </c>
      <c r="AX29" s="22">
        <f>IF(ISERROR(SEARCH("Intolleranza",Tabella1[[#This Row],[Diabete]],1)),0,1)</f>
        <v>0</v>
      </c>
      <c r="AY29" s="22">
        <f>IF(ISERROR(SEARCH("si",Tabella1[[#This Row],[Diabete]],1)),0,1)</f>
        <v>0</v>
      </c>
      <c r="AZ29" s="11" t="s">
        <v>195</v>
      </c>
      <c r="BA29" s="18">
        <f>IF(ISERROR(SEARCH("NDD",Tabella1[[#This Row],[Patologia Tiroidea]],1)),0,1)</f>
        <v>0</v>
      </c>
      <c r="BB29" s="22">
        <f>IF(ISERROR(SEARCH("TIROIDITE",Tabella1[[#This Row],[Patologia Tiroidea]],1)),0,1)</f>
        <v>0</v>
      </c>
      <c r="BC29" s="22">
        <f>IF(ISERROR(SEARCH("HASHIMOTO",Tabella1[[#This Row],[Patologia Tiroidea]],1)),0,1)</f>
        <v>0</v>
      </c>
      <c r="BD29" s="22">
        <f>IF(ISERROR(SEARCH("BASEDOW",Tabella1[[#This Row],[Patologia Tiroidea]],1)),0,1)</f>
        <v>0</v>
      </c>
      <c r="BE29" s="22">
        <f>IF(ISERROR(SEARCH("NOD",Tabella1[[#This Row],[Patologia Tiroidea]],1)),0,1)</f>
        <v>0</v>
      </c>
      <c r="BF29" s="22">
        <f>IF(ISERROR(SEARCH("GOZ",Tabella1[[#This Row],[Patologia Tiroidea]],1)),0,1)</f>
        <v>0</v>
      </c>
      <c r="BG29" s="11" t="s">
        <v>194</v>
      </c>
      <c r="BH29" s="18">
        <f>IF(Tabella1[[#This Row],[Obesità]]="no",0,1)</f>
        <v>1</v>
      </c>
      <c r="BI29" s="11" t="s">
        <v>443</v>
      </c>
      <c r="BJ29" s="22">
        <f>IF(ISERROR(SEARCH("nega",Tabella1[[#This Row],[Reflusso gastroesofageo]],1)),1,0)</f>
        <v>1</v>
      </c>
      <c r="BK29" s="11" t="s">
        <v>195</v>
      </c>
      <c r="BL29" s="18">
        <f>IF(ISERROR(SEARCH("NDD",Tabella1[[#This Row],[Patologia respiratoria]],1)),0,1)</f>
        <v>0</v>
      </c>
      <c r="BM29" s="18">
        <f>IF(ISERROR(SEARCH("asma",Tabella1[[#This Row],[Patologia respiratoria]],1)),0,1)</f>
        <v>0</v>
      </c>
      <c r="BN29" s="18">
        <f>IF(ISERROR(SEARCH("BPCO",Tabella1[[#This Row],[Patologia respiratoria]],1)),0,1)</f>
        <v>0</v>
      </c>
      <c r="BO29" s="18">
        <f>IF(ISERROR(SEARCH("BRONCOPOLMONITE",Tabella1[[#This Row],[Patologia respiratoria]],1)),0,1)</f>
        <v>0</v>
      </c>
      <c r="BP29" s="18">
        <f>IF(ISERROR(SEARCH("ASMA, OSAS",Tabella1[[#This Row],[Patologia respiratoria]],1)),0,1)</f>
        <v>0</v>
      </c>
      <c r="BQ29" s="18">
        <f>IF(ISERROR(SEARCH("OSAS e BPCO",Tabella1[[#This Row],[Patologia respiratoria]],1)),0,1)</f>
        <v>0</v>
      </c>
      <c r="BR29" s="18">
        <f>IF(ISERROR(SEARCH("OSAS",Tabella1[[#This Row],[Patologia respiratoria]],1)),0,1)</f>
        <v>0</v>
      </c>
      <c r="BS29" s="11" t="s">
        <v>380</v>
      </c>
      <c r="BT29" s="11" t="s">
        <v>444</v>
      </c>
      <c r="BU29" s="11" t="s">
        <v>195</v>
      </c>
      <c r="BV29" s="18">
        <f>IF(ISERROR(SEARCH("ndd",Tabella1[[#This Row],[O2 terapia]],1)),0,1)</f>
        <v>0</v>
      </c>
      <c r="BW29" s="17">
        <v>0</v>
      </c>
      <c r="BX29" s="11" t="s">
        <v>195</v>
      </c>
      <c r="BY29" s="11" t="s">
        <v>445</v>
      </c>
      <c r="BZ29" s="17">
        <v>1</v>
      </c>
      <c r="CA29" s="11" t="s">
        <v>195</v>
      </c>
      <c r="CB29" s="17">
        <v>0</v>
      </c>
      <c r="CC29" s="11" t="s">
        <v>446</v>
      </c>
      <c r="CD29" s="17">
        <v>1</v>
      </c>
      <c r="CE29" s="11" t="s">
        <v>195</v>
      </c>
      <c r="CF29" s="18">
        <v>0</v>
      </c>
      <c r="CG29" s="11" t="s">
        <v>447</v>
      </c>
      <c r="CH29" s="17">
        <v>1</v>
      </c>
      <c r="CI29" s="11" t="s">
        <v>194</v>
      </c>
      <c r="CJ29" s="17">
        <v>1</v>
      </c>
      <c r="CK29" s="11" t="s">
        <v>448</v>
      </c>
      <c r="CL29" s="17">
        <v>1</v>
      </c>
      <c r="CM29" s="11" t="s">
        <v>195</v>
      </c>
      <c r="CN29" s="17">
        <v>0</v>
      </c>
      <c r="CO29" s="11" t="s">
        <v>195</v>
      </c>
      <c r="CP29" s="18">
        <v>0</v>
      </c>
      <c r="CQ29" s="11" t="s">
        <v>202</v>
      </c>
      <c r="CR29" s="11" t="s">
        <v>449</v>
      </c>
      <c r="CS29" s="11" t="s">
        <v>389</v>
      </c>
      <c r="CT29" s="11" t="s">
        <v>450</v>
      </c>
      <c r="CU29" s="11" t="s">
        <v>451</v>
      </c>
      <c r="CV29" s="12" t="s">
        <v>452</v>
      </c>
    </row>
    <row r="30" spans="1:100" ht="285">
      <c r="A30" s="1">
        <f t="shared" si="0"/>
        <v>29</v>
      </c>
      <c r="B30" s="5">
        <v>214</v>
      </c>
      <c r="C30" s="6">
        <v>44476</v>
      </c>
      <c r="D30" s="7" t="s">
        <v>453</v>
      </c>
      <c r="E30" s="6">
        <v>24288</v>
      </c>
      <c r="F30" s="29">
        <f ca="1">_xlfn.DAYS(NOW(),Tabella1[[#This Row],[Data di Nascita]])/365.25</f>
        <v>59.096509240246405</v>
      </c>
      <c r="G30" s="7" t="s">
        <v>454</v>
      </c>
      <c r="H30" s="7" t="s">
        <v>455</v>
      </c>
      <c r="I30" s="7" t="s">
        <v>456</v>
      </c>
      <c r="J30" s="7" t="s">
        <v>457</v>
      </c>
      <c r="K30" s="7" t="s">
        <v>458</v>
      </c>
      <c r="L30" s="17">
        <f>IF(ISERROR(SEARCH("EX",Tabella1[[#This Row],[Attività lavorativa]],1)),0,1)</f>
        <v>0</v>
      </c>
      <c r="M30" s="17"/>
      <c r="N30" s="17"/>
      <c r="O30" s="17"/>
      <c r="P30" s="17"/>
      <c r="Q30" s="17"/>
      <c r="R30" s="17"/>
      <c r="S30" s="17">
        <v>1</v>
      </c>
      <c r="T30" s="17">
        <f>IF(ISERROR(SEARCH("NDD",Tabella1[[#This Row],[Attività lavorativa]],1)),0,1)</f>
        <v>0</v>
      </c>
      <c r="U30" s="7" t="s">
        <v>459</v>
      </c>
      <c r="V30" s="22">
        <v>20</v>
      </c>
      <c r="W30" s="22">
        <f>IF(ISERROR(SEARCH("ex",Tabella1[[#This Row],[Fumo]],1)),0,1)</f>
        <v>1</v>
      </c>
      <c r="X30" s="22">
        <f>IF(ISERROR(SEARCH("no",Tabella1[[#This Row],[Fumo]],1)),0,1)</f>
        <v>0</v>
      </c>
      <c r="Y30" s="7" t="s">
        <v>26</v>
      </c>
      <c r="Z30" s="17">
        <f>IF(ISERROR(SEARCH("NDD",Tabella1[[#This Row],[Bevitore alcolici]],1)),0,1)</f>
        <v>0</v>
      </c>
      <c r="AA30" s="17">
        <f>IF(ISERROR(SEARCH("raro",Tabella1[[#This Row],[Bevitore alcolici]],1)),0,1)</f>
        <v>0</v>
      </c>
      <c r="AB30" s="17">
        <f>IF(ISERROR(SEARCH("saltuariamente",Tabella1[[#This Row],[Bevitore alcolici]],1)),0,1)</f>
        <v>1</v>
      </c>
      <c r="AC30" s="17">
        <f>IF(ISERROR(SEARCH("nega",Tabella1[[#This Row],[Bevitore alcolici]],1)),0,1)</f>
        <v>0</v>
      </c>
      <c r="AD30" s="17">
        <f>IF(ISERROR(SEARCH("potus",Tabella1[[#This Row],[Bevitore alcolici]],1)),0,1)</f>
        <v>0</v>
      </c>
      <c r="AE30" s="7" t="s">
        <v>460</v>
      </c>
      <c r="AF30" s="17"/>
      <c r="AG30" s="17"/>
      <c r="AH30" s="18">
        <v>1</v>
      </c>
      <c r="AI30" s="18"/>
      <c r="AJ30" s="18"/>
      <c r="AK30" s="7" t="s">
        <v>8</v>
      </c>
      <c r="AL30" s="17">
        <f>IF(ISERROR(SEARCH("si",Tabella1[[#This Row],[Patente di guida]],1)),0,1)</f>
        <v>0</v>
      </c>
      <c r="AM30" s="7" t="s">
        <v>8</v>
      </c>
      <c r="AN30" s="17">
        <f>IF(ISERROR(SEARCH("no",Tabella1[[#This Row],[Ipertensione]],1)),0,1)</f>
        <v>1</v>
      </c>
      <c r="AO30" s="7" t="s">
        <v>382</v>
      </c>
      <c r="AP30" s="18">
        <f>IF(ISERROR(SEARCH("NO",Tabella1[[#This Row],[Cardiopatia ischemica]],1)),1,0)</f>
        <v>0</v>
      </c>
      <c r="AQ30" s="17">
        <f>IF(ISERROR(SEARCH("sconosciuto",Tabella1[[#This Row],[Cardiopatia ischemica]],1)),0,1)</f>
        <v>0</v>
      </c>
      <c r="AR30" s="7" t="s">
        <v>25</v>
      </c>
      <c r="AS30" s="22">
        <f>IF(ISERROR(SEARCH("nega",Tabella1[[#This Row],[Artimie]],1)),0,1)</f>
        <v>1</v>
      </c>
      <c r="AT30" s="7" t="s">
        <v>25</v>
      </c>
      <c r="AU30" s="22">
        <f>IF(ISERROR(SEARCH("nega",Tabella1[[#This Row],[Ipercolesterolemia]],1)),0,1)</f>
        <v>1</v>
      </c>
      <c r="AV30" s="22">
        <f>IF(ISERROR(SEARCH("boh",Tabella1[[#This Row],[Ipercolesterolemia]],1)),0,1)</f>
        <v>0</v>
      </c>
      <c r="AW30" s="7" t="s">
        <v>25</v>
      </c>
      <c r="AX30" s="22">
        <f>IF(ISERROR(SEARCH("Intolleranza",Tabella1[[#This Row],[Diabete]],1)),0,1)</f>
        <v>0</v>
      </c>
      <c r="AY30" s="22">
        <f>IF(ISERROR(SEARCH("si",Tabella1[[#This Row],[Diabete]],1)),0,1)</f>
        <v>0</v>
      </c>
      <c r="AZ30" s="7" t="s">
        <v>3783</v>
      </c>
      <c r="BA30" s="17">
        <f>IF(ISERROR(SEARCH("NDD",Tabella1[[#This Row],[Patologia Tiroidea]],1)),0,1)</f>
        <v>0</v>
      </c>
      <c r="BB30" s="22">
        <f>IF(ISERROR(SEARCH("TIROIDITE",Tabella1[[#This Row],[Patologia Tiroidea]],1)),0,1)</f>
        <v>0</v>
      </c>
      <c r="BC30" s="22">
        <f>IF(ISERROR(SEARCH("HASHIMOTO",Tabella1[[#This Row],[Patologia Tiroidea]],1)),0,1)</f>
        <v>0</v>
      </c>
      <c r="BD30" s="22">
        <f>IF(ISERROR(SEARCH("BASEDOW",Tabella1[[#This Row],[Patologia Tiroidea]],1)),0,1)</f>
        <v>1</v>
      </c>
      <c r="BE30" s="22">
        <f>IF(ISERROR(SEARCH("NOD",Tabella1[[#This Row],[Patologia Tiroidea]],1)),0,1)</f>
        <v>0</v>
      </c>
      <c r="BF30" s="22">
        <f>IF(ISERROR(SEARCH("GOZ",Tabella1[[#This Row],[Patologia Tiroidea]],1)),0,1)</f>
        <v>0</v>
      </c>
      <c r="BG30" s="7" t="s">
        <v>5477</v>
      </c>
      <c r="BH30" s="18">
        <v>0</v>
      </c>
      <c r="BI30" s="7" t="s">
        <v>461</v>
      </c>
      <c r="BJ30" s="22">
        <f>IF(ISERROR(SEARCH("nega",Tabella1[[#This Row],[Reflusso gastroesofageo]],1)),1,0)</f>
        <v>1</v>
      </c>
      <c r="BK30" s="7" t="s">
        <v>5477</v>
      </c>
      <c r="BL30" s="17">
        <f>IF(ISERROR(SEARCH("NDD",Tabella1[[#This Row],[Patologia respiratoria]],1)),0,1)</f>
        <v>1</v>
      </c>
      <c r="BM30" s="17">
        <f>IF(ISERROR(SEARCH("asma",Tabella1[[#This Row],[Patologia respiratoria]],1)),0,1)</f>
        <v>0</v>
      </c>
      <c r="BN30" s="17">
        <f>IF(ISERROR(SEARCH("BPCO",Tabella1[[#This Row],[Patologia respiratoria]],1)),0,1)</f>
        <v>0</v>
      </c>
      <c r="BO30" s="17">
        <f>IF(ISERROR(SEARCH("BRONCOPOLMONITE",Tabella1[[#This Row],[Patologia respiratoria]],1)),0,1)</f>
        <v>0</v>
      </c>
      <c r="BP30" s="17">
        <f>IF(ISERROR(SEARCH("ASMA, OSAS",Tabella1[[#This Row],[Patologia respiratoria]],1)),0,1)</f>
        <v>0</v>
      </c>
      <c r="BQ30" s="17">
        <f>IF(ISERROR(SEARCH("OSAS e BPCO",Tabella1[[#This Row],[Patologia respiratoria]],1)),0,1)</f>
        <v>0</v>
      </c>
      <c r="BR30" s="17">
        <f>IF(ISERROR(SEARCH("OSAS",Tabella1[[#This Row],[Patologia respiratoria]],1)),0,1)</f>
        <v>0</v>
      </c>
      <c r="BS30" s="7" t="s">
        <v>462</v>
      </c>
      <c r="BT30" s="7" t="s">
        <v>463</v>
      </c>
      <c r="BU30" s="7" t="s">
        <v>8</v>
      </c>
      <c r="BV30" s="17">
        <f>IF(ISERROR(SEARCH("ndd",Tabella1[[#This Row],[O2 terapia]],1)),0,1)</f>
        <v>0</v>
      </c>
      <c r="BW30" s="17">
        <v>0</v>
      </c>
      <c r="BX30" s="7" t="s">
        <v>464</v>
      </c>
      <c r="BY30" s="7" t="s">
        <v>350</v>
      </c>
      <c r="BZ30" s="17">
        <v>1</v>
      </c>
      <c r="CA30" s="7" t="s">
        <v>25</v>
      </c>
      <c r="CB30" s="17">
        <v>0</v>
      </c>
      <c r="CC30" s="7" t="s">
        <v>465</v>
      </c>
      <c r="CD30" s="17">
        <v>1</v>
      </c>
      <c r="CE30" s="7" t="s">
        <v>25</v>
      </c>
      <c r="CF30" s="18">
        <v>0</v>
      </c>
      <c r="CG30" s="7" t="s">
        <v>5477</v>
      </c>
      <c r="CH30" s="17"/>
      <c r="CI30" s="7" t="s">
        <v>5477</v>
      </c>
      <c r="CJ30" s="17"/>
      <c r="CK30" s="7" t="s">
        <v>466</v>
      </c>
      <c r="CL30" s="17">
        <v>1</v>
      </c>
      <c r="CM30" s="7" t="s">
        <v>461</v>
      </c>
      <c r="CN30" s="17">
        <v>1</v>
      </c>
      <c r="CO30" s="7" t="s">
        <v>461</v>
      </c>
      <c r="CP30" s="17">
        <v>1</v>
      </c>
      <c r="CQ30" s="7" t="s">
        <v>202</v>
      </c>
      <c r="CR30" s="7" t="s">
        <v>431</v>
      </c>
      <c r="CS30" s="7" t="s">
        <v>71</v>
      </c>
      <c r="CT30" s="7" t="s">
        <v>121</v>
      </c>
      <c r="CU30" s="7" t="s">
        <v>467</v>
      </c>
      <c r="CV30" s="8" t="s">
        <v>468</v>
      </c>
    </row>
    <row r="31" spans="1:100" ht="85.5">
      <c r="A31" s="1">
        <f t="shared" si="0"/>
        <v>30</v>
      </c>
      <c r="B31" s="9">
        <v>228</v>
      </c>
      <c r="C31" s="10">
        <v>44495</v>
      </c>
      <c r="D31" s="11" t="s">
        <v>469</v>
      </c>
      <c r="E31" s="10">
        <v>25814</v>
      </c>
      <c r="F31" s="29">
        <f ca="1">_xlfn.DAYS(NOW(),Tabella1[[#This Row],[Data di Nascita]])/365.25</f>
        <v>54.918548939082818</v>
      </c>
      <c r="G31" s="11" t="s">
        <v>470</v>
      </c>
      <c r="H31" s="11" t="s">
        <v>471</v>
      </c>
      <c r="I31" s="11" t="s">
        <v>472</v>
      </c>
      <c r="J31" s="11" t="s">
        <v>473</v>
      </c>
      <c r="K31" s="11" t="s">
        <v>5477</v>
      </c>
      <c r="L31" s="18">
        <f>IF(ISERROR(SEARCH("EX",Tabella1[[#This Row],[Attività lavorativa]],1)),0,1)</f>
        <v>0</v>
      </c>
      <c r="M31" s="18"/>
      <c r="N31" s="18"/>
      <c r="O31" s="18"/>
      <c r="P31" s="18"/>
      <c r="Q31" s="18"/>
      <c r="R31" s="18"/>
      <c r="S31" s="18"/>
      <c r="T31" s="17">
        <f>IF(ISERROR(SEARCH("NDD",Tabella1[[#This Row],[Attività lavorativa]],1)),0,1)</f>
        <v>1</v>
      </c>
      <c r="U31" s="11" t="s">
        <v>474</v>
      </c>
      <c r="V31" s="22">
        <v>1</v>
      </c>
      <c r="W31" s="22">
        <f>IF(ISERROR(SEARCH("ex",Tabella1[[#This Row],[Fumo]],1)),0,1)</f>
        <v>1</v>
      </c>
      <c r="X31" s="22">
        <f>IF(ISERROR(SEARCH("no",Tabella1[[#This Row],[Fumo]],1)),0,1)</f>
        <v>0</v>
      </c>
      <c r="Y31" s="11" t="s">
        <v>25</v>
      </c>
      <c r="Z31" s="18">
        <f>IF(ISERROR(SEARCH("NDD",Tabella1[[#This Row],[Bevitore alcolici]],1)),0,1)</f>
        <v>0</v>
      </c>
      <c r="AA31" s="17">
        <f>IF(ISERROR(SEARCH("raro",Tabella1[[#This Row],[Bevitore alcolici]],1)),0,1)</f>
        <v>0</v>
      </c>
      <c r="AB31" s="17">
        <f>IF(ISERROR(SEARCH("saltuariamente",Tabella1[[#This Row],[Bevitore alcolici]],1)),0,1)</f>
        <v>0</v>
      </c>
      <c r="AC31" s="17">
        <f>IF(ISERROR(SEARCH("nega",Tabella1[[#This Row],[Bevitore alcolici]],1)),0,1)</f>
        <v>1</v>
      </c>
      <c r="AD31" s="17">
        <f>IF(ISERROR(SEARCH("potus",Tabella1[[#This Row],[Bevitore alcolici]],1)),0,1)</f>
        <v>0</v>
      </c>
      <c r="AE31" s="11" t="s">
        <v>475</v>
      </c>
      <c r="AF31" s="18"/>
      <c r="AG31" s="18">
        <v>1</v>
      </c>
      <c r="AH31" s="18"/>
      <c r="AI31" s="18"/>
      <c r="AJ31" s="18"/>
      <c r="AK31" s="11" t="s">
        <v>8</v>
      </c>
      <c r="AL31" s="18">
        <f>IF(ISERROR(SEARCH("si",Tabella1[[#This Row],[Patente di guida]],1)),0,1)</f>
        <v>0</v>
      </c>
      <c r="AM31" s="11" t="s">
        <v>8</v>
      </c>
      <c r="AN31" s="18">
        <f>IF(ISERROR(SEARCH("no",Tabella1[[#This Row],[Ipertensione]],1)),0,1)</f>
        <v>1</v>
      </c>
      <c r="AO31" s="11" t="s">
        <v>382</v>
      </c>
      <c r="AP31" s="18">
        <f>IF(ISERROR(SEARCH("NO",Tabella1[[#This Row],[Cardiopatia ischemica]],1)),1,0)</f>
        <v>0</v>
      </c>
      <c r="AQ31" s="17">
        <f>IF(ISERROR(SEARCH("sconosciuto",Tabella1[[#This Row],[Cardiopatia ischemica]],1)),0,1)</f>
        <v>0</v>
      </c>
      <c r="AR31" s="11" t="s">
        <v>25</v>
      </c>
      <c r="AS31" s="22">
        <f>IF(ISERROR(SEARCH("nega",Tabella1[[#This Row],[Artimie]],1)),0,1)</f>
        <v>1</v>
      </c>
      <c r="AT31" s="11" t="s">
        <v>25</v>
      </c>
      <c r="AU31" s="22">
        <f>IF(ISERROR(SEARCH("nega",Tabella1[[#This Row],[Ipercolesterolemia]],1)),0,1)</f>
        <v>1</v>
      </c>
      <c r="AV31" s="22">
        <f>IF(ISERROR(SEARCH("boh",Tabella1[[#This Row],[Ipercolesterolemia]],1)),0,1)</f>
        <v>0</v>
      </c>
      <c r="AW31" s="11" t="s">
        <v>25</v>
      </c>
      <c r="AX31" s="22">
        <f>IF(ISERROR(SEARCH("Intolleranza",Tabella1[[#This Row],[Diabete]],1)),0,1)</f>
        <v>0</v>
      </c>
      <c r="AY31" s="22">
        <f>IF(ISERROR(SEARCH("si",Tabella1[[#This Row],[Diabete]],1)),0,1)</f>
        <v>0</v>
      </c>
      <c r="AZ31" s="11" t="s">
        <v>25</v>
      </c>
      <c r="BA31" s="18">
        <f>IF(ISERROR(SEARCH("NDD",Tabella1[[#This Row],[Patologia Tiroidea]],1)),0,1)</f>
        <v>0</v>
      </c>
      <c r="BB31" s="22">
        <f>IF(ISERROR(SEARCH("TIROIDITE",Tabella1[[#This Row],[Patologia Tiroidea]],1)),0,1)</f>
        <v>0</v>
      </c>
      <c r="BC31" s="22">
        <f>IF(ISERROR(SEARCH("HASHIMOTO",Tabella1[[#This Row],[Patologia Tiroidea]],1)),0,1)</f>
        <v>0</v>
      </c>
      <c r="BD31" s="22">
        <f>IF(ISERROR(SEARCH("BASEDOW",Tabella1[[#This Row],[Patologia Tiroidea]],1)),0,1)</f>
        <v>0</v>
      </c>
      <c r="BE31" s="22">
        <f>IF(ISERROR(SEARCH("NOD",Tabella1[[#This Row],[Patologia Tiroidea]],1)),0,1)</f>
        <v>0</v>
      </c>
      <c r="BF31" s="22">
        <f>IF(ISERROR(SEARCH("GOZ",Tabella1[[#This Row],[Patologia Tiroidea]],1)),0,1)</f>
        <v>0</v>
      </c>
      <c r="BG31" s="11" t="s">
        <v>7</v>
      </c>
      <c r="BH31" s="18">
        <f>IF(Tabella1[[#This Row],[Obesità]]="no",0,1)</f>
        <v>1</v>
      </c>
      <c r="BI31" s="11" t="s">
        <v>476</v>
      </c>
      <c r="BJ31" s="22">
        <f>IF(ISERROR(SEARCH("nega",Tabella1[[#This Row],[Reflusso gastroesofageo]],1)),1,0)</f>
        <v>1</v>
      </c>
      <c r="BK31" s="11" t="s">
        <v>25</v>
      </c>
      <c r="BL31" s="18">
        <f>IF(ISERROR(SEARCH("NDD",Tabella1[[#This Row],[Patologia respiratoria]],1)),0,1)</f>
        <v>0</v>
      </c>
      <c r="BM31" s="18">
        <f>IF(ISERROR(SEARCH("asma",Tabella1[[#This Row],[Patologia respiratoria]],1)),0,1)</f>
        <v>0</v>
      </c>
      <c r="BN31" s="18">
        <f>IF(ISERROR(SEARCH("BPCO",Tabella1[[#This Row],[Patologia respiratoria]],1)),0,1)</f>
        <v>0</v>
      </c>
      <c r="BO31" s="18">
        <f>IF(ISERROR(SEARCH("BRONCOPOLMONITE",Tabella1[[#This Row],[Patologia respiratoria]],1)),0,1)</f>
        <v>0</v>
      </c>
      <c r="BP31" s="18">
        <f>IF(ISERROR(SEARCH("ASMA, OSAS",Tabella1[[#This Row],[Patologia respiratoria]],1)),0,1)</f>
        <v>0</v>
      </c>
      <c r="BQ31" s="18">
        <f>IF(ISERROR(SEARCH("OSAS e BPCO",Tabella1[[#This Row],[Patologia respiratoria]],1)),0,1)</f>
        <v>0</v>
      </c>
      <c r="BR31" s="18">
        <f>IF(ISERROR(SEARCH("OSAS",Tabella1[[#This Row],[Patologia respiratoria]],1)),0,1)</f>
        <v>0</v>
      </c>
      <c r="BS31" s="11" t="s">
        <v>477</v>
      </c>
      <c r="BT31" s="11" t="s">
        <v>478</v>
      </c>
      <c r="BU31" s="11" t="s">
        <v>25</v>
      </c>
      <c r="BV31" s="18">
        <f>IF(ISERROR(SEARCH("ndd",Tabella1[[#This Row],[O2 terapia]],1)),0,1)</f>
        <v>0</v>
      </c>
      <c r="BW31" s="17">
        <v>0</v>
      </c>
      <c r="BX31" s="11"/>
      <c r="BY31" s="11" t="s">
        <v>25</v>
      </c>
      <c r="BZ31" s="18">
        <v>0</v>
      </c>
      <c r="CA31" s="11" t="s">
        <v>476</v>
      </c>
      <c r="CB31" s="17">
        <v>1</v>
      </c>
      <c r="CC31" s="11" t="s">
        <v>479</v>
      </c>
      <c r="CD31" s="17">
        <v>1</v>
      </c>
      <c r="CE31" s="11" t="s">
        <v>25</v>
      </c>
      <c r="CF31" s="18">
        <v>0</v>
      </c>
      <c r="CG31" s="11" t="s">
        <v>476</v>
      </c>
      <c r="CH31" s="17">
        <v>1</v>
      </c>
      <c r="CI31" s="11" t="s">
        <v>476</v>
      </c>
      <c r="CJ31" s="17">
        <v>1</v>
      </c>
      <c r="CK31" s="11" t="s">
        <v>25</v>
      </c>
      <c r="CL31" s="17">
        <v>0</v>
      </c>
      <c r="CM31" s="11" t="s">
        <v>476</v>
      </c>
      <c r="CN31" s="17">
        <v>1</v>
      </c>
      <c r="CO31" s="11" t="s">
        <v>461</v>
      </c>
      <c r="CP31" s="17">
        <v>1</v>
      </c>
      <c r="CQ31" s="11" t="s">
        <v>54</v>
      </c>
      <c r="CR31" s="11" t="s">
        <v>262</v>
      </c>
      <c r="CS31" s="11" t="s">
        <v>71</v>
      </c>
      <c r="CT31" s="11" t="s">
        <v>389</v>
      </c>
      <c r="CU31" s="11" t="s">
        <v>480</v>
      </c>
      <c r="CV31" s="12"/>
    </row>
    <row r="32" spans="1:100" ht="128.25">
      <c r="A32" s="1">
        <f t="shared" si="0"/>
        <v>31</v>
      </c>
      <c r="B32" s="5">
        <v>229</v>
      </c>
      <c r="C32" s="6">
        <v>44495</v>
      </c>
      <c r="D32" s="7" t="s">
        <v>481</v>
      </c>
      <c r="E32" s="6">
        <v>21603</v>
      </c>
      <c r="F32" s="29">
        <f ca="1">_xlfn.DAYS(NOW(),Tabella1[[#This Row],[Data di Nascita]])/365.25</f>
        <v>66.447638603696092</v>
      </c>
      <c r="G32" s="7" t="s">
        <v>482</v>
      </c>
      <c r="H32" s="7" t="s">
        <v>483</v>
      </c>
      <c r="I32" s="7" t="s">
        <v>295</v>
      </c>
      <c r="J32" s="7" t="s">
        <v>484</v>
      </c>
      <c r="K32" s="7" t="s">
        <v>5599</v>
      </c>
      <c r="L32" s="17">
        <f>IF(ISERROR(SEARCH("EX",Tabella1[[#This Row],[Attività lavorativa]],1)),0,1)</f>
        <v>1</v>
      </c>
      <c r="M32" s="17"/>
      <c r="N32" s="17">
        <v>1</v>
      </c>
      <c r="O32" s="17"/>
      <c r="P32" s="17"/>
      <c r="Q32" s="17"/>
      <c r="R32" s="17"/>
      <c r="S32" s="17"/>
      <c r="T32" s="17">
        <f>IF(ISERROR(SEARCH("NDD",Tabella1[[#This Row],[Attività lavorativa]],1)),0,1)</f>
        <v>0</v>
      </c>
      <c r="U32" s="7" t="s">
        <v>485</v>
      </c>
      <c r="V32" s="22">
        <v>20</v>
      </c>
      <c r="W32" s="22">
        <f>IF(ISERROR(SEARCH("ex",Tabella1[[#This Row],[Fumo]],1)),0,1)</f>
        <v>1</v>
      </c>
      <c r="X32" s="22">
        <f>IF(ISERROR(SEARCH("no",Tabella1[[#This Row],[Fumo]],1)),0,1)</f>
        <v>0</v>
      </c>
      <c r="Y32" s="7" t="s">
        <v>486</v>
      </c>
      <c r="Z32" s="17">
        <f>IF(ISERROR(SEARCH("NDD",Tabella1[[#This Row],[Bevitore alcolici]],1)),0,1)</f>
        <v>0</v>
      </c>
      <c r="AA32" s="17">
        <f>IF(ISERROR(SEARCH("raro",Tabella1[[#This Row],[Bevitore alcolici]],1)),0,1)</f>
        <v>0</v>
      </c>
      <c r="AB32" s="17">
        <f>IF(ISERROR(SEARCH("saltuariamente",Tabella1[[#This Row],[Bevitore alcolici]],1)),0,1)</f>
        <v>0</v>
      </c>
      <c r="AC32" s="17">
        <f>IF(ISERROR(SEARCH("nega",Tabella1[[#This Row],[Bevitore alcolici]],1)),0,1)</f>
        <v>0</v>
      </c>
      <c r="AD32" s="17">
        <f>IF(ISERROR(SEARCH("potus",Tabella1[[#This Row],[Bevitore alcolici]],1)),0,1)</f>
        <v>0</v>
      </c>
      <c r="AE32" s="7" t="s">
        <v>657</v>
      </c>
      <c r="AF32" s="17"/>
      <c r="AG32" s="17"/>
      <c r="AH32" s="17"/>
      <c r="AI32" s="17"/>
      <c r="AJ32" s="17"/>
      <c r="AK32" s="7" t="s">
        <v>28</v>
      </c>
      <c r="AL32" s="17">
        <f>IF(ISERROR(SEARCH("si",Tabella1[[#This Row],[Patente di guida]],1)),0,1)</f>
        <v>1</v>
      </c>
      <c r="AM32" s="7" t="s">
        <v>28</v>
      </c>
      <c r="AN32" s="17">
        <f>IF(ISERROR(SEARCH("no",Tabella1[[#This Row],[Ipertensione]],1)),0,1)</f>
        <v>0</v>
      </c>
      <c r="AO32" s="7" t="s">
        <v>382</v>
      </c>
      <c r="AP32" s="18">
        <f>IF(ISERROR(SEARCH("NO",Tabella1[[#This Row],[Cardiopatia ischemica]],1)),1,0)</f>
        <v>0</v>
      </c>
      <c r="AQ32" s="17">
        <f>IF(ISERROR(SEARCH("sconosciuto",Tabella1[[#This Row],[Cardiopatia ischemica]],1)),0,1)</f>
        <v>0</v>
      </c>
      <c r="AR32" s="7" t="s">
        <v>25</v>
      </c>
      <c r="AS32" s="17">
        <f>IF(ISERROR(SEARCH("nega",Tabella1[[#This Row],[Artimie]],1)),0,1)</f>
        <v>1</v>
      </c>
      <c r="AT32" s="7" t="s">
        <v>7</v>
      </c>
      <c r="AU32" s="17">
        <f>IF(ISERROR(SEARCH("nega",Tabella1[[#This Row],[Ipercolesterolemia]],1)),0,1)</f>
        <v>0</v>
      </c>
      <c r="AV32" s="17">
        <f>IF(ISERROR(SEARCH("boh",Tabella1[[#This Row],[Ipercolesterolemia]],1)),0,1)</f>
        <v>0</v>
      </c>
      <c r="AW32" s="7" t="s">
        <v>8</v>
      </c>
      <c r="AX32" s="17">
        <f>IF(ISERROR(SEARCH("Intolleranza",Tabella1[[#This Row],[Diabete]],1)),0,1)</f>
        <v>0</v>
      </c>
      <c r="AY32" s="17">
        <f>IF(ISERROR(SEARCH("si",Tabella1[[#This Row],[Diabete]],1)),0,1)</f>
        <v>0</v>
      </c>
      <c r="AZ32" s="7" t="s">
        <v>3777</v>
      </c>
      <c r="BA32" s="17">
        <f>IF(ISERROR(SEARCH("NDD",Tabella1[[#This Row],[Patologia Tiroidea]],1)),0,1)</f>
        <v>0</v>
      </c>
      <c r="BB32" s="17">
        <f>IF(ISERROR(SEARCH("TIROIDITE",Tabella1[[#This Row],[Patologia Tiroidea]],1)),0,1)</f>
        <v>1</v>
      </c>
      <c r="BC32" s="17">
        <f>IF(ISERROR(SEARCH("HASHIMOTO",Tabella1[[#This Row],[Patologia Tiroidea]],1)),0,1)</f>
        <v>1</v>
      </c>
      <c r="BD32" s="17">
        <f>IF(ISERROR(SEARCH("BASEDOW",Tabella1[[#This Row],[Patologia Tiroidea]],1)),0,1)</f>
        <v>0</v>
      </c>
      <c r="BE32" s="17">
        <f>IF(ISERROR(SEARCH("NOD",Tabella1[[#This Row],[Patologia Tiroidea]],1)),0,1)</f>
        <v>0</v>
      </c>
      <c r="BF32" s="17">
        <f>IF(ISERROR(SEARCH("GOZ",Tabella1[[#This Row],[Patologia Tiroidea]],1)),0,1)</f>
        <v>0</v>
      </c>
      <c r="BG32" s="7" t="s">
        <v>7</v>
      </c>
      <c r="BH32" s="17">
        <f>IF(Tabella1[[#This Row],[Obesità]]="no",0,1)</f>
        <v>1</v>
      </c>
      <c r="BI32" s="7" t="s">
        <v>488</v>
      </c>
      <c r="BJ32" s="22">
        <f>IF(ISERROR(SEARCH("nega",Tabella1[[#This Row],[Reflusso gastroesofageo]],1)),1,0)</f>
        <v>1</v>
      </c>
      <c r="BK32" s="7" t="s">
        <v>7</v>
      </c>
      <c r="BL32" s="17">
        <f>IF(ISERROR(SEARCH("NDD",Tabella1[[#This Row],[Patologia respiratoria]],1)),0,1)</f>
        <v>0</v>
      </c>
      <c r="BM32" s="17">
        <f>IF(ISERROR(SEARCH("asma",Tabella1[[#This Row],[Patologia respiratoria]],1)),0,1)</f>
        <v>0</v>
      </c>
      <c r="BN32" s="17">
        <f>IF(ISERROR(SEARCH("BPCO",Tabella1[[#This Row],[Patologia respiratoria]],1)),0,1)</f>
        <v>0</v>
      </c>
      <c r="BO32" s="17">
        <f>IF(ISERROR(SEARCH("BRONCOPOLMONITE",Tabella1[[#This Row],[Patologia respiratoria]],1)),0,1)</f>
        <v>0</v>
      </c>
      <c r="BP32" s="17">
        <f>IF(ISERROR(SEARCH("ASMA, OSAS",Tabella1[[#This Row],[Patologia respiratoria]],1)),0,1)</f>
        <v>0</v>
      </c>
      <c r="BQ32" s="17">
        <f>IF(ISERROR(SEARCH("OSAS e BPCO",Tabella1[[#This Row],[Patologia respiratoria]],1)),0,1)</f>
        <v>0</v>
      </c>
      <c r="BR32" s="17">
        <f>IF(ISERROR(SEARCH("OSAS",Tabella1[[#This Row],[Patologia respiratoria]],1)),0,1)</f>
        <v>0</v>
      </c>
      <c r="BS32" s="7" t="s">
        <v>489</v>
      </c>
      <c r="BT32" s="7" t="s">
        <v>490</v>
      </c>
      <c r="BU32" s="7" t="s">
        <v>491</v>
      </c>
      <c r="BV32" s="17">
        <f>IF(ISERROR(SEARCH("ndd",Tabella1[[#This Row],[O2 terapia]],1)),0,1)</f>
        <v>0</v>
      </c>
      <c r="BW32" s="22">
        <v>1</v>
      </c>
      <c r="BX32" s="7"/>
      <c r="BY32" s="7" t="s">
        <v>492</v>
      </c>
      <c r="BZ32" s="17">
        <v>1</v>
      </c>
      <c r="CA32" s="7" t="s">
        <v>351</v>
      </c>
      <c r="CB32" s="17">
        <v>1</v>
      </c>
      <c r="CC32" s="7" t="s">
        <v>493</v>
      </c>
      <c r="CD32" s="17">
        <v>1</v>
      </c>
      <c r="CE32" s="7" t="s">
        <v>25</v>
      </c>
      <c r="CF32" s="18">
        <v>0</v>
      </c>
      <c r="CG32" s="7" t="s">
        <v>476</v>
      </c>
      <c r="CH32" s="17">
        <v>1</v>
      </c>
      <c r="CI32" s="7" t="s">
        <v>476</v>
      </c>
      <c r="CJ32" s="17">
        <v>1</v>
      </c>
      <c r="CK32" s="7" t="s">
        <v>25</v>
      </c>
      <c r="CL32" s="17">
        <v>0</v>
      </c>
      <c r="CM32" s="7" t="s">
        <v>25</v>
      </c>
      <c r="CN32" s="17">
        <v>0</v>
      </c>
      <c r="CO32" s="7" t="s">
        <v>494</v>
      </c>
      <c r="CP32" s="18">
        <v>0</v>
      </c>
      <c r="CQ32" s="7" t="s">
        <v>103</v>
      </c>
      <c r="CR32" s="7" t="s">
        <v>495</v>
      </c>
      <c r="CS32" s="7" t="s">
        <v>71</v>
      </c>
      <c r="CT32" s="7" t="s">
        <v>38</v>
      </c>
      <c r="CU32" s="7" t="s">
        <v>467</v>
      </c>
      <c r="CV32" s="8" t="s">
        <v>496</v>
      </c>
    </row>
    <row r="33" spans="1:100" ht="228">
      <c r="A33" s="1">
        <f t="shared" si="0"/>
        <v>32</v>
      </c>
      <c r="B33" s="9">
        <v>230</v>
      </c>
      <c r="C33" s="10">
        <v>44496</v>
      </c>
      <c r="D33" s="11" t="s">
        <v>497</v>
      </c>
      <c r="E33" s="10">
        <v>29283</v>
      </c>
      <c r="F33" s="29">
        <f ca="1">_xlfn.DAYS(NOW(),Tabella1[[#This Row],[Data di Nascita]])/365.25</f>
        <v>45.420944558521562</v>
      </c>
      <c r="G33" s="11" t="s">
        <v>498</v>
      </c>
      <c r="H33" s="11" t="s">
        <v>499</v>
      </c>
      <c r="I33" s="11" t="s">
        <v>500</v>
      </c>
      <c r="J33" s="11" t="s">
        <v>501</v>
      </c>
      <c r="K33" s="11" t="s">
        <v>502</v>
      </c>
      <c r="L33" s="18">
        <f>IF(ISERROR(SEARCH("EX",Tabella1[[#This Row],[Attività lavorativa]],1)),0,1)</f>
        <v>0</v>
      </c>
      <c r="M33" s="18"/>
      <c r="N33" s="17">
        <v>1</v>
      </c>
      <c r="O33" s="17"/>
      <c r="P33" s="17"/>
      <c r="Q33" s="17"/>
      <c r="R33" s="17"/>
      <c r="S33" s="17"/>
      <c r="T33" s="17">
        <f>IF(ISERROR(SEARCH("NDD",Tabella1[[#This Row],[Attività lavorativa]],1)),0,1)</f>
        <v>0</v>
      </c>
      <c r="U33" s="11" t="s">
        <v>503</v>
      </c>
      <c r="V33" s="22">
        <v>15</v>
      </c>
      <c r="W33" s="22">
        <f>IF(ISERROR(SEARCH("ex",Tabella1[[#This Row],[Fumo]],1)),0,1)</f>
        <v>0</v>
      </c>
      <c r="X33" s="22">
        <f>IF(ISERROR(SEARCH("no",Tabella1[[#This Row],[Fumo]],1)),0,1)</f>
        <v>1</v>
      </c>
      <c r="Y33" s="11" t="s">
        <v>26</v>
      </c>
      <c r="Z33" s="18">
        <f>IF(ISERROR(SEARCH("NDD",Tabella1[[#This Row],[Bevitore alcolici]],1)),0,1)</f>
        <v>0</v>
      </c>
      <c r="AA33" s="17">
        <f>IF(ISERROR(SEARCH("raro",Tabella1[[#This Row],[Bevitore alcolici]],1)),0,1)</f>
        <v>0</v>
      </c>
      <c r="AB33" s="17">
        <f>IF(ISERROR(SEARCH("saltuariamente",Tabella1[[#This Row],[Bevitore alcolici]],1)),0,1)</f>
        <v>1</v>
      </c>
      <c r="AC33" s="17">
        <f>IF(ISERROR(SEARCH("nega",Tabella1[[#This Row],[Bevitore alcolici]],1)),0,1)</f>
        <v>0</v>
      </c>
      <c r="AD33" s="17">
        <f>IF(ISERROR(SEARCH("potus",Tabella1[[#This Row],[Bevitore alcolici]],1)),0,1)</f>
        <v>0</v>
      </c>
      <c r="AE33" s="11" t="s">
        <v>657</v>
      </c>
      <c r="AF33" s="18"/>
      <c r="AG33" s="18"/>
      <c r="AH33" s="18"/>
      <c r="AI33" s="18"/>
      <c r="AJ33" s="18"/>
      <c r="AK33" s="11" t="s">
        <v>28</v>
      </c>
      <c r="AL33" s="18">
        <f>IF(ISERROR(SEARCH("si",Tabella1[[#This Row],[Patente di guida]],1)),0,1)</f>
        <v>1</v>
      </c>
      <c r="AM33" s="11" t="s">
        <v>461</v>
      </c>
      <c r="AN33" s="18">
        <f>IF(ISERROR(SEARCH("no",Tabella1[[#This Row],[Ipertensione]],1)),0,1)</f>
        <v>0</v>
      </c>
      <c r="AO33" s="11" t="s">
        <v>382</v>
      </c>
      <c r="AP33" s="18">
        <f>IF(ISERROR(SEARCH("NO",Tabella1[[#This Row],[Cardiopatia ischemica]],1)),1,0)</f>
        <v>0</v>
      </c>
      <c r="AQ33" s="17">
        <f>IF(ISERROR(SEARCH("sconosciuto",Tabella1[[#This Row],[Cardiopatia ischemica]],1)),0,1)</f>
        <v>0</v>
      </c>
      <c r="AR33" s="11" t="s">
        <v>25</v>
      </c>
      <c r="AS33" s="22">
        <f>IF(ISERROR(SEARCH("nega",Tabella1[[#This Row],[Artimie]],1)),0,1)</f>
        <v>1</v>
      </c>
      <c r="AT33" s="11" t="s">
        <v>25</v>
      </c>
      <c r="AU33" s="22">
        <f>IF(ISERROR(SEARCH("nega",Tabella1[[#This Row],[Ipercolesterolemia]],1)),0,1)</f>
        <v>1</v>
      </c>
      <c r="AV33" s="22">
        <f>IF(ISERROR(SEARCH("boh",Tabella1[[#This Row],[Ipercolesterolemia]],1)),0,1)</f>
        <v>0</v>
      </c>
      <c r="AW33" s="11" t="s">
        <v>8</v>
      </c>
      <c r="AX33" s="22">
        <f>IF(ISERROR(SEARCH("Intolleranza",Tabella1[[#This Row],[Diabete]],1)),0,1)</f>
        <v>0</v>
      </c>
      <c r="AY33" s="22">
        <f>IF(ISERROR(SEARCH("si",Tabella1[[#This Row],[Diabete]],1)),0,1)</f>
        <v>0</v>
      </c>
      <c r="AZ33" s="11" t="s">
        <v>8</v>
      </c>
      <c r="BA33" s="18">
        <f>IF(ISERROR(SEARCH("NDD",Tabella1[[#This Row],[Patologia Tiroidea]],1)),0,1)</f>
        <v>0</v>
      </c>
      <c r="BB33" s="22">
        <f>IF(ISERROR(SEARCH("TIROIDITE",Tabella1[[#This Row],[Patologia Tiroidea]],1)),0,1)</f>
        <v>0</v>
      </c>
      <c r="BC33" s="22">
        <f>IF(ISERROR(SEARCH("HASHIMOTO",Tabella1[[#This Row],[Patologia Tiroidea]],1)),0,1)</f>
        <v>0</v>
      </c>
      <c r="BD33" s="22">
        <f>IF(ISERROR(SEARCH("BASEDOW",Tabella1[[#This Row],[Patologia Tiroidea]],1)),0,1)</f>
        <v>0</v>
      </c>
      <c r="BE33" s="22">
        <f>IF(ISERROR(SEARCH("NOD",Tabella1[[#This Row],[Patologia Tiroidea]],1)),0,1)</f>
        <v>0</v>
      </c>
      <c r="BF33" s="22">
        <f>IF(ISERROR(SEARCH("GOZ",Tabella1[[#This Row],[Patologia Tiroidea]],1)),0,1)</f>
        <v>0</v>
      </c>
      <c r="BG33" s="11" t="s">
        <v>7</v>
      </c>
      <c r="BH33" s="18">
        <f>IF(Tabella1[[#This Row],[Obesità]]="no",0,1)</f>
        <v>1</v>
      </c>
      <c r="BI33" s="11" t="s">
        <v>25</v>
      </c>
      <c r="BJ33" s="22">
        <f>IF(ISERROR(SEARCH("nega",Tabella1[[#This Row],[Reflusso gastroesofageo]],1)),1,0)</f>
        <v>0</v>
      </c>
      <c r="BK33" s="11" t="s">
        <v>25</v>
      </c>
      <c r="BL33" s="18">
        <f>IF(ISERROR(SEARCH("NDD",Tabella1[[#This Row],[Patologia respiratoria]],1)),0,1)</f>
        <v>0</v>
      </c>
      <c r="BM33" s="18">
        <f>IF(ISERROR(SEARCH("asma",Tabella1[[#This Row],[Patologia respiratoria]],1)),0,1)</f>
        <v>0</v>
      </c>
      <c r="BN33" s="18">
        <f>IF(ISERROR(SEARCH("BPCO",Tabella1[[#This Row],[Patologia respiratoria]],1)),0,1)</f>
        <v>0</v>
      </c>
      <c r="BO33" s="18">
        <f>IF(ISERROR(SEARCH("BRONCOPOLMONITE",Tabella1[[#This Row],[Patologia respiratoria]],1)),0,1)</f>
        <v>0</v>
      </c>
      <c r="BP33" s="18">
        <f>IF(ISERROR(SEARCH("ASMA, OSAS",Tabella1[[#This Row],[Patologia respiratoria]],1)),0,1)</f>
        <v>0</v>
      </c>
      <c r="BQ33" s="18">
        <f>IF(ISERROR(SEARCH("OSAS e BPCO",Tabella1[[#This Row],[Patologia respiratoria]],1)),0,1)</f>
        <v>0</v>
      </c>
      <c r="BR33" s="18">
        <f>IF(ISERROR(SEARCH("OSAS",Tabella1[[#This Row],[Patologia respiratoria]],1)),0,1)</f>
        <v>0</v>
      </c>
      <c r="BS33" s="11" t="s">
        <v>504</v>
      </c>
      <c r="BT33" s="11" t="s">
        <v>505</v>
      </c>
      <c r="BU33" s="11" t="s">
        <v>8</v>
      </c>
      <c r="BV33" s="18">
        <f>IF(ISERROR(SEARCH("ndd",Tabella1[[#This Row],[O2 terapia]],1)),0,1)</f>
        <v>0</v>
      </c>
      <c r="BW33" s="17">
        <v>0</v>
      </c>
      <c r="BX33" s="11"/>
      <c r="BY33" s="11" t="s">
        <v>25</v>
      </c>
      <c r="BZ33" s="18">
        <v>0</v>
      </c>
      <c r="CA33" s="11" t="s">
        <v>352</v>
      </c>
      <c r="CB33" s="17">
        <v>1</v>
      </c>
      <c r="CC33" s="11" t="s">
        <v>506</v>
      </c>
      <c r="CD33" s="17">
        <v>1</v>
      </c>
      <c r="CE33" s="11" t="s">
        <v>25</v>
      </c>
      <c r="CF33" s="18">
        <v>0</v>
      </c>
      <c r="CG33" s="11" t="s">
        <v>25</v>
      </c>
      <c r="CH33" s="17">
        <v>0</v>
      </c>
      <c r="CI33" s="11" t="s">
        <v>25</v>
      </c>
      <c r="CJ33" s="18">
        <v>0</v>
      </c>
      <c r="CK33" s="11" t="s">
        <v>260</v>
      </c>
      <c r="CL33" s="17">
        <v>1</v>
      </c>
      <c r="CM33" s="11" t="s">
        <v>25</v>
      </c>
      <c r="CN33" s="17">
        <v>0</v>
      </c>
      <c r="CO33" s="11" t="s">
        <v>25</v>
      </c>
      <c r="CP33" s="18">
        <v>0</v>
      </c>
      <c r="CQ33" s="11" t="s">
        <v>69</v>
      </c>
      <c r="CR33" s="11" t="s">
        <v>507</v>
      </c>
      <c r="CS33" s="11" t="s">
        <v>37</v>
      </c>
      <c r="CT33" s="11" t="s">
        <v>508</v>
      </c>
      <c r="CU33" s="11" t="s">
        <v>467</v>
      </c>
      <c r="CV33" s="12" t="s">
        <v>509</v>
      </c>
    </row>
    <row r="34" spans="1:100" ht="409.5">
      <c r="A34" s="1">
        <f t="shared" si="0"/>
        <v>33</v>
      </c>
      <c r="B34" s="5">
        <v>245</v>
      </c>
      <c r="C34" s="6">
        <v>44517</v>
      </c>
      <c r="D34" s="7" t="s">
        <v>510</v>
      </c>
      <c r="E34" s="6">
        <v>22216</v>
      </c>
      <c r="F34" s="29">
        <f ca="1">_xlfn.DAYS(NOW(),Tabella1[[#This Row],[Data di Nascita]])/365.25</f>
        <v>64.769336071184114</v>
      </c>
      <c r="G34" s="7" t="s">
        <v>511</v>
      </c>
      <c r="H34" s="7" t="s">
        <v>512</v>
      </c>
      <c r="I34" s="7" t="s">
        <v>513</v>
      </c>
      <c r="J34" s="7" t="s">
        <v>514</v>
      </c>
      <c r="K34" s="7" t="s">
        <v>515</v>
      </c>
      <c r="L34" s="17">
        <f>IF(ISERROR(SEARCH("EX",Tabella1[[#This Row],[Attività lavorativa]],1)),0,1)</f>
        <v>0</v>
      </c>
      <c r="M34" s="17"/>
      <c r="N34" s="17"/>
      <c r="O34" s="17"/>
      <c r="P34" s="18">
        <v>1</v>
      </c>
      <c r="Q34" s="17"/>
      <c r="R34" s="17"/>
      <c r="S34" s="17"/>
      <c r="T34" s="17">
        <f>IF(ISERROR(SEARCH("NDD",Tabella1[[#This Row],[Attività lavorativa]],1)),0,1)</f>
        <v>0</v>
      </c>
      <c r="U34" s="7" t="s">
        <v>8</v>
      </c>
      <c r="V34" s="22"/>
      <c r="W34" s="22">
        <f>IF(ISERROR(SEARCH("ex",Tabella1[[#This Row],[Fumo]],1)),0,1)</f>
        <v>0</v>
      </c>
      <c r="X34" s="22">
        <f>IF(ISERROR(SEARCH("no",Tabella1[[#This Row],[Fumo]],1)),0,1)</f>
        <v>1</v>
      </c>
      <c r="Y34" s="7" t="s">
        <v>309</v>
      </c>
      <c r="Z34" s="17">
        <f>IF(ISERROR(SEARCH("NDD",Tabella1[[#This Row],[Bevitore alcolici]],1)),0,1)</f>
        <v>0</v>
      </c>
      <c r="AA34" s="17">
        <f>IF(ISERROR(SEARCH("raro",Tabella1[[#This Row],[Bevitore alcolici]],1)),0,1)</f>
        <v>0</v>
      </c>
      <c r="AB34" s="17">
        <f>IF(ISERROR(SEARCH("saltuariamente",Tabella1[[#This Row],[Bevitore alcolici]],1)),0,1)</f>
        <v>0</v>
      </c>
      <c r="AC34" s="17">
        <f>IF(ISERROR(SEARCH("nega",Tabella1[[#This Row],[Bevitore alcolici]],1)),0,1)</f>
        <v>1</v>
      </c>
      <c r="AD34" s="17">
        <f>IF(ISERROR(SEARCH("potus",Tabella1[[#This Row],[Bevitore alcolici]],1)),0,1)</f>
        <v>0</v>
      </c>
      <c r="AE34" s="7" t="s">
        <v>657</v>
      </c>
      <c r="AF34" s="17"/>
      <c r="AG34" s="17"/>
      <c r="AH34" s="17"/>
      <c r="AI34" s="17"/>
      <c r="AJ34" s="17"/>
      <c r="AK34" s="7" t="s">
        <v>28</v>
      </c>
      <c r="AL34" s="17">
        <f>IF(ISERROR(SEARCH("si",Tabella1[[#This Row],[Patente di guida]],1)),0,1)</f>
        <v>1</v>
      </c>
      <c r="AM34" s="7" t="s">
        <v>8</v>
      </c>
      <c r="AN34" s="17">
        <f>IF(ISERROR(SEARCH("no",Tabella1[[#This Row],[Ipertensione]],1)),0,1)</f>
        <v>1</v>
      </c>
      <c r="AO34" s="7" t="s">
        <v>3728</v>
      </c>
      <c r="AP34" s="18">
        <f>IF(ISERROR(SEARCH("NO",Tabella1[[#This Row],[Cardiopatia ischemica]],1)),1,0)</f>
        <v>0</v>
      </c>
      <c r="AQ34" s="17">
        <f>IF(ISERROR(SEARCH("sconosciuto",Tabella1[[#This Row],[Cardiopatia ischemica]],1)),0,1)</f>
        <v>0</v>
      </c>
      <c r="AR34" s="7" t="s">
        <v>309</v>
      </c>
      <c r="AS34" s="22">
        <f>IF(ISERROR(SEARCH("nega",Tabella1[[#This Row],[Artimie]],1)),0,1)</f>
        <v>1</v>
      </c>
      <c r="AT34" s="7" t="s">
        <v>25</v>
      </c>
      <c r="AU34" s="22">
        <f>IF(ISERROR(SEARCH("nega",Tabella1[[#This Row],[Ipercolesterolemia]],1)),0,1)</f>
        <v>1</v>
      </c>
      <c r="AV34" s="22">
        <f>IF(ISERROR(SEARCH("boh",Tabella1[[#This Row],[Ipercolesterolemia]],1)),0,1)</f>
        <v>0</v>
      </c>
      <c r="AW34" s="7" t="s">
        <v>25</v>
      </c>
      <c r="AX34" s="22">
        <f>IF(ISERROR(SEARCH("Intolleranza",Tabella1[[#This Row],[Diabete]],1)),0,1)</f>
        <v>0</v>
      </c>
      <c r="AY34" s="22">
        <f>IF(ISERROR(SEARCH("si",Tabella1[[#This Row],[Diabete]],1)),0,1)</f>
        <v>0</v>
      </c>
      <c r="AZ34" s="7" t="s">
        <v>309</v>
      </c>
      <c r="BA34" s="17">
        <f>IF(ISERROR(SEARCH("NDD",Tabella1[[#This Row],[Patologia Tiroidea]],1)),0,1)</f>
        <v>0</v>
      </c>
      <c r="BB34" s="22">
        <f>IF(ISERROR(SEARCH("TIROIDITE",Tabella1[[#This Row],[Patologia Tiroidea]],1)),0,1)</f>
        <v>0</v>
      </c>
      <c r="BC34" s="22">
        <f>IF(ISERROR(SEARCH("HASHIMOTO",Tabella1[[#This Row],[Patologia Tiroidea]],1)),0,1)</f>
        <v>0</v>
      </c>
      <c r="BD34" s="22">
        <f>IF(ISERROR(SEARCH("BASEDOW",Tabella1[[#This Row],[Patologia Tiroidea]],1)),0,1)</f>
        <v>0</v>
      </c>
      <c r="BE34" s="22">
        <f>IF(ISERROR(SEARCH("NOD",Tabella1[[#This Row],[Patologia Tiroidea]],1)),0,1)</f>
        <v>0</v>
      </c>
      <c r="BF34" s="22">
        <f>IF(ISERROR(SEARCH("GOZ",Tabella1[[#This Row],[Patologia Tiroidea]],1)),0,1)</f>
        <v>0</v>
      </c>
      <c r="BG34" s="7" t="s">
        <v>517</v>
      </c>
      <c r="BH34" s="17">
        <f>IF(Tabella1[[#This Row],[Obesità]]="no",0,1)</f>
        <v>1</v>
      </c>
      <c r="BI34" s="7" t="s">
        <v>518</v>
      </c>
      <c r="BJ34" s="22">
        <f>IF(ISERROR(SEARCH("nega",Tabella1[[#This Row],[Reflusso gastroesofageo]],1)),1,0)</f>
        <v>1</v>
      </c>
      <c r="BK34" s="7" t="s">
        <v>309</v>
      </c>
      <c r="BL34" s="17">
        <f>IF(ISERROR(SEARCH("NDD",Tabella1[[#This Row],[Patologia respiratoria]],1)),0,1)</f>
        <v>0</v>
      </c>
      <c r="BM34" s="17">
        <f>IF(ISERROR(SEARCH("asma",Tabella1[[#This Row],[Patologia respiratoria]],1)),0,1)</f>
        <v>0</v>
      </c>
      <c r="BN34" s="17">
        <f>IF(ISERROR(SEARCH("BPCO",Tabella1[[#This Row],[Patologia respiratoria]],1)),0,1)</f>
        <v>0</v>
      </c>
      <c r="BO34" s="17">
        <f>IF(ISERROR(SEARCH("BRONCOPOLMONITE",Tabella1[[#This Row],[Patologia respiratoria]],1)),0,1)</f>
        <v>0</v>
      </c>
      <c r="BP34" s="17">
        <f>IF(ISERROR(SEARCH("ASMA, OSAS",Tabella1[[#This Row],[Patologia respiratoria]],1)),0,1)</f>
        <v>0</v>
      </c>
      <c r="BQ34" s="17">
        <f>IF(ISERROR(SEARCH("OSAS e BPCO",Tabella1[[#This Row],[Patologia respiratoria]],1)),0,1)</f>
        <v>0</v>
      </c>
      <c r="BR34" s="17">
        <f>IF(ISERROR(SEARCH("OSAS",Tabella1[[#This Row],[Patologia respiratoria]],1)),0,1)</f>
        <v>0</v>
      </c>
      <c r="BS34" s="7"/>
      <c r="BT34" s="7" t="s">
        <v>519</v>
      </c>
      <c r="BU34" s="7" t="s">
        <v>195</v>
      </c>
      <c r="BV34" s="17">
        <f>IF(ISERROR(SEARCH("ndd",Tabella1[[#This Row],[O2 terapia]],1)),0,1)</f>
        <v>0</v>
      </c>
      <c r="BW34" s="17">
        <v>0</v>
      </c>
      <c r="BX34" s="7"/>
      <c r="BY34" s="7" t="s">
        <v>520</v>
      </c>
      <c r="BZ34" s="17">
        <v>1</v>
      </c>
      <c r="CA34" s="7" t="s">
        <v>521</v>
      </c>
      <c r="CB34" s="17">
        <v>1</v>
      </c>
      <c r="CC34" s="7" t="s">
        <v>522</v>
      </c>
      <c r="CD34" s="17">
        <v>1</v>
      </c>
      <c r="CE34" s="7" t="s">
        <v>309</v>
      </c>
      <c r="CF34" s="18">
        <v>0</v>
      </c>
      <c r="CG34" s="7" t="s">
        <v>309</v>
      </c>
      <c r="CH34" s="17">
        <v>0</v>
      </c>
      <c r="CI34" s="7" t="s">
        <v>309</v>
      </c>
      <c r="CJ34" s="18">
        <v>0</v>
      </c>
      <c r="CK34" s="7" t="s">
        <v>195</v>
      </c>
      <c r="CL34" s="17">
        <v>0</v>
      </c>
      <c r="CM34" s="7" t="s">
        <v>523</v>
      </c>
      <c r="CN34" s="17">
        <v>1</v>
      </c>
      <c r="CO34" s="7" t="s">
        <v>524</v>
      </c>
      <c r="CP34" s="17">
        <v>1</v>
      </c>
      <c r="CQ34" s="7" t="s">
        <v>54</v>
      </c>
      <c r="CR34" s="7" t="s">
        <v>55</v>
      </c>
      <c r="CS34" s="7" t="s">
        <v>355</v>
      </c>
      <c r="CT34" s="7" t="s">
        <v>525</v>
      </c>
      <c r="CU34" s="7" t="s">
        <v>526</v>
      </c>
      <c r="CV34" s="8" t="s">
        <v>527</v>
      </c>
    </row>
    <row r="35" spans="1:100" ht="128.25">
      <c r="A35" s="1">
        <f t="shared" si="0"/>
        <v>34</v>
      </c>
      <c r="B35" s="9">
        <v>250</v>
      </c>
      <c r="C35" s="10">
        <v>44522</v>
      </c>
      <c r="D35" s="11" t="s">
        <v>528</v>
      </c>
      <c r="E35" s="10">
        <v>21957</v>
      </c>
      <c r="F35" s="29">
        <f ca="1">_xlfn.DAYS(NOW(),Tabella1[[#This Row],[Data di Nascita]])/365.25</f>
        <v>65.478439425051334</v>
      </c>
      <c r="G35" s="11"/>
      <c r="H35" s="11" t="s">
        <v>529</v>
      </c>
      <c r="I35" s="11" t="s">
        <v>530</v>
      </c>
      <c r="J35" s="11" t="s">
        <v>457</v>
      </c>
      <c r="K35" s="11" t="s">
        <v>531</v>
      </c>
      <c r="L35" s="18">
        <f>IF(ISERROR(SEARCH("EX",Tabella1[[#This Row],[Attività lavorativa]],1)),0,1)</f>
        <v>0</v>
      </c>
      <c r="M35" s="18"/>
      <c r="N35" s="18"/>
      <c r="O35" s="18"/>
      <c r="P35" s="18">
        <v>1</v>
      </c>
      <c r="Q35" s="18"/>
      <c r="R35" s="18"/>
      <c r="S35" s="18"/>
      <c r="T35" s="17">
        <f>IF(ISERROR(SEARCH("NDD",Tabella1[[#This Row],[Attività lavorativa]],1)),0,1)</f>
        <v>0</v>
      </c>
      <c r="U35" s="11" t="s">
        <v>195</v>
      </c>
      <c r="V35" s="22"/>
      <c r="W35" s="22">
        <f>IF(ISERROR(SEARCH("ex",Tabella1[[#This Row],[Fumo]],1)),0,1)</f>
        <v>0</v>
      </c>
      <c r="X35" s="22">
        <f>IF(ISERROR(SEARCH("no",Tabella1[[#This Row],[Fumo]],1)),0,1)</f>
        <v>1</v>
      </c>
      <c r="Y35" s="11" t="s">
        <v>25</v>
      </c>
      <c r="Z35" s="18">
        <f>IF(ISERROR(SEARCH("NDD",Tabella1[[#This Row],[Bevitore alcolici]],1)),0,1)</f>
        <v>0</v>
      </c>
      <c r="AA35" s="17">
        <f>IF(ISERROR(SEARCH("raro",Tabella1[[#This Row],[Bevitore alcolici]],1)),0,1)</f>
        <v>0</v>
      </c>
      <c r="AB35" s="17">
        <f>IF(ISERROR(SEARCH("saltuariamente",Tabella1[[#This Row],[Bevitore alcolici]],1)),0,1)</f>
        <v>0</v>
      </c>
      <c r="AC35" s="17">
        <f>IF(ISERROR(SEARCH("nega",Tabella1[[#This Row],[Bevitore alcolici]],1)),0,1)</f>
        <v>1</v>
      </c>
      <c r="AD35" s="17">
        <f>IF(ISERROR(SEARCH("potus",Tabella1[[#This Row],[Bevitore alcolici]],1)),0,1)</f>
        <v>0</v>
      </c>
      <c r="AE35" s="11" t="s">
        <v>657</v>
      </c>
      <c r="AF35" s="18"/>
      <c r="AG35" s="18"/>
      <c r="AH35" s="18"/>
      <c r="AI35" s="18"/>
      <c r="AJ35" s="18"/>
      <c r="AK35" s="11" t="s">
        <v>195</v>
      </c>
      <c r="AL35" s="18">
        <f>IF(ISERROR(SEARCH("si",Tabella1[[#This Row],[Patente di guida]],1)),0,1)</f>
        <v>0</v>
      </c>
      <c r="AM35" s="11" t="s">
        <v>195</v>
      </c>
      <c r="AN35" s="18">
        <f>IF(ISERROR(SEARCH("no",Tabella1[[#This Row],[Ipertensione]],1)),0,1)</f>
        <v>1</v>
      </c>
      <c r="AO35" s="11" t="s">
        <v>382</v>
      </c>
      <c r="AP35" s="18">
        <f>IF(ISERROR(SEARCH("NO",Tabella1[[#This Row],[Cardiopatia ischemica]],1)),1,0)</f>
        <v>0</v>
      </c>
      <c r="AQ35" s="17">
        <f>IF(ISERROR(SEARCH("sconosciuto",Tabella1[[#This Row],[Cardiopatia ischemica]],1)),0,1)</f>
        <v>0</v>
      </c>
      <c r="AR35" s="11" t="s">
        <v>25</v>
      </c>
      <c r="AS35" s="22">
        <f>IF(ISERROR(SEARCH("nega",Tabella1[[#This Row],[Artimie]],1)),0,1)</f>
        <v>1</v>
      </c>
      <c r="AT35" s="11" t="s">
        <v>25</v>
      </c>
      <c r="AU35" s="22">
        <f>IF(ISERROR(SEARCH("nega",Tabella1[[#This Row],[Ipercolesterolemia]],1)),0,1)</f>
        <v>1</v>
      </c>
      <c r="AV35" s="22">
        <f>IF(ISERROR(SEARCH("boh",Tabella1[[#This Row],[Ipercolesterolemia]],1)),0,1)</f>
        <v>0</v>
      </c>
      <c r="AW35" s="11" t="s">
        <v>3760</v>
      </c>
      <c r="AX35" s="22">
        <f>IF(ISERROR(SEARCH("Intolleranza",Tabella1[[#This Row],[Diabete]],1)),0,1)</f>
        <v>1</v>
      </c>
      <c r="AY35" s="22">
        <f>IF(ISERROR(SEARCH("si",Tabella1[[#This Row],[Diabete]],1)),0,1)</f>
        <v>0</v>
      </c>
      <c r="AZ35" s="11" t="s">
        <v>195</v>
      </c>
      <c r="BA35" s="18">
        <f>IF(ISERROR(SEARCH("NDD",Tabella1[[#This Row],[Patologia Tiroidea]],1)),0,1)</f>
        <v>0</v>
      </c>
      <c r="BB35" s="22">
        <f>IF(ISERROR(SEARCH("TIROIDITE",Tabella1[[#This Row],[Patologia Tiroidea]],1)),0,1)</f>
        <v>0</v>
      </c>
      <c r="BC35" s="22">
        <f>IF(ISERROR(SEARCH("HASHIMOTO",Tabella1[[#This Row],[Patologia Tiroidea]],1)),0,1)</f>
        <v>0</v>
      </c>
      <c r="BD35" s="22">
        <f>IF(ISERROR(SEARCH("BASEDOW",Tabella1[[#This Row],[Patologia Tiroidea]],1)),0,1)</f>
        <v>0</v>
      </c>
      <c r="BE35" s="22">
        <f>IF(ISERROR(SEARCH("NOD",Tabella1[[#This Row],[Patologia Tiroidea]],1)),0,1)</f>
        <v>0</v>
      </c>
      <c r="BF35" s="22">
        <f>IF(ISERROR(SEARCH("GOZ",Tabella1[[#This Row],[Patologia Tiroidea]],1)),0,1)</f>
        <v>0</v>
      </c>
      <c r="BG35" s="11" t="s">
        <v>194</v>
      </c>
      <c r="BH35" s="18">
        <f>IF(Tabella1[[#This Row],[Obesità]]="no",0,1)</f>
        <v>1</v>
      </c>
      <c r="BI35" s="11" t="s">
        <v>25</v>
      </c>
      <c r="BJ35" s="22">
        <f>IF(ISERROR(SEARCH("nega",Tabella1[[#This Row],[Reflusso gastroesofageo]],1)),1,0)</f>
        <v>0</v>
      </c>
      <c r="BK35" s="11" t="s">
        <v>195</v>
      </c>
      <c r="BL35" s="18">
        <f>IF(ISERROR(SEARCH("NDD",Tabella1[[#This Row],[Patologia respiratoria]],1)),0,1)</f>
        <v>0</v>
      </c>
      <c r="BM35" s="18">
        <f>IF(ISERROR(SEARCH("asma",Tabella1[[#This Row],[Patologia respiratoria]],1)),0,1)</f>
        <v>0</v>
      </c>
      <c r="BN35" s="18">
        <f>IF(ISERROR(SEARCH("BPCO",Tabella1[[#This Row],[Patologia respiratoria]],1)),0,1)</f>
        <v>0</v>
      </c>
      <c r="BO35" s="18">
        <f>IF(ISERROR(SEARCH("BRONCOPOLMONITE",Tabella1[[#This Row],[Patologia respiratoria]],1)),0,1)</f>
        <v>0</v>
      </c>
      <c r="BP35" s="18">
        <f>IF(ISERROR(SEARCH("ASMA, OSAS",Tabella1[[#This Row],[Patologia respiratoria]],1)),0,1)</f>
        <v>0</v>
      </c>
      <c r="BQ35" s="18">
        <f>IF(ISERROR(SEARCH("OSAS e BPCO",Tabella1[[#This Row],[Patologia respiratoria]],1)),0,1)</f>
        <v>0</v>
      </c>
      <c r="BR35" s="18">
        <f>IF(ISERROR(SEARCH("OSAS",Tabella1[[#This Row],[Patologia respiratoria]],1)),0,1)</f>
        <v>0</v>
      </c>
      <c r="BS35" s="11" t="s">
        <v>195</v>
      </c>
      <c r="BT35" s="11" t="s">
        <v>532</v>
      </c>
      <c r="BU35" s="11" t="s">
        <v>195</v>
      </c>
      <c r="BV35" s="18">
        <f>IF(ISERROR(SEARCH("ndd",Tabella1[[#This Row],[O2 terapia]],1)),0,1)</f>
        <v>0</v>
      </c>
      <c r="BW35" s="17">
        <v>0</v>
      </c>
      <c r="BX35" s="11" t="s">
        <v>195</v>
      </c>
      <c r="BY35" s="11" t="s">
        <v>195</v>
      </c>
      <c r="BZ35" s="18">
        <v>0</v>
      </c>
      <c r="CA35" s="11" t="s">
        <v>533</v>
      </c>
      <c r="CB35" s="17">
        <v>1</v>
      </c>
      <c r="CC35" s="11" t="s">
        <v>534</v>
      </c>
      <c r="CD35" s="17">
        <v>1</v>
      </c>
      <c r="CE35" s="11" t="s">
        <v>195</v>
      </c>
      <c r="CF35" s="18">
        <v>0</v>
      </c>
      <c r="CG35" s="11" t="s">
        <v>195</v>
      </c>
      <c r="CH35" s="17">
        <v>0</v>
      </c>
      <c r="CI35" s="11" t="s">
        <v>195</v>
      </c>
      <c r="CJ35" s="18">
        <v>0</v>
      </c>
      <c r="CK35" s="11" t="s">
        <v>535</v>
      </c>
      <c r="CL35" s="17">
        <v>1</v>
      </c>
      <c r="CM35" s="11" t="s">
        <v>536</v>
      </c>
      <c r="CN35" s="17">
        <v>1</v>
      </c>
      <c r="CO35" s="11" t="s">
        <v>537</v>
      </c>
      <c r="CP35" s="17">
        <v>1</v>
      </c>
      <c r="CQ35" s="11" t="s">
        <v>54</v>
      </c>
      <c r="CR35" s="11" t="s">
        <v>538</v>
      </c>
      <c r="CS35" s="11" t="s">
        <v>71</v>
      </c>
      <c r="CT35" s="11" t="s">
        <v>539</v>
      </c>
      <c r="CU35" s="11" t="s">
        <v>540</v>
      </c>
      <c r="CV35" s="12" t="s">
        <v>541</v>
      </c>
    </row>
    <row r="36" spans="1:100" ht="409.5">
      <c r="A36" s="1">
        <f t="shared" si="0"/>
        <v>35</v>
      </c>
      <c r="B36" s="5">
        <v>253</v>
      </c>
      <c r="C36" s="7"/>
      <c r="D36" s="7" t="s">
        <v>542</v>
      </c>
      <c r="E36" s="6">
        <v>25108</v>
      </c>
      <c r="F36" s="29">
        <f ca="1">_xlfn.DAYS(NOW(),Tabella1[[#This Row],[Data di Nascita]])/365.25</f>
        <v>56.851471594798085</v>
      </c>
      <c r="G36" s="7" t="s">
        <v>543</v>
      </c>
      <c r="H36" s="7" t="s">
        <v>544</v>
      </c>
      <c r="I36" s="7" t="s">
        <v>325</v>
      </c>
      <c r="J36" s="7" t="s">
        <v>545</v>
      </c>
      <c r="K36" s="7" t="s">
        <v>546</v>
      </c>
      <c r="L36" s="17">
        <f>IF(ISERROR(SEARCH("EX",Tabella1[[#This Row],[Attività lavorativa]],1)),0,1)</f>
        <v>0</v>
      </c>
      <c r="M36" s="18">
        <v>1</v>
      </c>
      <c r="N36" s="17"/>
      <c r="O36" s="17"/>
      <c r="P36" s="17"/>
      <c r="Q36" s="17"/>
      <c r="R36" s="17"/>
      <c r="S36" s="17"/>
      <c r="T36" s="17">
        <f>IF(ISERROR(SEARCH("NDD",Tabella1[[#This Row],[Attività lavorativa]],1)),0,1)</f>
        <v>0</v>
      </c>
      <c r="U36" s="7" t="s">
        <v>8</v>
      </c>
      <c r="V36" s="22"/>
      <c r="W36" s="22">
        <f>IF(ISERROR(SEARCH("ex",Tabella1[[#This Row],[Fumo]],1)),0,1)</f>
        <v>0</v>
      </c>
      <c r="X36" s="22">
        <f>IF(ISERROR(SEARCH("no",Tabella1[[#This Row],[Fumo]],1)),0,1)</f>
        <v>1</v>
      </c>
      <c r="Y36" s="7" t="s">
        <v>25</v>
      </c>
      <c r="Z36" s="17">
        <f>IF(ISERROR(SEARCH("NDD",Tabella1[[#This Row],[Bevitore alcolici]],1)),0,1)</f>
        <v>0</v>
      </c>
      <c r="AA36" s="17">
        <f>IF(ISERROR(SEARCH("raro",Tabella1[[#This Row],[Bevitore alcolici]],1)),0,1)</f>
        <v>0</v>
      </c>
      <c r="AB36" s="17">
        <f>IF(ISERROR(SEARCH("saltuariamente",Tabella1[[#This Row],[Bevitore alcolici]],1)),0,1)</f>
        <v>0</v>
      </c>
      <c r="AC36" s="17">
        <f>IF(ISERROR(SEARCH("nega",Tabella1[[#This Row],[Bevitore alcolici]],1)),0,1)</f>
        <v>1</v>
      </c>
      <c r="AD36" s="17">
        <f>IF(ISERROR(SEARCH("potus",Tabella1[[#This Row],[Bevitore alcolici]],1)),0,1)</f>
        <v>0</v>
      </c>
      <c r="AE36" s="7" t="s">
        <v>657</v>
      </c>
      <c r="AF36" s="17"/>
      <c r="AG36" s="17"/>
      <c r="AH36" s="17"/>
      <c r="AI36" s="17"/>
      <c r="AJ36" s="17"/>
      <c r="AK36" s="7" t="s">
        <v>28</v>
      </c>
      <c r="AL36" s="17">
        <f>IF(ISERROR(SEARCH("si",Tabella1[[#This Row],[Patente di guida]],1)),0,1)</f>
        <v>1</v>
      </c>
      <c r="AM36" s="7" t="s">
        <v>3718</v>
      </c>
      <c r="AN36" s="17">
        <f>IF(ISERROR(SEARCH("no",Tabella1[[#This Row],[Ipertensione]],1)),0,1)</f>
        <v>0</v>
      </c>
      <c r="AO36" s="7" t="s">
        <v>382</v>
      </c>
      <c r="AP36" s="18">
        <f>IF(ISERROR(SEARCH("NO",Tabella1[[#This Row],[Cardiopatia ischemica]],1)),1,0)</f>
        <v>0</v>
      </c>
      <c r="AQ36" s="17">
        <f>IF(ISERROR(SEARCH("sconosciuto",Tabella1[[#This Row],[Cardiopatia ischemica]],1)),0,1)</f>
        <v>0</v>
      </c>
      <c r="AR36" s="7" t="s">
        <v>25</v>
      </c>
      <c r="AS36" s="17">
        <f>IF(ISERROR(SEARCH("nega",Tabella1[[#This Row],[Artimie]],1)),0,1)</f>
        <v>1</v>
      </c>
      <c r="AT36" s="7" t="s">
        <v>548</v>
      </c>
      <c r="AU36" s="17">
        <f>IF(ISERROR(SEARCH("nega",Tabella1[[#This Row],[Ipercolesterolemia]],1)),0,1)</f>
        <v>0</v>
      </c>
      <c r="AV36" s="17">
        <f>IF(ISERROR(SEARCH("boh",Tabella1[[#This Row],[Ipercolesterolemia]],1)),0,1)</f>
        <v>0</v>
      </c>
      <c r="AW36" s="7" t="s">
        <v>309</v>
      </c>
      <c r="AX36" s="17">
        <f>IF(ISERROR(SEARCH("Intolleranza",Tabella1[[#This Row],[Diabete]],1)),0,1)</f>
        <v>0</v>
      </c>
      <c r="AY36" s="17">
        <f>IF(ISERROR(SEARCH("si",Tabella1[[#This Row],[Diabete]],1)),0,1)</f>
        <v>0</v>
      </c>
      <c r="AZ36" s="7" t="s">
        <v>309</v>
      </c>
      <c r="BA36" s="17">
        <f>IF(ISERROR(SEARCH("NDD",Tabella1[[#This Row],[Patologia Tiroidea]],1)),0,1)</f>
        <v>0</v>
      </c>
      <c r="BB36" s="17">
        <f>IF(ISERROR(SEARCH("TIROIDITE",Tabella1[[#This Row],[Patologia Tiroidea]],1)),0,1)</f>
        <v>0</v>
      </c>
      <c r="BC36" s="17">
        <f>IF(ISERROR(SEARCH("HASHIMOTO",Tabella1[[#This Row],[Patologia Tiroidea]],1)),0,1)</f>
        <v>0</v>
      </c>
      <c r="BD36" s="17">
        <f>IF(ISERROR(SEARCH("BASEDOW",Tabella1[[#This Row],[Patologia Tiroidea]],1)),0,1)</f>
        <v>0</v>
      </c>
      <c r="BE36" s="17">
        <f>IF(ISERROR(SEARCH("NOD",Tabella1[[#This Row],[Patologia Tiroidea]],1)),0,1)</f>
        <v>0</v>
      </c>
      <c r="BF36" s="17">
        <f>IF(ISERROR(SEARCH("GOZ",Tabella1[[#This Row],[Patologia Tiroidea]],1)),0,1)</f>
        <v>0</v>
      </c>
      <c r="BG36" s="7" t="s">
        <v>549</v>
      </c>
      <c r="BH36" s="17">
        <f>IF(Tabella1[[#This Row],[Obesità]]="no",0,1)</f>
        <v>1</v>
      </c>
      <c r="BI36" s="7" t="s">
        <v>25</v>
      </c>
      <c r="BJ36" s="22">
        <f>IF(ISERROR(SEARCH("nega",Tabella1[[#This Row],[Reflusso gastroesofageo]],1)),1,0)</f>
        <v>0</v>
      </c>
      <c r="BK36" s="7" t="s">
        <v>25</v>
      </c>
      <c r="BL36" s="17">
        <f>IF(ISERROR(SEARCH("NDD",Tabella1[[#This Row],[Patologia respiratoria]],1)),0,1)</f>
        <v>0</v>
      </c>
      <c r="BM36" s="17">
        <f>IF(ISERROR(SEARCH("asma",Tabella1[[#This Row],[Patologia respiratoria]],1)),0,1)</f>
        <v>0</v>
      </c>
      <c r="BN36" s="17">
        <f>IF(ISERROR(SEARCH("BPCO",Tabella1[[#This Row],[Patologia respiratoria]],1)),0,1)</f>
        <v>0</v>
      </c>
      <c r="BO36" s="17">
        <f>IF(ISERROR(SEARCH("BRONCOPOLMONITE",Tabella1[[#This Row],[Patologia respiratoria]],1)),0,1)</f>
        <v>0</v>
      </c>
      <c r="BP36" s="17">
        <f>IF(ISERROR(SEARCH("ASMA, OSAS",Tabella1[[#This Row],[Patologia respiratoria]],1)),0,1)</f>
        <v>0</v>
      </c>
      <c r="BQ36" s="17">
        <f>IF(ISERROR(SEARCH("OSAS e BPCO",Tabella1[[#This Row],[Patologia respiratoria]],1)),0,1)</f>
        <v>0</v>
      </c>
      <c r="BR36" s="17">
        <f>IF(ISERROR(SEARCH("OSAS",Tabella1[[#This Row],[Patologia respiratoria]],1)),0,1)</f>
        <v>0</v>
      </c>
      <c r="BS36" s="7"/>
      <c r="BT36" s="7" t="s">
        <v>550</v>
      </c>
      <c r="BU36" s="7" t="s">
        <v>5477</v>
      </c>
      <c r="BV36" s="17">
        <f>IF(ISERROR(SEARCH("ndd",Tabella1[[#This Row],[O2 terapia]],1)),0,1)</f>
        <v>1</v>
      </c>
      <c r="BW36" s="17"/>
      <c r="BX36" s="7"/>
      <c r="BY36" s="7" t="s">
        <v>25</v>
      </c>
      <c r="BZ36" s="18">
        <v>0</v>
      </c>
      <c r="CA36" s="7" t="s">
        <v>309</v>
      </c>
      <c r="CB36" s="17">
        <v>0</v>
      </c>
      <c r="CC36" s="7" t="s">
        <v>309</v>
      </c>
      <c r="CD36" s="18">
        <v>0</v>
      </c>
      <c r="CE36" s="7" t="s">
        <v>25</v>
      </c>
      <c r="CF36" s="18">
        <v>0</v>
      </c>
      <c r="CG36" s="7" t="s">
        <v>25</v>
      </c>
      <c r="CH36" s="17">
        <v>0</v>
      </c>
      <c r="CI36" s="7" t="s">
        <v>25</v>
      </c>
      <c r="CJ36" s="18">
        <v>0</v>
      </c>
      <c r="CK36" s="7" t="s">
        <v>551</v>
      </c>
      <c r="CL36" s="17">
        <v>1</v>
      </c>
      <c r="CM36" s="7" t="s">
        <v>552</v>
      </c>
      <c r="CN36" s="17">
        <v>1</v>
      </c>
      <c r="CO36" s="7" t="s">
        <v>553</v>
      </c>
      <c r="CP36" s="17">
        <v>1</v>
      </c>
      <c r="CQ36" s="7" t="s">
        <v>202</v>
      </c>
      <c r="CR36" s="7" t="s">
        <v>279</v>
      </c>
      <c r="CS36" s="7" t="s">
        <v>219</v>
      </c>
      <c r="CT36" s="7" t="s">
        <v>554</v>
      </c>
      <c r="CU36" s="7" t="s">
        <v>555</v>
      </c>
      <c r="CV36" s="8" t="s">
        <v>556</v>
      </c>
    </row>
    <row r="37" spans="1:100" ht="270.75">
      <c r="A37" s="1">
        <f t="shared" si="0"/>
        <v>36</v>
      </c>
      <c r="B37" s="9">
        <v>255</v>
      </c>
      <c r="C37" s="10">
        <v>44529</v>
      </c>
      <c r="D37" s="11" t="s">
        <v>557</v>
      </c>
      <c r="E37" s="10">
        <v>27523</v>
      </c>
      <c r="F37" s="29">
        <f ca="1">_xlfn.DAYS(NOW(),Tabella1[[#This Row],[Data di Nascita]])/365.25</f>
        <v>50.239561943874058</v>
      </c>
      <c r="G37" s="11" t="s">
        <v>558</v>
      </c>
      <c r="H37" s="11" t="s">
        <v>559</v>
      </c>
      <c r="I37" s="11" t="s">
        <v>210</v>
      </c>
      <c r="J37" s="11" t="s">
        <v>473</v>
      </c>
      <c r="K37" s="11" t="s">
        <v>560</v>
      </c>
      <c r="L37" s="18">
        <f>IF(ISERROR(SEARCH("EX",Tabella1[[#This Row],[Attività lavorativa]],1)),0,1)</f>
        <v>0</v>
      </c>
      <c r="M37" s="18"/>
      <c r="N37" s="18"/>
      <c r="O37" s="18"/>
      <c r="P37" s="18"/>
      <c r="Q37" s="18"/>
      <c r="R37" s="18"/>
      <c r="S37" s="18"/>
      <c r="T37" s="17">
        <f>IF(ISERROR(SEARCH("NDD",Tabella1[[#This Row],[Attività lavorativa]],1)),0,1)</f>
        <v>0</v>
      </c>
      <c r="U37" s="11" t="s">
        <v>561</v>
      </c>
      <c r="V37" s="22">
        <v>40</v>
      </c>
      <c r="W37" s="22">
        <f>IF(ISERROR(SEARCH("ex",Tabella1[[#This Row],[Fumo]],1)),0,1)</f>
        <v>1</v>
      </c>
      <c r="X37" s="22">
        <f>IF(ISERROR(SEARCH("no",Tabella1[[#This Row],[Fumo]],1)),0,1)</f>
        <v>0</v>
      </c>
      <c r="Y37" s="11" t="s">
        <v>25</v>
      </c>
      <c r="Z37" s="18">
        <f>IF(ISERROR(SEARCH("NDD",Tabella1[[#This Row],[Bevitore alcolici]],1)),0,1)</f>
        <v>0</v>
      </c>
      <c r="AA37" s="17">
        <f>IF(ISERROR(SEARCH("raro",Tabella1[[#This Row],[Bevitore alcolici]],1)),0,1)</f>
        <v>0</v>
      </c>
      <c r="AB37" s="17">
        <f>IF(ISERROR(SEARCH("saltuariamente",Tabella1[[#This Row],[Bevitore alcolici]],1)),0,1)</f>
        <v>0</v>
      </c>
      <c r="AC37" s="17">
        <f>IF(ISERROR(SEARCH("nega",Tabella1[[#This Row],[Bevitore alcolici]],1)),0,1)</f>
        <v>1</v>
      </c>
      <c r="AD37" s="17">
        <f>IF(ISERROR(SEARCH("potus",Tabella1[[#This Row],[Bevitore alcolici]],1)),0,1)</f>
        <v>0</v>
      </c>
      <c r="AE37" s="11" t="s">
        <v>562</v>
      </c>
      <c r="AF37" s="18"/>
      <c r="AG37" s="18"/>
      <c r="AH37" s="18">
        <v>1</v>
      </c>
      <c r="AI37" s="18"/>
      <c r="AJ37" s="18"/>
      <c r="AK37" s="11" t="s">
        <v>28</v>
      </c>
      <c r="AL37" s="18">
        <f>IF(ISERROR(SEARCH("si",Tabella1[[#This Row],[Patente di guida]],1)),0,1)</f>
        <v>1</v>
      </c>
      <c r="AM37" s="11" t="s">
        <v>8</v>
      </c>
      <c r="AN37" s="18">
        <f>IF(ISERROR(SEARCH("no",Tabella1[[#This Row],[Ipertensione]],1)),0,1)</f>
        <v>1</v>
      </c>
      <c r="AO37" s="11" t="s">
        <v>382</v>
      </c>
      <c r="AP37" s="18">
        <f>IF(ISERROR(SEARCH("NO",Tabella1[[#This Row],[Cardiopatia ischemica]],1)),1,0)</f>
        <v>0</v>
      </c>
      <c r="AQ37" s="17">
        <f>IF(ISERROR(SEARCH("sconosciuto",Tabella1[[#This Row],[Cardiopatia ischemica]],1)),0,1)</f>
        <v>0</v>
      </c>
      <c r="AR37" s="11" t="s">
        <v>25</v>
      </c>
      <c r="AS37" s="22">
        <f>IF(ISERROR(SEARCH("nega",Tabella1[[#This Row],[Artimie]],1)),0,1)</f>
        <v>1</v>
      </c>
      <c r="AT37" s="11" t="s">
        <v>563</v>
      </c>
      <c r="AU37" s="22">
        <f>IF(ISERROR(SEARCH("nega",Tabella1[[#This Row],[Ipercolesterolemia]],1)),0,1)</f>
        <v>0</v>
      </c>
      <c r="AV37" s="22">
        <f>IF(ISERROR(SEARCH("boh",Tabella1[[#This Row],[Ipercolesterolemia]],1)),0,1)</f>
        <v>0</v>
      </c>
      <c r="AW37" s="11" t="s">
        <v>3764</v>
      </c>
      <c r="AX37" s="22">
        <f>IF(ISERROR(SEARCH("Intolleranza",Tabella1[[#This Row],[Diabete]],1)),0,1)</f>
        <v>0</v>
      </c>
      <c r="AY37" s="22">
        <f>IF(ISERROR(SEARCH("si",Tabella1[[#This Row],[Diabete]],1)),0,1)</f>
        <v>1</v>
      </c>
      <c r="AZ37" s="11" t="s">
        <v>8</v>
      </c>
      <c r="BA37" s="18">
        <f>IF(ISERROR(SEARCH("NDD",Tabella1[[#This Row],[Patologia Tiroidea]],1)),0,1)</f>
        <v>0</v>
      </c>
      <c r="BB37" s="22">
        <f>IF(ISERROR(SEARCH("TIROIDITE",Tabella1[[#This Row],[Patologia Tiroidea]],1)),0,1)</f>
        <v>0</v>
      </c>
      <c r="BC37" s="22">
        <f>IF(ISERROR(SEARCH("HASHIMOTO",Tabella1[[#This Row],[Patologia Tiroidea]],1)),0,1)</f>
        <v>0</v>
      </c>
      <c r="BD37" s="22">
        <f>IF(ISERROR(SEARCH("BASEDOW",Tabella1[[#This Row],[Patologia Tiroidea]],1)),0,1)</f>
        <v>0</v>
      </c>
      <c r="BE37" s="22">
        <f>IF(ISERROR(SEARCH("NOD",Tabella1[[#This Row],[Patologia Tiroidea]],1)),0,1)</f>
        <v>0</v>
      </c>
      <c r="BF37" s="22">
        <f>IF(ISERROR(SEARCH("GOZ",Tabella1[[#This Row],[Patologia Tiroidea]],1)),0,1)</f>
        <v>0</v>
      </c>
      <c r="BG37" s="11" t="s">
        <v>564</v>
      </c>
      <c r="BH37" s="18">
        <f>IF(Tabella1[[#This Row],[Obesità]]="no",0,1)</f>
        <v>1</v>
      </c>
      <c r="BI37" s="11" t="s">
        <v>25</v>
      </c>
      <c r="BJ37" s="22">
        <f>IF(ISERROR(SEARCH("nega",Tabella1[[#This Row],[Reflusso gastroesofageo]],1)),1,0)</f>
        <v>0</v>
      </c>
      <c r="BK37" s="11" t="s">
        <v>8</v>
      </c>
      <c r="BL37" s="18">
        <f>IF(ISERROR(SEARCH("NDD",Tabella1[[#This Row],[Patologia respiratoria]],1)),0,1)</f>
        <v>0</v>
      </c>
      <c r="BM37" s="18">
        <f>IF(ISERROR(SEARCH("asma",Tabella1[[#This Row],[Patologia respiratoria]],1)),0,1)</f>
        <v>0</v>
      </c>
      <c r="BN37" s="18">
        <f>IF(ISERROR(SEARCH("BPCO",Tabella1[[#This Row],[Patologia respiratoria]],1)),0,1)</f>
        <v>0</v>
      </c>
      <c r="BO37" s="18">
        <f>IF(ISERROR(SEARCH("BRONCOPOLMONITE",Tabella1[[#This Row],[Patologia respiratoria]],1)),0,1)</f>
        <v>0</v>
      </c>
      <c r="BP37" s="18">
        <f>IF(ISERROR(SEARCH("ASMA, OSAS",Tabella1[[#This Row],[Patologia respiratoria]],1)),0,1)</f>
        <v>0</v>
      </c>
      <c r="BQ37" s="18">
        <f>IF(ISERROR(SEARCH("OSAS e BPCO",Tabella1[[#This Row],[Patologia respiratoria]],1)),0,1)</f>
        <v>0</v>
      </c>
      <c r="BR37" s="18">
        <f>IF(ISERROR(SEARCH("OSAS",Tabella1[[#This Row],[Patologia respiratoria]],1)),0,1)</f>
        <v>0</v>
      </c>
      <c r="BS37" s="11"/>
      <c r="BT37" s="11" t="s">
        <v>565</v>
      </c>
      <c r="BU37" s="11" t="s">
        <v>8</v>
      </c>
      <c r="BV37" s="18">
        <f>IF(ISERROR(SEARCH("ndd",Tabella1[[#This Row],[O2 terapia]],1)),0,1)</f>
        <v>0</v>
      </c>
      <c r="BW37" s="17">
        <v>0</v>
      </c>
      <c r="BX37" s="11"/>
      <c r="BY37" s="11" t="s">
        <v>566</v>
      </c>
      <c r="BZ37" s="17">
        <v>1</v>
      </c>
      <c r="CA37" s="11" t="s">
        <v>8</v>
      </c>
      <c r="CB37" s="17">
        <v>0</v>
      </c>
      <c r="CC37" s="11" t="s">
        <v>567</v>
      </c>
      <c r="CD37" s="17">
        <v>1</v>
      </c>
      <c r="CE37" s="11" t="s">
        <v>25</v>
      </c>
      <c r="CF37" s="18">
        <v>0</v>
      </c>
      <c r="CG37" s="7" t="s">
        <v>5477</v>
      </c>
      <c r="CH37" s="18"/>
      <c r="CI37" s="7" t="s">
        <v>5477</v>
      </c>
      <c r="CJ37" s="18"/>
      <c r="CK37" s="11" t="s">
        <v>8</v>
      </c>
      <c r="CL37" s="17">
        <v>0</v>
      </c>
      <c r="CM37" s="11" t="s">
        <v>568</v>
      </c>
      <c r="CN37" s="17">
        <v>1</v>
      </c>
      <c r="CO37" s="11" t="s">
        <v>309</v>
      </c>
      <c r="CP37" s="18">
        <v>0</v>
      </c>
      <c r="CQ37" s="11" t="s">
        <v>368</v>
      </c>
      <c r="CR37" s="11" t="s">
        <v>120</v>
      </c>
      <c r="CS37" s="11" t="s">
        <v>219</v>
      </c>
      <c r="CT37" s="11" t="s">
        <v>569</v>
      </c>
      <c r="CU37" s="11" t="s">
        <v>570</v>
      </c>
      <c r="CV37" s="12" t="s">
        <v>571</v>
      </c>
    </row>
    <row r="38" spans="1:100" ht="409.5">
      <c r="A38" s="1">
        <f t="shared" si="0"/>
        <v>37</v>
      </c>
      <c r="B38" s="5">
        <v>258</v>
      </c>
      <c r="C38" s="6">
        <v>44531</v>
      </c>
      <c r="D38" s="7" t="s">
        <v>572</v>
      </c>
      <c r="E38" s="6">
        <v>21761</v>
      </c>
      <c r="F38" s="29">
        <f ca="1">_xlfn.DAYS(NOW(),Tabella1[[#This Row],[Data di Nascita]])/365.25</f>
        <v>66.01505817932923</v>
      </c>
      <c r="G38" s="7" t="s">
        <v>573</v>
      </c>
      <c r="H38" s="7" t="s">
        <v>574</v>
      </c>
      <c r="I38" s="7" t="s">
        <v>575</v>
      </c>
      <c r="J38" s="7" t="s">
        <v>576</v>
      </c>
      <c r="K38" s="11" t="s">
        <v>5477</v>
      </c>
      <c r="L38" s="17">
        <f>IF(ISERROR(SEARCH("EX",Tabella1[[#This Row],[Attività lavorativa]],1)),0,1)</f>
        <v>0</v>
      </c>
      <c r="M38" s="17"/>
      <c r="N38" s="17"/>
      <c r="O38" s="17"/>
      <c r="P38" s="17"/>
      <c r="Q38" s="17"/>
      <c r="R38" s="17"/>
      <c r="S38" s="17"/>
      <c r="T38" s="17">
        <f>IF(ISERROR(SEARCH("NDD",Tabella1[[#This Row],[Attività lavorativa]],1)),0,1)</f>
        <v>1</v>
      </c>
      <c r="U38" s="7" t="s">
        <v>577</v>
      </c>
      <c r="V38" s="22">
        <v>60</v>
      </c>
      <c r="W38" s="22">
        <f>IF(ISERROR(SEARCH("ex",Tabella1[[#This Row],[Fumo]],1)),0,1)</f>
        <v>0</v>
      </c>
      <c r="X38" s="22">
        <f>IF(ISERROR(SEARCH("no",Tabella1[[#This Row],[Fumo]],1)),0,1)</f>
        <v>0</v>
      </c>
      <c r="Y38" s="7" t="s">
        <v>25</v>
      </c>
      <c r="Z38" s="17">
        <f>IF(ISERROR(SEARCH("NDD",Tabella1[[#This Row],[Bevitore alcolici]],1)),0,1)</f>
        <v>0</v>
      </c>
      <c r="AA38" s="17">
        <f>IF(ISERROR(SEARCH("raro",Tabella1[[#This Row],[Bevitore alcolici]],1)),0,1)</f>
        <v>0</v>
      </c>
      <c r="AB38" s="17">
        <f>IF(ISERROR(SEARCH("saltuariamente",Tabella1[[#This Row],[Bevitore alcolici]],1)),0,1)</f>
        <v>0</v>
      </c>
      <c r="AC38" s="17">
        <f>IF(ISERROR(SEARCH("nega",Tabella1[[#This Row],[Bevitore alcolici]],1)),0,1)</f>
        <v>1</v>
      </c>
      <c r="AD38" s="17">
        <f>IF(ISERROR(SEARCH("potus",Tabella1[[#This Row],[Bevitore alcolici]],1)),0,1)</f>
        <v>0</v>
      </c>
      <c r="AE38" s="7" t="s">
        <v>657</v>
      </c>
      <c r="AF38" s="17"/>
      <c r="AG38" s="17"/>
      <c r="AH38" s="17"/>
      <c r="AI38" s="17"/>
      <c r="AJ38" s="17"/>
      <c r="AK38" s="7" t="s">
        <v>8</v>
      </c>
      <c r="AL38" s="17">
        <f>IF(ISERROR(SEARCH("si",Tabella1[[#This Row],[Patente di guida]],1)),0,1)</f>
        <v>0</v>
      </c>
      <c r="AM38" s="7" t="s">
        <v>8</v>
      </c>
      <c r="AN38" s="17">
        <f>IF(ISERROR(SEARCH("no",Tabella1[[#This Row],[Ipertensione]],1)),0,1)</f>
        <v>1</v>
      </c>
      <c r="AO38" s="7" t="s">
        <v>382</v>
      </c>
      <c r="AP38" s="18">
        <f>IF(ISERROR(SEARCH("NO",Tabella1[[#This Row],[Cardiopatia ischemica]],1)),1,0)</f>
        <v>0</v>
      </c>
      <c r="AQ38" s="17">
        <f>IF(ISERROR(SEARCH("sconosciuto",Tabella1[[#This Row],[Cardiopatia ischemica]],1)),0,1)</f>
        <v>0</v>
      </c>
      <c r="AR38" s="7" t="s">
        <v>25</v>
      </c>
      <c r="AS38" s="22">
        <f>IF(ISERROR(SEARCH("nega",Tabella1[[#This Row],[Artimie]],1)),0,1)</f>
        <v>1</v>
      </c>
      <c r="AT38" s="7" t="s">
        <v>25</v>
      </c>
      <c r="AU38" s="22">
        <f>IF(ISERROR(SEARCH("nega",Tabella1[[#This Row],[Ipercolesterolemia]],1)),0,1)</f>
        <v>1</v>
      </c>
      <c r="AV38" s="22">
        <f>IF(ISERROR(SEARCH("boh",Tabella1[[#This Row],[Ipercolesterolemia]],1)),0,1)</f>
        <v>0</v>
      </c>
      <c r="AW38" s="7" t="s">
        <v>8</v>
      </c>
      <c r="AX38" s="22">
        <f>IF(ISERROR(SEARCH("Intolleranza",Tabella1[[#This Row],[Diabete]],1)),0,1)</f>
        <v>0</v>
      </c>
      <c r="AY38" s="22">
        <f>IF(ISERROR(SEARCH("si",Tabella1[[#This Row],[Diabete]],1)),0,1)</f>
        <v>0</v>
      </c>
      <c r="AZ38" s="7" t="s">
        <v>8</v>
      </c>
      <c r="BA38" s="17">
        <f>IF(ISERROR(SEARCH("NDD",Tabella1[[#This Row],[Patologia Tiroidea]],1)),0,1)</f>
        <v>0</v>
      </c>
      <c r="BB38" s="22">
        <f>IF(ISERROR(SEARCH("TIROIDITE",Tabella1[[#This Row],[Patologia Tiroidea]],1)),0,1)</f>
        <v>0</v>
      </c>
      <c r="BC38" s="22">
        <f>IF(ISERROR(SEARCH("HASHIMOTO",Tabella1[[#This Row],[Patologia Tiroidea]],1)),0,1)</f>
        <v>0</v>
      </c>
      <c r="BD38" s="22">
        <f>IF(ISERROR(SEARCH("BASEDOW",Tabella1[[#This Row],[Patologia Tiroidea]],1)),0,1)</f>
        <v>0</v>
      </c>
      <c r="BE38" s="22">
        <f>IF(ISERROR(SEARCH("NOD",Tabella1[[#This Row],[Patologia Tiroidea]],1)),0,1)</f>
        <v>0</v>
      </c>
      <c r="BF38" s="22">
        <f>IF(ISERROR(SEARCH("GOZ",Tabella1[[#This Row],[Patologia Tiroidea]],1)),0,1)</f>
        <v>0</v>
      </c>
      <c r="BG38" s="7" t="s">
        <v>517</v>
      </c>
      <c r="BH38" s="17">
        <f>IF(Tabella1[[#This Row],[Obesità]]="no",0,1)</f>
        <v>1</v>
      </c>
      <c r="BI38" s="7" t="s">
        <v>25</v>
      </c>
      <c r="BJ38" s="22">
        <f>IF(ISERROR(SEARCH("nega",Tabella1[[#This Row],[Reflusso gastroesofageo]],1)),1,0)</f>
        <v>0</v>
      </c>
      <c r="BK38" s="7" t="s">
        <v>578</v>
      </c>
      <c r="BL38" s="17">
        <f>IF(ISERROR(SEARCH("NDD",Tabella1[[#This Row],[Patologia respiratoria]],1)),0,1)</f>
        <v>0</v>
      </c>
      <c r="BM38" s="17">
        <f>IF(ISERROR(SEARCH("asma",Tabella1[[#This Row],[Patologia respiratoria]],1)),0,1)</f>
        <v>0</v>
      </c>
      <c r="BN38" s="17">
        <f>IF(ISERROR(SEARCH("BPCO",Tabella1[[#This Row],[Patologia respiratoria]],1)),0,1)</f>
        <v>1</v>
      </c>
      <c r="BO38" s="17">
        <f>IF(ISERROR(SEARCH("BRONCOPOLMONITE",Tabella1[[#This Row],[Patologia respiratoria]],1)),0,1)</f>
        <v>0</v>
      </c>
      <c r="BP38" s="17">
        <f>IF(ISERROR(SEARCH("ASMA, OSAS",Tabella1[[#This Row],[Patologia respiratoria]],1)),0,1)</f>
        <v>0</v>
      </c>
      <c r="BQ38" s="17">
        <f>IF(ISERROR(SEARCH("OSAS e BPCO",Tabella1[[#This Row],[Patologia respiratoria]],1)),0,1)</f>
        <v>0</v>
      </c>
      <c r="BR38" s="17">
        <f>IF(ISERROR(SEARCH("OSAS",Tabella1[[#This Row],[Patologia respiratoria]],1)),0,1)</f>
        <v>0</v>
      </c>
      <c r="BS38" s="7"/>
      <c r="BT38" s="7" t="s">
        <v>579</v>
      </c>
      <c r="BU38" s="7" t="s">
        <v>8</v>
      </c>
      <c r="BV38" s="17">
        <f>IF(ISERROR(SEARCH("ndd",Tabella1[[#This Row],[O2 terapia]],1)),0,1)</f>
        <v>0</v>
      </c>
      <c r="BW38" s="17">
        <v>0</v>
      </c>
      <c r="BX38" s="7"/>
      <c r="BY38" s="7" t="s">
        <v>580</v>
      </c>
      <c r="BZ38" s="17">
        <v>1</v>
      </c>
      <c r="CA38" s="7" t="s">
        <v>581</v>
      </c>
      <c r="CB38" s="17">
        <v>1</v>
      </c>
      <c r="CC38" s="7" t="s">
        <v>582</v>
      </c>
      <c r="CD38" s="17">
        <v>1</v>
      </c>
      <c r="CE38" s="7" t="s">
        <v>25</v>
      </c>
      <c r="CF38" s="18">
        <v>0</v>
      </c>
      <c r="CG38" s="7" t="s">
        <v>25</v>
      </c>
      <c r="CH38" s="17">
        <v>0</v>
      </c>
      <c r="CI38" s="7" t="s">
        <v>25</v>
      </c>
      <c r="CJ38" s="18">
        <v>0</v>
      </c>
      <c r="CK38" s="7" t="s">
        <v>583</v>
      </c>
      <c r="CL38" s="17">
        <v>1</v>
      </c>
      <c r="CM38" s="7" t="s">
        <v>195</v>
      </c>
      <c r="CN38" s="17">
        <v>0</v>
      </c>
      <c r="CO38" s="7" t="s">
        <v>309</v>
      </c>
      <c r="CP38" s="18">
        <v>0</v>
      </c>
      <c r="CQ38" s="7" t="s">
        <v>85</v>
      </c>
      <c r="CR38" s="7" t="s">
        <v>70</v>
      </c>
      <c r="CS38" s="7" t="s">
        <v>37</v>
      </c>
      <c r="CT38" s="7" t="s">
        <v>16</v>
      </c>
      <c r="CU38" s="7" t="s">
        <v>584</v>
      </c>
      <c r="CV38" s="8" t="s">
        <v>585</v>
      </c>
    </row>
    <row r="39" spans="1:100" ht="285">
      <c r="A39" s="1">
        <f t="shared" si="0"/>
        <v>38</v>
      </c>
      <c r="B39" s="9">
        <v>261</v>
      </c>
      <c r="C39" s="10">
        <v>44536</v>
      </c>
      <c r="D39" s="11" t="s">
        <v>586</v>
      </c>
      <c r="E39" s="10">
        <v>23922</v>
      </c>
      <c r="F39" s="29">
        <f ca="1">_xlfn.DAYS(NOW(),Tabella1[[#This Row],[Data di Nascita]])/365.25</f>
        <v>60.098562628336758</v>
      </c>
      <c r="G39" s="11" t="s">
        <v>587</v>
      </c>
      <c r="H39" s="11" t="s">
        <v>588</v>
      </c>
      <c r="I39" s="11" t="s">
        <v>575</v>
      </c>
      <c r="J39" s="11" t="s">
        <v>589</v>
      </c>
      <c r="K39" s="11" t="s">
        <v>286</v>
      </c>
      <c r="L39" s="18">
        <f>IF(ISERROR(SEARCH("EX",Tabella1[[#This Row],[Attività lavorativa]],1)),0,1)</f>
        <v>0</v>
      </c>
      <c r="M39" s="18">
        <v>1</v>
      </c>
      <c r="N39" s="18"/>
      <c r="O39" s="18"/>
      <c r="P39" s="18"/>
      <c r="Q39" s="18"/>
      <c r="R39" s="18"/>
      <c r="S39" s="18"/>
      <c r="T39" s="17">
        <f>IF(ISERROR(SEARCH("NDD",Tabella1[[#This Row],[Attività lavorativa]],1)),0,1)</f>
        <v>0</v>
      </c>
      <c r="U39" s="11" t="s">
        <v>8</v>
      </c>
      <c r="V39" s="22"/>
      <c r="W39" s="22">
        <f>IF(ISERROR(SEARCH("ex",Tabella1[[#This Row],[Fumo]],1)),0,1)</f>
        <v>0</v>
      </c>
      <c r="X39" s="22">
        <f>IF(ISERROR(SEARCH("no",Tabella1[[#This Row],[Fumo]],1)),0,1)</f>
        <v>1</v>
      </c>
      <c r="Y39" s="11" t="s">
        <v>3704</v>
      </c>
      <c r="Z39" s="18">
        <f>IF(ISERROR(SEARCH("NDD",Tabella1[[#This Row],[Bevitore alcolici]],1)),0,1)</f>
        <v>0</v>
      </c>
      <c r="AA39" s="17">
        <f>IF(ISERROR(SEARCH("raro",Tabella1[[#This Row],[Bevitore alcolici]],1)),0,1)</f>
        <v>0</v>
      </c>
      <c r="AB39" s="17">
        <f>IF(ISERROR(SEARCH("saltuariamente",Tabella1[[#This Row],[Bevitore alcolici]],1)),0,1)</f>
        <v>1</v>
      </c>
      <c r="AC39" s="17">
        <f>IF(ISERROR(SEARCH("nega",Tabella1[[#This Row],[Bevitore alcolici]],1)),0,1)</f>
        <v>0</v>
      </c>
      <c r="AD39" s="17">
        <f>IF(ISERROR(SEARCH("potus",Tabella1[[#This Row],[Bevitore alcolici]],1)),0,1)</f>
        <v>0</v>
      </c>
      <c r="AE39" s="11" t="s">
        <v>590</v>
      </c>
      <c r="AF39" s="18"/>
      <c r="AG39" s="18"/>
      <c r="AH39" s="18">
        <v>1</v>
      </c>
      <c r="AI39" s="18"/>
      <c r="AJ39" s="18"/>
      <c r="AK39" s="11" t="s">
        <v>28</v>
      </c>
      <c r="AL39" s="18">
        <f>IF(ISERROR(SEARCH("si",Tabella1[[#This Row],[Patente di guida]],1)),0,1)</f>
        <v>1</v>
      </c>
      <c r="AM39" s="11" t="s">
        <v>3719</v>
      </c>
      <c r="AN39" s="18">
        <f>IF(ISERROR(SEARCH("no",Tabella1[[#This Row],[Ipertensione]],1)),0,1)</f>
        <v>0</v>
      </c>
      <c r="AO39" s="11" t="s">
        <v>382</v>
      </c>
      <c r="AP39" s="18">
        <f>IF(ISERROR(SEARCH("NO",Tabella1[[#This Row],[Cardiopatia ischemica]],1)),1,0)</f>
        <v>0</v>
      </c>
      <c r="AQ39" s="17">
        <f>IF(ISERROR(SEARCH("sconosciuto",Tabella1[[#This Row],[Cardiopatia ischemica]],1)),0,1)</f>
        <v>0</v>
      </c>
      <c r="AR39" s="11" t="s">
        <v>25</v>
      </c>
      <c r="AS39" s="22">
        <f>IF(ISERROR(SEARCH("nega",Tabella1[[#This Row],[Artimie]],1)),0,1)</f>
        <v>1</v>
      </c>
      <c r="AT39" s="11" t="s">
        <v>25</v>
      </c>
      <c r="AU39" s="22">
        <f>IF(ISERROR(SEARCH("nega",Tabella1[[#This Row],[Ipercolesterolemia]],1)),0,1)</f>
        <v>1</v>
      </c>
      <c r="AV39" s="22">
        <f>IF(ISERROR(SEARCH("boh",Tabella1[[#This Row],[Ipercolesterolemia]],1)),0,1)</f>
        <v>0</v>
      </c>
      <c r="AW39" s="11" t="s">
        <v>8</v>
      </c>
      <c r="AX39" s="22">
        <f>IF(ISERROR(SEARCH("Intolleranza",Tabella1[[#This Row],[Diabete]],1)),0,1)</f>
        <v>0</v>
      </c>
      <c r="AY39" s="22">
        <f>IF(ISERROR(SEARCH("si",Tabella1[[#This Row],[Diabete]],1)),0,1)</f>
        <v>0</v>
      </c>
      <c r="AZ39" s="11" t="s">
        <v>8</v>
      </c>
      <c r="BA39" s="18">
        <f>IF(ISERROR(SEARCH("NDD",Tabella1[[#This Row],[Patologia Tiroidea]],1)),0,1)</f>
        <v>0</v>
      </c>
      <c r="BB39" s="22">
        <f>IF(ISERROR(SEARCH("TIROIDITE",Tabella1[[#This Row],[Patologia Tiroidea]],1)),0,1)</f>
        <v>0</v>
      </c>
      <c r="BC39" s="22">
        <f>IF(ISERROR(SEARCH("HASHIMOTO",Tabella1[[#This Row],[Patologia Tiroidea]],1)),0,1)</f>
        <v>0</v>
      </c>
      <c r="BD39" s="22">
        <f>IF(ISERROR(SEARCH("BASEDOW",Tabella1[[#This Row],[Patologia Tiroidea]],1)),0,1)</f>
        <v>0</v>
      </c>
      <c r="BE39" s="22">
        <f>IF(ISERROR(SEARCH("NOD",Tabella1[[#This Row],[Patologia Tiroidea]],1)),0,1)</f>
        <v>0</v>
      </c>
      <c r="BF39" s="22">
        <f>IF(ISERROR(SEARCH("GOZ",Tabella1[[#This Row],[Patologia Tiroidea]],1)),0,1)</f>
        <v>0</v>
      </c>
      <c r="BG39" s="11" t="s">
        <v>549</v>
      </c>
      <c r="BH39" s="18">
        <f>IF(Tabella1[[#This Row],[Obesità]]="no",0,1)</f>
        <v>1</v>
      </c>
      <c r="BI39" s="11" t="s">
        <v>591</v>
      </c>
      <c r="BJ39" s="22">
        <f>IF(ISERROR(SEARCH("nega",Tabella1[[#This Row],[Reflusso gastroesofageo]],1)),1,0)</f>
        <v>1</v>
      </c>
      <c r="BK39" s="11" t="s">
        <v>195</v>
      </c>
      <c r="BL39" s="18">
        <f>IF(ISERROR(SEARCH("NDD",Tabella1[[#This Row],[Patologia respiratoria]],1)),0,1)</f>
        <v>0</v>
      </c>
      <c r="BM39" s="18">
        <f>IF(ISERROR(SEARCH("asma",Tabella1[[#This Row],[Patologia respiratoria]],1)),0,1)</f>
        <v>0</v>
      </c>
      <c r="BN39" s="18">
        <f>IF(ISERROR(SEARCH("BPCO",Tabella1[[#This Row],[Patologia respiratoria]],1)),0,1)</f>
        <v>0</v>
      </c>
      <c r="BO39" s="18">
        <f>IF(ISERROR(SEARCH("BRONCOPOLMONITE",Tabella1[[#This Row],[Patologia respiratoria]],1)),0,1)</f>
        <v>0</v>
      </c>
      <c r="BP39" s="18">
        <f>IF(ISERROR(SEARCH("ASMA, OSAS",Tabella1[[#This Row],[Patologia respiratoria]],1)),0,1)</f>
        <v>0</v>
      </c>
      <c r="BQ39" s="18">
        <f>IF(ISERROR(SEARCH("OSAS e BPCO",Tabella1[[#This Row],[Patologia respiratoria]],1)),0,1)</f>
        <v>0</v>
      </c>
      <c r="BR39" s="18">
        <f>IF(ISERROR(SEARCH("OSAS",Tabella1[[#This Row],[Patologia respiratoria]],1)),0,1)</f>
        <v>0</v>
      </c>
      <c r="BS39" s="11"/>
      <c r="BT39" s="11" t="s">
        <v>592</v>
      </c>
      <c r="BU39" s="11" t="s">
        <v>8</v>
      </c>
      <c r="BV39" s="18">
        <f>IF(ISERROR(SEARCH("ndd",Tabella1[[#This Row],[O2 terapia]],1)),0,1)</f>
        <v>0</v>
      </c>
      <c r="BW39" s="17">
        <v>0</v>
      </c>
      <c r="BX39" s="11"/>
      <c r="BY39" s="11" t="s">
        <v>309</v>
      </c>
      <c r="BZ39" s="18">
        <v>0</v>
      </c>
      <c r="CA39" s="11" t="s">
        <v>593</v>
      </c>
      <c r="CB39" s="17">
        <v>1</v>
      </c>
      <c r="CC39" s="11" t="s">
        <v>25</v>
      </c>
      <c r="CD39" s="18">
        <v>0</v>
      </c>
      <c r="CE39" s="11" t="s">
        <v>25</v>
      </c>
      <c r="CF39" s="18">
        <v>0</v>
      </c>
      <c r="CG39" s="11" t="s">
        <v>8</v>
      </c>
      <c r="CH39" s="17">
        <v>0</v>
      </c>
      <c r="CI39" s="11" t="s">
        <v>8</v>
      </c>
      <c r="CJ39" s="18">
        <v>0</v>
      </c>
      <c r="CK39" s="11" t="s">
        <v>594</v>
      </c>
      <c r="CL39" s="17">
        <v>1</v>
      </c>
      <c r="CM39" s="11" t="s">
        <v>309</v>
      </c>
      <c r="CN39" s="17">
        <v>0</v>
      </c>
      <c r="CO39" s="11" t="s">
        <v>309</v>
      </c>
      <c r="CP39" s="18">
        <v>0</v>
      </c>
      <c r="CQ39" s="11" t="s">
        <v>35</v>
      </c>
      <c r="CR39" s="11" t="s">
        <v>183</v>
      </c>
      <c r="CS39" s="11" t="s">
        <v>71</v>
      </c>
      <c r="CT39" s="11" t="s">
        <v>595</v>
      </c>
      <c r="CU39" s="11" t="s">
        <v>596</v>
      </c>
      <c r="CV39" s="12" t="s">
        <v>597</v>
      </c>
    </row>
    <row r="40" spans="1:100" ht="270.75">
      <c r="A40" s="1">
        <f t="shared" si="0"/>
        <v>39</v>
      </c>
      <c r="B40" s="5">
        <v>266</v>
      </c>
      <c r="C40" s="6">
        <v>44539</v>
      </c>
      <c r="D40" s="7" t="s">
        <v>598</v>
      </c>
      <c r="E40" s="6">
        <v>18377</v>
      </c>
      <c r="F40" s="29">
        <f ca="1">_xlfn.DAYS(NOW(),Tabella1[[#This Row],[Data di Nascita]])/365.25</f>
        <v>75.279945242984255</v>
      </c>
      <c r="G40" s="7" t="s">
        <v>599</v>
      </c>
      <c r="H40" s="7" t="s">
        <v>600</v>
      </c>
      <c r="I40" s="7" t="s">
        <v>210</v>
      </c>
      <c r="J40" s="7" t="s">
        <v>601</v>
      </c>
      <c r="K40" s="7" t="s">
        <v>602</v>
      </c>
      <c r="L40" s="17">
        <f>IF(ISERROR(SEARCH("EX",Tabella1[[#This Row],[Attività lavorativa]],1)),0,1)</f>
        <v>1</v>
      </c>
      <c r="M40" s="18">
        <v>1</v>
      </c>
      <c r="N40" s="17"/>
      <c r="O40" s="17"/>
      <c r="P40" s="17"/>
      <c r="Q40" s="17"/>
      <c r="R40" s="17"/>
      <c r="S40" s="17"/>
      <c r="T40" s="17">
        <f>IF(ISERROR(SEARCH("NDD",Tabella1[[#This Row],[Attività lavorativa]],1)),0,1)</f>
        <v>0</v>
      </c>
      <c r="U40" s="7" t="s">
        <v>8</v>
      </c>
      <c r="V40" s="22"/>
      <c r="W40" s="22">
        <f>IF(ISERROR(SEARCH("ex",Tabella1[[#This Row],[Fumo]],1)),0,1)</f>
        <v>0</v>
      </c>
      <c r="X40" s="22">
        <f>IF(ISERROR(SEARCH("no",Tabella1[[#This Row],[Fumo]],1)),0,1)</f>
        <v>1</v>
      </c>
      <c r="Y40" s="7" t="s">
        <v>603</v>
      </c>
      <c r="Z40" s="17">
        <f>IF(ISERROR(SEARCH("NDD",Tabella1[[#This Row],[Bevitore alcolici]],1)),0,1)</f>
        <v>0</v>
      </c>
      <c r="AA40" s="17">
        <f>IF(ISERROR(SEARCH("raro",Tabella1[[#This Row],[Bevitore alcolici]],1)),0,1)</f>
        <v>0</v>
      </c>
      <c r="AB40" s="17">
        <f>IF(ISERROR(SEARCH("saltuariamente",Tabella1[[#This Row],[Bevitore alcolici]],1)),0,1)</f>
        <v>0</v>
      </c>
      <c r="AC40" s="17">
        <f>IF(ISERROR(SEARCH("nega",Tabella1[[#This Row],[Bevitore alcolici]],1)),0,1)</f>
        <v>0</v>
      </c>
      <c r="AD40" s="17">
        <f>IF(ISERROR(SEARCH("potus",Tabella1[[#This Row],[Bevitore alcolici]],1)),0,1)</f>
        <v>0</v>
      </c>
      <c r="AE40" s="7" t="s">
        <v>657</v>
      </c>
      <c r="AF40" s="17"/>
      <c r="AG40" s="17"/>
      <c r="AH40" s="17"/>
      <c r="AI40" s="17"/>
      <c r="AJ40" s="17"/>
      <c r="AK40" s="7" t="s">
        <v>8</v>
      </c>
      <c r="AL40" s="17">
        <f>IF(ISERROR(SEARCH("si",Tabella1[[#This Row],[Patente di guida]],1)),0,1)</f>
        <v>0</v>
      </c>
      <c r="AM40" s="7" t="s">
        <v>8</v>
      </c>
      <c r="AN40" s="17">
        <f>IF(ISERROR(SEARCH("no",Tabella1[[#This Row],[Ipertensione]],1)),0,1)</f>
        <v>1</v>
      </c>
      <c r="AO40" s="7" t="s">
        <v>382</v>
      </c>
      <c r="AP40" s="18">
        <f>IF(ISERROR(SEARCH("NO",Tabella1[[#This Row],[Cardiopatia ischemica]],1)),1,0)</f>
        <v>0</v>
      </c>
      <c r="AQ40" s="17">
        <f>IF(ISERROR(SEARCH("sconosciuto",Tabella1[[#This Row],[Cardiopatia ischemica]],1)),0,1)</f>
        <v>0</v>
      </c>
      <c r="AR40" s="7" t="s">
        <v>25</v>
      </c>
      <c r="AS40" s="22">
        <f>IF(ISERROR(SEARCH("nega",Tabella1[[#This Row],[Artimie]],1)),0,1)</f>
        <v>1</v>
      </c>
      <c r="AT40" s="7" t="s">
        <v>604</v>
      </c>
      <c r="AU40" s="22">
        <f>IF(ISERROR(SEARCH("nega",Tabella1[[#This Row],[Ipercolesterolemia]],1)),0,1)</f>
        <v>0</v>
      </c>
      <c r="AV40" s="22">
        <f>IF(ISERROR(SEARCH("boh",Tabella1[[#This Row],[Ipercolesterolemia]],1)),0,1)</f>
        <v>0</v>
      </c>
      <c r="AW40" s="7" t="s">
        <v>309</v>
      </c>
      <c r="AX40" s="22">
        <f>IF(ISERROR(SEARCH("Intolleranza",Tabella1[[#This Row],[Diabete]],1)),0,1)</f>
        <v>0</v>
      </c>
      <c r="AY40" s="22">
        <f>IF(ISERROR(SEARCH("si",Tabella1[[#This Row],[Diabete]],1)),0,1)</f>
        <v>0</v>
      </c>
      <c r="AZ40" s="7" t="s">
        <v>309</v>
      </c>
      <c r="BA40" s="17">
        <f>IF(ISERROR(SEARCH("NDD",Tabella1[[#This Row],[Patologia Tiroidea]],1)),0,1)</f>
        <v>0</v>
      </c>
      <c r="BB40" s="22">
        <f>IF(ISERROR(SEARCH("TIROIDITE",Tabella1[[#This Row],[Patologia Tiroidea]],1)),0,1)</f>
        <v>0</v>
      </c>
      <c r="BC40" s="22">
        <f>IF(ISERROR(SEARCH("HASHIMOTO",Tabella1[[#This Row],[Patologia Tiroidea]],1)),0,1)</f>
        <v>0</v>
      </c>
      <c r="BD40" s="22">
        <f>IF(ISERROR(SEARCH("BASEDOW",Tabella1[[#This Row],[Patologia Tiroidea]],1)),0,1)</f>
        <v>0</v>
      </c>
      <c r="BE40" s="22">
        <f>IF(ISERROR(SEARCH("NOD",Tabella1[[#This Row],[Patologia Tiroidea]],1)),0,1)</f>
        <v>0</v>
      </c>
      <c r="BF40" s="22">
        <f>IF(ISERROR(SEARCH("GOZ",Tabella1[[#This Row],[Patologia Tiroidea]],1)),0,1)</f>
        <v>0</v>
      </c>
      <c r="BG40" s="7" t="s">
        <v>517</v>
      </c>
      <c r="BH40" s="17">
        <f>IF(Tabella1[[#This Row],[Obesità]]="no",0,1)</f>
        <v>1</v>
      </c>
      <c r="BI40" s="7" t="s">
        <v>605</v>
      </c>
      <c r="BJ40" s="22">
        <f>IF(ISERROR(SEARCH("nega",Tabella1[[#This Row],[Reflusso gastroesofageo]],1)),1,0)</f>
        <v>1</v>
      </c>
      <c r="BK40" s="7" t="s">
        <v>309</v>
      </c>
      <c r="BL40" s="17">
        <f>IF(ISERROR(SEARCH("NDD",Tabella1[[#This Row],[Patologia respiratoria]],1)),0,1)</f>
        <v>0</v>
      </c>
      <c r="BM40" s="17">
        <f>IF(ISERROR(SEARCH("asma",Tabella1[[#This Row],[Patologia respiratoria]],1)),0,1)</f>
        <v>0</v>
      </c>
      <c r="BN40" s="17">
        <f>IF(ISERROR(SEARCH("BPCO",Tabella1[[#This Row],[Patologia respiratoria]],1)),0,1)</f>
        <v>0</v>
      </c>
      <c r="BO40" s="17">
        <f>IF(ISERROR(SEARCH("BRONCOPOLMONITE",Tabella1[[#This Row],[Patologia respiratoria]],1)),0,1)</f>
        <v>0</v>
      </c>
      <c r="BP40" s="17">
        <f>IF(ISERROR(SEARCH("ASMA, OSAS",Tabella1[[#This Row],[Patologia respiratoria]],1)),0,1)</f>
        <v>0</v>
      </c>
      <c r="BQ40" s="17">
        <f>IF(ISERROR(SEARCH("OSAS e BPCO",Tabella1[[#This Row],[Patologia respiratoria]],1)),0,1)</f>
        <v>0</v>
      </c>
      <c r="BR40" s="17">
        <f>IF(ISERROR(SEARCH("OSAS",Tabella1[[#This Row],[Patologia respiratoria]],1)),0,1)</f>
        <v>0</v>
      </c>
      <c r="BS40" s="7" t="s">
        <v>606</v>
      </c>
      <c r="BT40" s="7" t="s">
        <v>607</v>
      </c>
      <c r="BU40" s="7" t="s">
        <v>8</v>
      </c>
      <c r="BV40" s="17">
        <f>IF(ISERROR(SEARCH("ndd",Tabella1[[#This Row],[O2 terapia]],1)),0,1)</f>
        <v>0</v>
      </c>
      <c r="BW40" s="17">
        <v>0</v>
      </c>
      <c r="BX40" s="7"/>
      <c r="BY40" s="7" t="s">
        <v>608</v>
      </c>
      <c r="BZ40" s="17">
        <v>1</v>
      </c>
      <c r="CA40" s="7" t="s">
        <v>609</v>
      </c>
      <c r="CB40" s="17">
        <v>1</v>
      </c>
      <c r="CC40" s="7" t="s">
        <v>610</v>
      </c>
      <c r="CD40" s="17">
        <v>1</v>
      </c>
      <c r="CE40" s="7" t="s">
        <v>309</v>
      </c>
      <c r="CF40" s="18">
        <v>0</v>
      </c>
      <c r="CG40" s="7" t="s">
        <v>25</v>
      </c>
      <c r="CH40" s="17">
        <v>0</v>
      </c>
      <c r="CI40" s="7" t="s">
        <v>516</v>
      </c>
      <c r="CJ40" s="17">
        <v>1</v>
      </c>
      <c r="CK40" s="7" t="s">
        <v>611</v>
      </c>
      <c r="CL40" s="17">
        <v>1</v>
      </c>
      <c r="CM40" s="7" t="s">
        <v>612</v>
      </c>
      <c r="CN40" s="17">
        <v>1</v>
      </c>
      <c r="CO40" s="7" t="s">
        <v>309</v>
      </c>
      <c r="CP40" s="18">
        <v>0</v>
      </c>
      <c r="CQ40" s="7" t="s">
        <v>69</v>
      </c>
      <c r="CR40" s="7" t="s">
        <v>318</v>
      </c>
      <c r="CS40" s="7" t="s">
        <v>71</v>
      </c>
      <c r="CT40" s="7" t="s">
        <v>389</v>
      </c>
      <c r="CU40" s="7" t="s">
        <v>613</v>
      </c>
      <c r="CV40" s="8" t="s">
        <v>614</v>
      </c>
    </row>
    <row r="41" spans="1:100" ht="285">
      <c r="A41" s="1">
        <f t="shared" si="0"/>
        <v>40</v>
      </c>
      <c r="B41" s="9">
        <v>273</v>
      </c>
      <c r="C41" s="10">
        <v>44545</v>
      </c>
      <c r="D41" s="11" t="s">
        <v>615</v>
      </c>
      <c r="E41" s="10">
        <v>17774</v>
      </c>
      <c r="F41" s="29">
        <f ca="1">_xlfn.DAYS(NOW(),Tabella1[[#This Row],[Data di Nascita]])/365.25</f>
        <v>76.930869267624914</v>
      </c>
      <c r="G41" s="11" t="s">
        <v>616</v>
      </c>
      <c r="H41" s="11" t="s">
        <v>617</v>
      </c>
      <c r="I41" s="11" t="s">
        <v>575</v>
      </c>
      <c r="J41" s="11" t="s">
        <v>618</v>
      </c>
      <c r="K41" s="11" t="s">
        <v>286</v>
      </c>
      <c r="L41" s="18">
        <f>IF(ISERROR(SEARCH("EX",Tabella1[[#This Row],[Attività lavorativa]],1)),0,1)</f>
        <v>0</v>
      </c>
      <c r="M41" s="18">
        <v>1</v>
      </c>
      <c r="N41" s="18"/>
      <c r="O41" s="18"/>
      <c r="P41" s="18"/>
      <c r="Q41" s="18"/>
      <c r="R41" s="18"/>
      <c r="S41" s="18"/>
      <c r="T41" s="17">
        <f>IF(ISERROR(SEARCH("NDD",Tabella1[[#This Row],[Attività lavorativa]],1)),0,1)</f>
        <v>0</v>
      </c>
      <c r="U41" s="11" t="s">
        <v>619</v>
      </c>
      <c r="V41" s="22">
        <v>100</v>
      </c>
      <c r="W41" s="22">
        <f>IF(ISERROR(SEARCH("ex",Tabella1[[#This Row],[Fumo]],1)),0,1)</f>
        <v>0</v>
      </c>
      <c r="X41" s="22">
        <f>IF(ISERROR(SEARCH("no",Tabella1[[#This Row],[Fumo]],1)),0,1)</f>
        <v>0</v>
      </c>
      <c r="Y41" s="11" t="s">
        <v>620</v>
      </c>
      <c r="Z41" s="18">
        <f>IF(ISERROR(SEARCH("NDD",Tabella1[[#This Row],[Bevitore alcolici]],1)),0,1)</f>
        <v>0</v>
      </c>
      <c r="AA41" s="17">
        <f>IF(ISERROR(SEARCH("raro",Tabella1[[#This Row],[Bevitore alcolici]],1)),0,1)</f>
        <v>0</v>
      </c>
      <c r="AB41" s="17">
        <f>IF(ISERROR(SEARCH("saltuariamente",Tabella1[[#This Row],[Bevitore alcolici]],1)),0,1)</f>
        <v>0</v>
      </c>
      <c r="AC41" s="17">
        <f>IF(ISERROR(SEARCH("nega",Tabella1[[#This Row],[Bevitore alcolici]],1)),0,1)</f>
        <v>0</v>
      </c>
      <c r="AD41" s="17">
        <f>IF(ISERROR(SEARCH("potus",Tabella1[[#This Row],[Bevitore alcolici]],1)),0,1)</f>
        <v>0</v>
      </c>
      <c r="AE41" s="11" t="s">
        <v>657</v>
      </c>
      <c r="AF41" s="18"/>
      <c r="AG41" s="18"/>
      <c r="AH41" s="18"/>
      <c r="AI41" s="18"/>
      <c r="AJ41" s="18"/>
      <c r="AK41" s="11" t="s">
        <v>28</v>
      </c>
      <c r="AL41" s="18">
        <f>IF(ISERROR(SEARCH("si",Tabella1[[#This Row],[Patente di guida]],1)),0,1)</f>
        <v>1</v>
      </c>
      <c r="AM41" s="11" t="s">
        <v>195</v>
      </c>
      <c r="AN41" s="18">
        <f>IF(ISERROR(SEARCH("no",Tabella1[[#This Row],[Ipertensione]],1)),0,1)</f>
        <v>1</v>
      </c>
      <c r="AO41" s="11" t="s">
        <v>382</v>
      </c>
      <c r="AP41" s="18">
        <f>IF(ISERROR(SEARCH("NO",Tabella1[[#This Row],[Cardiopatia ischemica]],1)),1,0)</f>
        <v>0</v>
      </c>
      <c r="AQ41" s="17">
        <f>IF(ISERROR(SEARCH("sconosciuto",Tabella1[[#This Row],[Cardiopatia ischemica]],1)),0,1)</f>
        <v>0</v>
      </c>
      <c r="AR41" s="11" t="s">
        <v>309</v>
      </c>
      <c r="AS41" s="22">
        <f>IF(ISERROR(SEARCH("nega",Tabella1[[#This Row],[Artimie]],1)),0,1)</f>
        <v>1</v>
      </c>
      <c r="AT41" s="11" t="s">
        <v>25</v>
      </c>
      <c r="AU41" s="22">
        <f>IF(ISERROR(SEARCH("nega",Tabella1[[#This Row],[Ipercolesterolemia]],1)),0,1)</f>
        <v>1</v>
      </c>
      <c r="AV41" s="22">
        <f>IF(ISERROR(SEARCH("boh",Tabella1[[#This Row],[Ipercolesterolemia]],1)),0,1)</f>
        <v>0</v>
      </c>
      <c r="AW41" s="11" t="s">
        <v>3765</v>
      </c>
      <c r="AX41" s="22">
        <f>IF(ISERROR(SEARCH("Intolleranza",Tabella1[[#This Row],[Diabete]],1)),0,1)</f>
        <v>0</v>
      </c>
      <c r="AY41" s="22">
        <f>IF(ISERROR(SEARCH("si",Tabella1[[#This Row],[Diabete]],1)),0,1)</f>
        <v>1</v>
      </c>
      <c r="AZ41" s="11" t="s">
        <v>25</v>
      </c>
      <c r="BA41" s="18">
        <f>IF(ISERROR(SEARCH("NDD",Tabella1[[#This Row],[Patologia Tiroidea]],1)),0,1)</f>
        <v>0</v>
      </c>
      <c r="BB41" s="22">
        <f>IF(ISERROR(SEARCH("TIROIDITE",Tabella1[[#This Row],[Patologia Tiroidea]],1)),0,1)</f>
        <v>0</v>
      </c>
      <c r="BC41" s="22">
        <f>IF(ISERROR(SEARCH("HASHIMOTO",Tabella1[[#This Row],[Patologia Tiroidea]],1)),0,1)</f>
        <v>0</v>
      </c>
      <c r="BD41" s="22">
        <f>IF(ISERROR(SEARCH("BASEDOW",Tabella1[[#This Row],[Patologia Tiroidea]],1)),0,1)</f>
        <v>0</v>
      </c>
      <c r="BE41" s="22">
        <f>IF(ISERROR(SEARCH("NOD",Tabella1[[#This Row],[Patologia Tiroidea]],1)),0,1)</f>
        <v>0</v>
      </c>
      <c r="BF41" s="22">
        <f>IF(ISERROR(SEARCH("GOZ",Tabella1[[#This Row],[Patologia Tiroidea]],1)),0,1)</f>
        <v>0</v>
      </c>
      <c r="BG41" s="11" t="s">
        <v>517</v>
      </c>
      <c r="BH41" s="18">
        <f>IF(Tabella1[[#This Row],[Obesità]]="no",0,1)</f>
        <v>1</v>
      </c>
      <c r="BI41" s="11" t="s">
        <v>621</v>
      </c>
      <c r="BJ41" s="22">
        <f>IF(ISERROR(SEARCH("nega",Tabella1[[#This Row],[Reflusso gastroesofageo]],1)),1,0)</f>
        <v>0</v>
      </c>
      <c r="BK41" s="11" t="s">
        <v>25</v>
      </c>
      <c r="BL41" s="18">
        <f>IF(ISERROR(SEARCH("NDD",Tabella1[[#This Row],[Patologia respiratoria]],1)),0,1)</f>
        <v>0</v>
      </c>
      <c r="BM41" s="18">
        <f>IF(ISERROR(SEARCH("asma",Tabella1[[#This Row],[Patologia respiratoria]],1)),0,1)</f>
        <v>0</v>
      </c>
      <c r="BN41" s="18">
        <f>IF(ISERROR(SEARCH("BPCO",Tabella1[[#This Row],[Patologia respiratoria]],1)),0,1)</f>
        <v>0</v>
      </c>
      <c r="BO41" s="18">
        <f>IF(ISERROR(SEARCH("BRONCOPOLMONITE",Tabella1[[#This Row],[Patologia respiratoria]],1)),0,1)</f>
        <v>0</v>
      </c>
      <c r="BP41" s="18">
        <f>IF(ISERROR(SEARCH("ASMA, OSAS",Tabella1[[#This Row],[Patologia respiratoria]],1)),0,1)</f>
        <v>0</v>
      </c>
      <c r="BQ41" s="18">
        <f>IF(ISERROR(SEARCH("OSAS e BPCO",Tabella1[[#This Row],[Patologia respiratoria]],1)),0,1)</f>
        <v>0</v>
      </c>
      <c r="BR41" s="18">
        <f>IF(ISERROR(SEARCH("OSAS",Tabella1[[#This Row],[Patologia respiratoria]],1)),0,1)</f>
        <v>0</v>
      </c>
      <c r="BS41" s="11"/>
      <c r="BT41" s="11" t="s">
        <v>622</v>
      </c>
      <c r="BU41" s="11" t="s">
        <v>8</v>
      </c>
      <c r="BV41" s="18">
        <f>IF(ISERROR(SEARCH("ndd",Tabella1[[#This Row],[O2 terapia]],1)),0,1)</f>
        <v>0</v>
      </c>
      <c r="BW41" s="17">
        <v>0</v>
      </c>
      <c r="BX41" s="11"/>
      <c r="BY41" s="11" t="s">
        <v>25</v>
      </c>
      <c r="BZ41" s="18">
        <v>0</v>
      </c>
      <c r="CA41" s="11" t="s">
        <v>25</v>
      </c>
      <c r="CB41" s="17">
        <v>0</v>
      </c>
      <c r="CC41" s="11" t="s">
        <v>25</v>
      </c>
      <c r="CD41" s="18">
        <v>0</v>
      </c>
      <c r="CE41" s="11" t="s">
        <v>25</v>
      </c>
      <c r="CF41" s="18">
        <v>0</v>
      </c>
      <c r="CG41" s="11" t="s">
        <v>25</v>
      </c>
      <c r="CH41" s="17">
        <v>0</v>
      </c>
      <c r="CI41" s="11" t="s">
        <v>25</v>
      </c>
      <c r="CJ41" s="18">
        <v>0</v>
      </c>
      <c r="CK41" s="11" t="s">
        <v>25</v>
      </c>
      <c r="CL41" s="17">
        <v>0</v>
      </c>
      <c r="CM41" s="11" t="s">
        <v>25</v>
      </c>
      <c r="CN41" s="17">
        <v>0</v>
      </c>
      <c r="CO41" s="11" t="s">
        <v>25</v>
      </c>
      <c r="CP41" s="18">
        <v>0</v>
      </c>
      <c r="CQ41" s="11" t="s">
        <v>13</v>
      </c>
      <c r="CR41" s="11" t="s">
        <v>318</v>
      </c>
      <c r="CS41" s="11" t="s">
        <v>219</v>
      </c>
      <c r="CT41" s="11" t="s">
        <v>370</v>
      </c>
      <c r="CU41" s="11" t="s">
        <v>623</v>
      </c>
      <c r="CV41" s="12" t="s">
        <v>624</v>
      </c>
    </row>
    <row r="42" spans="1:100" ht="409.5">
      <c r="A42" s="1">
        <f t="shared" si="0"/>
        <v>41</v>
      </c>
      <c r="B42" s="5">
        <v>282</v>
      </c>
      <c r="C42" s="6">
        <v>44553</v>
      </c>
      <c r="D42" s="7" t="s">
        <v>625</v>
      </c>
      <c r="E42" s="6">
        <v>28808</v>
      </c>
      <c r="F42" s="29">
        <f ca="1">_xlfn.DAYS(NOW(),Tabella1[[#This Row],[Data di Nascita]])/365.25</f>
        <v>46.721423682409309</v>
      </c>
      <c r="G42" s="7" t="s">
        <v>626</v>
      </c>
      <c r="H42" s="7" t="s">
        <v>627</v>
      </c>
      <c r="I42" s="7" t="s">
        <v>628</v>
      </c>
      <c r="J42" s="7" t="s">
        <v>618</v>
      </c>
      <c r="K42" s="7" t="s">
        <v>94</v>
      </c>
      <c r="L42" s="17">
        <f>IF(ISERROR(SEARCH("EX",Tabella1[[#This Row],[Attività lavorativa]],1)),0,1)</f>
        <v>0</v>
      </c>
      <c r="M42" s="17"/>
      <c r="N42" s="17"/>
      <c r="O42" s="17"/>
      <c r="P42" s="17"/>
      <c r="Q42" s="17"/>
      <c r="R42" s="17"/>
      <c r="S42" s="17"/>
      <c r="T42" s="17">
        <f>IF(ISERROR(SEARCH("NDD",Tabella1[[#This Row],[Attività lavorativa]],1)),0,1)</f>
        <v>0</v>
      </c>
      <c r="U42" s="7" t="s">
        <v>629</v>
      </c>
      <c r="V42" s="22">
        <v>18</v>
      </c>
      <c r="W42" s="22">
        <f>IF(ISERROR(SEARCH("ex",Tabella1[[#This Row],[Fumo]],1)),0,1)</f>
        <v>1</v>
      </c>
      <c r="X42" s="22">
        <f>IF(ISERROR(SEARCH("no",Tabella1[[#This Row],[Fumo]],1)),0,1)</f>
        <v>0</v>
      </c>
      <c r="Y42" s="7" t="s">
        <v>3708</v>
      </c>
      <c r="Z42" s="17">
        <f>IF(ISERROR(SEARCH("NDD",Tabella1[[#This Row],[Bevitore alcolici]],1)),0,1)</f>
        <v>0</v>
      </c>
      <c r="AA42" s="17">
        <f>IF(ISERROR(SEARCH("raro",Tabella1[[#This Row],[Bevitore alcolici]],1)),0,1)</f>
        <v>0</v>
      </c>
      <c r="AB42" s="17">
        <f>IF(ISERROR(SEARCH("saltuariamente",Tabella1[[#This Row],[Bevitore alcolici]],1)),0,1)</f>
        <v>1</v>
      </c>
      <c r="AC42" s="17">
        <f>IF(ISERROR(SEARCH("nega",Tabella1[[#This Row],[Bevitore alcolici]],1)),0,1)</f>
        <v>0</v>
      </c>
      <c r="AD42" s="17">
        <f>IF(ISERROR(SEARCH("potus",Tabella1[[#This Row],[Bevitore alcolici]],1)),0,1)</f>
        <v>1</v>
      </c>
      <c r="AE42" s="7" t="s">
        <v>630</v>
      </c>
      <c r="AF42" s="17"/>
      <c r="AG42" s="18">
        <v>1</v>
      </c>
      <c r="AH42" s="18"/>
      <c r="AI42" s="18"/>
      <c r="AJ42" s="18"/>
      <c r="AK42" s="7" t="s">
        <v>28</v>
      </c>
      <c r="AL42" s="17">
        <f>IF(ISERROR(SEARCH("si",Tabella1[[#This Row],[Patente di guida]],1)),0,1)</f>
        <v>1</v>
      </c>
      <c r="AM42" s="7" t="s">
        <v>3720</v>
      </c>
      <c r="AN42" s="17">
        <f>IF(ISERROR(SEARCH("no",Tabella1[[#This Row],[Ipertensione]],1)),0,1)</f>
        <v>0</v>
      </c>
      <c r="AO42" s="7" t="s">
        <v>382</v>
      </c>
      <c r="AP42" s="18">
        <f>IF(ISERROR(SEARCH("NO",Tabella1[[#This Row],[Cardiopatia ischemica]],1)),1,0)</f>
        <v>0</v>
      </c>
      <c r="AQ42" s="17">
        <f>IF(ISERROR(SEARCH("sconosciuto",Tabella1[[#This Row],[Cardiopatia ischemica]],1)),0,1)</f>
        <v>0</v>
      </c>
      <c r="AR42" s="7" t="s">
        <v>25</v>
      </c>
      <c r="AS42" s="22">
        <f>IF(ISERROR(SEARCH("nega",Tabella1[[#This Row],[Artimie]],1)),0,1)</f>
        <v>1</v>
      </c>
      <c r="AT42" s="7" t="s">
        <v>25</v>
      </c>
      <c r="AU42" s="22">
        <f>IF(ISERROR(SEARCH("nega",Tabella1[[#This Row],[Ipercolesterolemia]],1)),0,1)</f>
        <v>1</v>
      </c>
      <c r="AV42" s="22">
        <f>IF(ISERROR(SEARCH("boh",Tabella1[[#This Row],[Ipercolesterolemia]],1)),0,1)</f>
        <v>0</v>
      </c>
      <c r="AW42" s="7" t="s">
        <v>25</v>
      </c>
      <c r="AX42" s="22">
        <f>IF(ISERROR(SEARCH("Intolleranza",Tabella1[[#This Row],[Diabete]],1)),0,1)</f>
        <v>0</v>
      </c>
      <c r="AY42" s="22">
        <f>IF(ISERROR(SEARCH("si",Tabella1[[#This Row],[Diabete]],1)),0,1)</f>
        <v>0</v>
      </c>
      <c r="AZ42" s="7" t="s">
        <v>25</v>
      </c>
      <c r="BA42" s="17">
        <f>IF(ISERROR(SEARCH("NDD",Tabella1[[#This Row],[Patologia Tiroidea]],1)),0,1)</f>
        <v>0</v>
      </c>
      <c r="BB42" s="22">
        <f>IF(ISERROR(SEARCH("TIROIDITE",Tabella1[[#This Row],[Patologia Tiroidea]],1)),0,1)</f>
        <v>0</v>
      </c>
      <c r="BC42" s="22">
        <f>IF(ISERROR(SEARCH("HASHIMOTO",Tabella1[[#This Row],[Patologia Tiroidea]],1)),0,1)</f>
        <v>0</v>
      </c>
      <c r="BD42" s="22">
        <f>IF(ISERROR(SEARCH("BASEDOW",Tabella1[[#This Row],[Patologia Tiroidea]],1)),0,1)</f>
        <v>0</v>
      </c>
      <c r="BE42" s="22">
        <f>IF(ISERROR(SEARCH("NOD",Tabella1[[#This Row],[Patologia Tiroidea]],1)),0,1)</f>
        <v>0</v>
      </c>
      <c r="BF42" s="22">
        <f>IF(ISERROR(SEARCH("GOZ",Tabella1[[#This Row],[Patologia Tiroidea]],1)),0,1)</f>
        <v>0</v>
      </c>
      <c r="BG42" s="7" t="s">
        <v>631</v>
      </c>
      <c r="BH42" s="17">
        <f>IF(Tabella1[[#This Row],[Obesità]]="no",0,1)</f>
        <v>1</v>
      </c>
      <c r="BI42" s="7" t="s">
        <v>632</v>
      </c>
      <c r="BJ42" s="22">
        <f>IF(ISERROR(SEARCH("nega",Tabella1[[#This Row],[Reflusso gastroesofageo]],1)),1,0)</f>
        <v>1</v>
      </c>
      <c r="BK42" s="7" t="s">
        <v>3801</v>
      </c>
      <c r="BL42" s="17">
        <f>IF(ISERROR(SEARCH("NDD",Tabella1[[#This Row],[Patologia respiratoria]],1)),0,1)</f>
        <v>0</v>
      </c>
      <c r="BM42" s="17">
        <f>IF(ISERROR(SEARCH("asma",Tabella1[[#This Row],[Patologia respiratoria]],1)),0,1)</f>
        <v>1</v>
      </c>
      <c r="BN42" s="17">
        <f>IF(ISERROR(SEARCH("BPCO",Tabella1[[#This Row],[Patologia respiratoria]],1)),0,1)</f>
        <v>0</v>
      </c>
      <c r="BO42" s="17">
        <f>IF(ISERROR(SEARCH("BRONCOPOLMONITE",Tabella1[[#This Row],[Patologia respiratoria]],1)),0,1)</f>
        <v>0</v>
      </c>
      <c r="BP42" s="17">
        <f>IF(ISERROR(SEARCH("ASMA, OSAS",Tabella1[[#This Row],[Patologia respiratoria]],1)),0,1)</f>
        <v>0</v>
      </c>
      <c r="BQ42" s="17">
        <f>IF(ISERROR(SEARCH("OSAS e BPCO",Tabella1[[#This Row],[Patologia respiratoria]],1)),0,1)</f>
        <v>0</v>
      </c>
      <c r="BR42" s="17">
        <f>IF(ISERROR(SEARCH("OSAS",Tabella1[[#This Row],[Patologia respiratoria]],1)),0,1)</f>
        <v>1</v>
      </c>
      <c r="BS42" s="7"/>
      <c r="BT42" s="7" t="s">
        <v>633</v>
      </c>
      <c r="BU42" s="7" t="s">
        <v>8</v>
      </c>
      <c r="BV42" s="17">
        <f>IF(ISERROR(SEARCH("ndd",Tabella1[[#This Row],[O2 terapia]],1)),0,1)</f>
        <v>0</v>
      </c>
      <c r="BW42" s="17">
        <v>0</v>
      </c>
      <c r="BX42" s="7"/>
      <c r="BY42" s="7" t="s">
        <v>634</v>
      </c>
      <c r="BZ42" s="17">
        <v>1</v>
      </c>
      <c r="CA42" s="7" t="s">
        <v>635</v>
      </c>
      <c r="CB42" s="17">
        <v>1</v>
      </c>
      <c r="CC42" s="7" t="s">
        <v>636</v>
      </c>
      <c r="CD42" s="17">
        <v>1</v>
      </c>
      <c r="CE42" s="7" t="s">
        <v>25</v>
      </c>
      <c r="CF42" s="18">
        <v>0</v>
      </c>
      <c r="CG42" s="7" t="s">
        <v>5477</v>
      </c>
      <c r="CH42" s="17"/>
      <c r="CI42" s="7" t="s">
        <v>5477</v>
      </c>
      <c r="CJ42" s="17"/>
      <c r="CK42" s="7" t="s">
        <v>637</v>
      </c>
      <c r="CL42" s="17">
        <v>1</v>
      </c>
      <c r="CM42" s="7" t="s">
        <v>638</v>
      </c>
      <c r="CN42" s="17">
        <v>1</v>
      </c>
      <c r="CO42" s="7" t="s">
        <v>639</v>
      </c>
      <c r="CP42" s="18">
        <v>0</v>
      </c>
      <c r="CQ42" s="7" t="s">
        <v>368</v>
      </c>
      <c r="CR42" s="7" t="s">
        <v>403</v>
      </c>
      <c r="CS42" s="7" t="s">
        <v>71</v>
      </c>
      <c r="CT42" s="7" t="s">
        <v>219</v>
      </c>
      <c r="CU42" s="7" t="s">
        <v>640</v>
      </c>
      <c r="CV42" s="8" t="s">
        <v>641</v>
      </c>
    </row>
    <row r="43" spans="1:100" ht="356.25">
      <c r="A43" s="1">
        <f t="shared" si="0"/>
        <v>42</v>
      </c>
      <c r="B43" s="9">
        <v>283</v>
      </c>
      <c r="C43" s="10">
        <v>44558</v>
      </c>
      <c r="D43" s="11" t="s">
        <v>642</v>
      </c>
      <c r="E43" s="10">
        <v>24915</v>
      </c>
      <c r="F43" s="29">
        <f ca="1">_xlfn.DAYS(NOW(),Tabella1[[#This Row],[Data di Nascita]])/365.25</f>
        <v>57.379876796714576</v>
      </c>
      <c r="G43" s="11" t="s">
        <v>643</v>
      </c>
      <c r="H43" s="11" t="s">
        <v>644</v>
      </c>
      <c r="I43" s="11" t="s">
        <v>439</v>
      </c>
      <c r="J43" s="11" t="s">
        <v>645</v>
      </c>
      <c r="K43" s="11" t="s">
        <v>646</v>
      </c>
      <c r="L43" s="18">
        <f>IF(ISERROR(SEARCH("EX",Tabella1[[#This Row],[Attività lavorativa]],1)),0,1)</f>
        <v>0</v>
      </c>
      <c r="M43" s="18"/>
      <c r="N43" s="18"/>
      <c r="O43" s="18"/>
      <c r="P43" s="18"/>
      <c r="Q43" s="18"/>
      <c r="R43" s="18"/>
      <c r="S43" s="18"/>
      <c r="T43" s="17">
        <f>IF(ISERROR(SEARCH("NDD",Tabella1[[#This Row],[Attività lavorativa]],1)),0,1)</f>
        <v>0</v>
      </c>
      <c r="U43" s="11" t="s">
        <v>8</v>
      </c>
      <c r="V43" s="22"/>
      <c r="W43" s="22">
        <f>IF(ISERROR(SEARCH("ex",Tabella1[[#This Row],[Fumo]],1)),0,1)</f>
        <v>0</v>
      </c>
      <c r="X43" s="22">
        <f>IF(ISERROR(SEARCH("no",Tabella1[[#This Row],[Fumo]],1)),0,1)</f>
        <v>1</v>
      </c>
      <c r="Y43" s="11" t="s">
        <v>309</v>
      </c>
      <c r="Z43" s="18">
        <f>IF(ISERROR(SEARCH("NDD",Tabella1[[#This Row],[Bevitore alcolici]],1)),0,1)</f>
        <v>0</v>
      </c>
      <c r="AA43" s="17">
        <f>IF(ISERROR(SEARCH("raro",Tabella1[[#This Row],[Bevitore alcolici]],1)),0,1)</f>
        <v>0</v>
      </c>
      <c r="AB43" s="17">
        <f>IF(ISERROR(SEARCH("saltuariamente",Tabella1[[#This Row],[Bevitore alcolici]],1)),0,1)</f>
        <v>0</v>
      </c>
      <c r="AC43" s="17">
        <f>IF(ISERROR(SEARCH("nega",Tabella1[[#This Row],[Bevitore alcolici]],1)),0,1)</f>
        <v>1</v>
      </c>
      <c r="AD43" s="17">
        <f>IF(ISERROR(SEARCH("potus",Tabella1[[#This Row],[Bevitore alcolici]],1)),0,1)</f>
        <v>0</v>
      </c>
      <c r="AE43" s="11" t="s">
        <v>657</v>
      </c>
      <c r="AF43" s="18"/>
      <c r="AG43" s="18"/>
      <c r="AH43" s="18"/>
      <c r="AI43" s="18"/>
      <c r="AJ43" s="18"/>
      <c r="AK43" s="11" t="s">
        <v>194</v>
      </c>
      <c r="AL43" s="18">
        <f>IF(ISERROR(SEARCH("si",Tabella1[[#This Row],[Patente di guida]],1)),0,1)</f>
        <v>1</v>
      </c>
      <c r="AM43" s="11" t="s">
        <v>8</v>
      </c>
      <c r="AN43" s="18">
        <f>IF(ISERROR(SEARCH("no",Tabella1[[#This Row],[Ipertensione]],1)),0,1)</f>
        <v>1</v>
      </c>
      <c r="AO43" s="11" t="s">
        <v>382</v>
      </c>
      <c r="AP43" s="18">
        <f>IF(ISERROR(SEARCH("NO",Tabella1[[#This Row],[Cardiopatia ischemica]],1)),1,0)</f>
        <v>0</v>
      </c>
      <c r="AQ43" s="17">
        <f>IF(ISERROR(SEARCH("sconosciuto",Tabella1[[#This Row],[Cardiopatia ischemica]],1)),0,1)</f>
        <v>0</v>
      </c>
      <c r="AR43" s="11" t="s">
        <v>25</v>
      </c>
      <c r="AS43" s="22">
        <f>IF(ISERROR(SEARCH("nega",Tabella1[[#This Row],[Artimie]],1)),0,1)</f>
        <v>1</v>
      </c>
      <c r="AT43" s="11" t="s">
        <v>25</v>
      </c>
      <c r="AU43" s="22">
        <f>IF(ISERROR(SEARCH("nega",Tabella1[[#This Row],[Ipercolesterolemia]],1)),0,1)</f>
        <v>1</v>
      </c>
      <c r="AV43" s="22">
        <f>IF(ISERROR(SEARCH("boh",Tabella1[[#This Row],[Ipercolesterolemia]],1)),0,1)</f>
        <v>0</v>
      </c>
      <c r="AW43" s="11" t="s">
        <v>25</v>
      </c>
      <c r="AX43" s="22">
        <f>IF(ISERROR(SEARCH("Intolleranza",Tabella1[[#This Row],[Diabete]],1)),0,1)</f>
        <v>0</v>
      </c>
      <c r="AY43" s="22">
        <f>IF(ISERROR(SEARCH("si",Tabella1[[#This Row],[Diabete]],1)),0,1)</f>
        <v>0</v>
      </c>
      <c r="AZ43" s="11" t="s">
        <v>25</v>
      </c>
      <c r="BA43" s="18">
        <f>IF(ISERROR(SEARCH("NDD",Tabella1[[#This Row],[Patologia Tiroidea]],1)),0,1)</f>
        <v>0</v>
      </c>
      <c r="BB43" s="22">
        <f>IF(ISERROR(SEARCH("TIROIDITE",Tabella1[[#This Row],[Patologia Tiroidea]],1)),0,1)</f>
        <v>0</v>
      </c>
      <c r="BC43" s="22">
        <f>IF(ISERROR(SEARCH("HASHIMOTO",Tabella1[[#This Row],[Patologia Tiroidea]],1)),0,1)</f>
        <v>0</v>
      </c>
      <c r="BD43" s="22">
        <f>IF(ISERROR(SEARCH("BASEDOW",Tabella1[[#This Row],[Patologia Tiroidea]],1)),0,1)</f>
        <v>0</v>
      </c>
      <c r="BE43" s="22">
        <f>IF(ISERROR(SEARCH("NOD",Tabella1[[#This Row],[Patologia Tiroidea]],1)),0,1)</f>
        <v>0</v>
      </c>
      <c r="BF43" s="22">
        <f>IF(ISERROR(SEARCH("GOZ",Tabella1[[#This Row],[Patologia Tiroidea]],1)),0,1)</f>
        <v>0</v>
      </c>
      <c r="BG43" s="11" t="s">
        <v>8</v>
      </c>
      <c r="BH43" s="18">
        <f>IF(Tabella1[[#This Row],[Obesità]]="no",0,1)</f>
        <v>0</v>
      </c>
      <c r="BI43" s="11" t="s">
        <v>632</v>
      </c>
      <c r="BJ43" s="22">
        <f>IF(ISERROR(SEARCH("nega",Tabella1[[#This Row],[Reflusso gastroesofageo]],1)),1,0)</f>
        <v>1</v>
      </c>
      <c r="BK43" s="11" t="s">
        <v>25</v>
      </c>
      <c r="BL43" s="18">
        <f>IF(ISERROR(SEARCH("NDD",Tabella1[[#This Row],[Patologia respiratoria]],1)),0,1)</f>
        <v>0</v>
      </c>
      <c r="BM43" s="18">
        <f>IF(ISERROR(SEARCH("asma",Tabella1[[#This Row],[Patologia respiratoria]],1)),0,1)</f>
        <v>0</v>
      </c>
      <c r="BN43" s="18">
        <f>IF(ISERROR(SEARCH("BPCO",Tabella1[[#This Row],[Patologia respiratoria]],1)),0,1)</f>
        <v>0</v>
      </c>
      <c r="BO43" s="18">
        <f>IF(ISERROR(SEARCH("BRONCOPOLMONITE",Tabella1[[#This Row],[Patologia respiratoria]],1)),0,1)</f>
        <v>0</v>
      </c>
      <c r="BP43" s="18">
        <f>IF(ISERROR(SEARCH("ASMA, OSAS",Tabella1[[#This Row],[Patologia respiratoria]],1)),0,1)</f>
        <v>0</v>
      </c>
      <c r="BQ43" s="18">
        <f>IF(ISERROR(SEARCH("OSAS e BPCO",Tabella1[[#This Row],[Patologia respiratoria]],1)),0,1)</f>
        <v>0</v>
      </c>
      <c r="BR43" s="18">
        <f>IF(ISERROR(SEARCH("OSAS",Tabella1[[#This Row],[Patologia respiratoria]],1)),0,1)</f>
        <v>0</v>
      </c>
      <c r="BS43" s="11" t="s">
        <v>647</v>
      </c>
      <c r="BT43" s="11" t="s">
        <v>648</v>
      </c>
      <c r="BU43" s="11" t="s">
        <v>8</v>
      </c>
      <c r="BV43" s="18">
        <f>IF(ISERROR(SEARCH("ndd",Tabella1[[#This Row],[O2 terapia]],1)),0,1)</f>
        <v>0</v>
      </c>
      <c r="BW43" s="17">
        <v>0</v>
      </c>
      <c r="BX43" s="11"/>
      <c r="BY43" s="11" t="s">
        <v>25</v>
      </c>
      <c r="BZ43" s="18">
        <v>0</v>
      </c>
      <c r="CA43" s="11" t="s">
        <v>25</v>
      </c>
      <c r="CB43" s="17">
        <v>0</v>
      </c>
      <c r="CC43" s="11" t="s">
        <v>25</v>
      </c>
      <c r="CD43" s="18">
        <v>0</v>
      </c>
      <c r="CE43" s="11" t="s">
        <v>25</v>
      </c>
      <c r="CF43" s="18">
        <v>0</v>
      </c>
      <c r="CG43" s="11" t="s">
        <v>8</v>
      </c>
      <c r="CH43" s="17">
        <v>0</v>
      </c>
      <c r="CI43" s="11" t="s">
        <v>8</v>
      </c>
      <c r="CJ43" s="18">
        <v>0</v>
      </c>
      <c r="CK43" s="11" t="s">
        <v>25</v>
      </c>
      <c r="CL43" s="17">
        <v>0</v>
      </c>
      <c r="CM43" s="11" t="s">
        <v>25</v>
      </c>
      <c r="CN43" s="17">
        <v>0</v>
      </c>
      <c r="CO43" s="11" t="s">
        <v>25</v>
      </c>
      <c r="CP43" s="18">
        <v>0</v>
      </c>
      <c r="CQ43" s="11" t="s">
        <v>85</v>
      </c>
      <c r="CR43" s="11" t="s">
        <v>152</v>
      </c>
      <c r="CS43" s="11" t="s">
        <v>37</v>
      </c>
      <c r="CT43" s="11" t="s">
        <v>389</v>
      </c>
      <c r="CU43" s="11" t="s">
        <v>649</v>
      </c>
      <c r="CV43" s="12" t="s">
        <v>650</v>
      </c>
    </row>
    <row r="44" spans="1:100" ht="85.5">
      <c r="A44" s="1">
        <f t="shared" si="0"/>
        <v>43</v>
      </c>
      <c r="B44" s="5">
        <v>286</v>
      </c>
      <c r="C44" s="6">
        <v>44564</v>
      </c>
      <c r="D44" s="7" t="s">
        <v>651</v>
      </c>
      <c r="E44" s="6">
        <v>24188</v>
      </c>
      <c r="F44" s="29">
        <f ca="1">_xlfn.DAYS(NOW(),Tabella1[[#This Row],[Data di Nascita]])/365.25</f>
        <v>59.370294318959616</v>
      </c>
      <c r="G44" s="7"/>
      <c r="H44" s="7" t="s">
        <v>652</v>
      </c>
      <c r="I44" s="7" t="s">
        <v>653</v>
      </c>
      <c r="J44" s="7" t="s">
        <v>654</v>
      </c>
      <c r="K44" s="7" t="s">
        <v>655</v>
      </c>
      <c r="L44" s="17">
        <f>IF(ISERROR(SEARCH("EX",Tabella1[[#This Row],[Attività lavorativa]],1)),0,1)</f>
        <v>0</v>
      </c>
      <c r="M44" s="17"/>
      <c r="N44" s="17"/>
      <c r="O44" s="17"/>
      <c r="P44" s="17"/>
      <c r="Q44" s="17"/>
      <c r="R44" s="17"/>
      <c r="S44" s="17"/>
      <c r="T44" s="17">
        <f>IF(ISERROR(SEARCH("NDD",Tabella1[[#This Row],[Attività lavorativa]],1)),0,1)</f>
        <v>0</v>
      </c>
      <c r="U44" s="7" t="s">
        <v>382</v>
      </c>
      <c r="V44" s="22"/>
      <c r="W44" s="22">
        <f>IF(ISERROR(SEARCH("ex",Tabella1[[#This Row],[Fumo]],1)),0,1)</f>
        <v>0</v>
      </c>
      <c r="X44" s="22">
        <f>IF(ISERROR(SEARCH("no",Tabella1[[#This Row],[Fumo]],1)),0,1)</f>
        <v>1</v>
      </c>
      <c r="Y44" s="7" t="s">
        <v>25</v>
      </c>
      <c r="Z44" s="17">
        <f>IF(ISERROR(SEARCH("NDD",Tabella1[[#This Row],[Bevitore alcolici]],1)),0,1)</f>
        <v>0</v>
      </c>
      <c r="AA44" s="17">
        <f>IF(ISERROR(SEARCH("raro",Tabella1[[#This Row],[Bevitore alcolici]],1)),0,1)</f>
        <v>0</v>
      </c>
      <c r="AB44" s="17">
        <f>IF(ISERROR(SEARCH("saltuariamente",Tabella1[[#This Row],[Bevitore alcolici]],1)),0,1)</f>
        <v>0</v>
      </c>
      <c r="AC44" s="17">
        <f>IF(ISERROR(SEARCH("nega",Tabella1[[#This Row],[Bevitore alcolici]],1)),0,1)</f>
        <v>1</v>
      </c>
      <c r="AD44" s="17">
        <f>IF(ISERROR(SEARCH("potus",Tabella1[[#This Row],[Bevitore alcolici]],1)),0,1)</f>
        <v>0</v>
      </c>
      <c r="AE44" s="7" t="s">
        <v>656</v>
      </c>
      <c r="AF44" s="17"/>
      <c r="AG44" s="18">
        <v>1</v>
      </c>
      <c r="AH44" s="18"/>
      <c r="AI44" s="18"/>
      <c r="AJ44" s="18"/>
      <c r="AK44" s="7" t="s">
        <v>28</v>
      </c>
      <c r="AL44" s="17">
        <f>IF(ISERROR(SEARCH("si",Tabella1[[#This Row],[Patente di guida]],1)),0,1)</f>
        <v>1</v>
      </c>
      <c r="AM44" s="7" t="s">
        <v>25</v>
      </c>
      <c r="AN44" s="17">
        <f>IF(ISERROR(SEARCH("no",Tabella1[[#This Row],[Ipertensione]],1)),0,1)</f>
        <v>0</v>
      </c>
      <c r="AO44" s="7" t="s">
        <v>382</v>
      </c>
      <c r="AP44" s="18">
        <f>IF(ISERROR(SEARCH("NO",Tabella1[[#This Row],[Cardiopatia ischemica]],1)),1,0)</f>
        <v>0</v>
      </c>
      <c r="AQ44" s="17">
        <f>IF(ISERROR(SEARCH("sconosciuto",Tabella1[[#This Row],[Cardiopatia ischemica]],1)),0,1)</f>
        <v>0</v>
      </c>
      <c r="AR44" s="7" t="s">
        <v>657</v>
      </c>
      <c r="AS44" s="22">
        <f>IF(ISERROR(SEARCH("nega",Tabella1[[#This Row],[Artimie]],1)),0,1)</f>
        <v>1</v>
      </c>
      <c r="AT44" s="7" t="s">
        <v>658</v>
      </c>
      <c r="AU44" s="22">
        <f>IF(ISERROR(SEARCH("nega",Tabella1[[#This Row],[Ipercolesterolemia]],1)),0,1)</f>
        <v>0</v>
      </c>
      <c r="AV44" s="22">
        <f>IF(ISERROR(SEARCH("boh",Tabella1[[#This Row],[Ipercolesterolemia]],1)),0,1)</f>
        <v>0</v>
      </c>
      <c r="AW44" s="7" t="s">
        <v>382</v>
      </c>
      <c r="AX44" s="22">
        <f>IF(ISERROR(SEARCH("Intolleranza",Tabella1[[#This Row],[Diabete]],1)),0,1)</f>
        <v>0</v>
      </c>
      <c r="AY44" s="22">
        <f>IF(ISERROR(SEARCH("si",Tabella1[[#This Row],[Diabete]],1)),0,1)</f>
        <v>0</v>
      </c>
      <c r="AZ44" s="7" t="s">
        <v>382</v>
      </c>
      <c r="BA44" s="17">
        <f>IF(ISERROR(SEARCH("NDD",Tabella1[[#This Row],[Patologia Tiroidea]],1)),0,1)</f>
        <v>0</v>
      </c>
      <c r="BB44" s="22">
        <f>IF(ISERROR(SEARCH("TIROIDITE",Tabella1[[#This Row],[Patologia Tiroidea]],1)),0,1)</f>
        <v>0</v>
      </c>
      <c r="BC44" s="22">
        <f>IF(ISERROR(SEARCH("HASHIMOTO",Tabella1[[#This Row],[Patologia Tiroidea]],1)),0,1)</f>
        <v>0</v>
      </c>
      <c r="BD44" s="22">
        <f>IF(ISERROR(SEARCH("BASEDOW",Tabella1[[#This Row],[Patologia Tiroidea]],1)),0,1)</f>
        <v>0</v>
      </c>
      <c r="BE44" s="22">
        <f>IF(ISERROR(SEARCH("NOD",Tabella1[[#This Row],[Patologia Tiroidea]],1)),0,1)</f>
        <v>0</v>
      </c>
      <c r="BF44" s="22">
        <f>IF(ISERROR(SEARCH("GOZ",Tabella1[[#This Row],[Patologia Tiroidea]],1)),0,1)</f>
        <v>0</v>
      </c>
      <c r="BG44" s="7" t="s">
        <v>8</v>
      </c>
      <c r="BH44" s="17">
        <f>IF(Tabella1[[#This Row],[Obesità]]="no",0,1)</f>
        <v>0</v>
      </c>
      <c r="BI44" s="7" t="s">
        <v>659</v>
      </c>
      <c r="BJ44" s="22">
        <f>IF(ISERROR(SEARCH("nega",Tabella1[[#This Row],[Reflusso gastroesofageo]],1)),1,0)</f>
        <v>1</v>
      </c>
      <c r="BK44" s="7" t="s">
        <v>5477</v>
      </c>
      <c r="BL44" s="17">
        <f>IF(ISERROR(SEARCH("NDD",Tabella1[[#This Row],[Patologia respiratoria]],1)),0,1)</f>
        <v>1</v>
      </c>
      <c r="BM44" s="17">
        <f>IF(ISERROR(SEARCH("asma",Tabella1[[#This Row],[Patologia respiratoria]],1)),0,1)</f>
        <v>0</v>
      </c>
      <c r="BN44" s="17">
        <f>IF(ISERROR(SEARCH("BPCO",Tabella1[[#This Row],[Patologia respiratoria]],1)),0,1)</f>
        <v>0</v>
      </c>
      <c r="BO44" s="17">
        <f>IF(ISERROR(SEARCH("BRONCOPOLMONITE",Tabella1[[#This Row],[Patologia respiratoria]],1)),0,1)</f>
        <v>0</v>
      </c>
      <c r="BP44" s="17">
        <f>IF(ISERROR(SEARCH("ASMA, OSAS",Tabella1[[#This Row],[Patologia respiratoria]],1)),0,1)</f>
        <v>0</v>
      </c>
      <c r="BQ44" s="17">
        <f>IF(ISERROR(SEARCH("OSAS e BPCO",Tabella1[[#This Row],[Patologia respiratoria]],1)),0,1)</f>
        <v>0</v>
      </c>
      <c r="BR44" s="17">
        <f>IF(ISERROR(SEARCH("OSAS",Tabella1[[#This Row],[Patologia respiratoria]],1)),0,1)</f>
        <v>0</v>
      </c>
      <c r="BS44" s="7"/>
      <c r="BT44" s="7"/>
      <c r="BU44" s="7" t="s">
        <v>382</v>
      </c>
      <c r="BV44" s="17">
        <f>IF(ISERROR(SEARCH("ndd",Tabella1[[#This Row],[O2 terapia]],1)),0,1)</f>
        <v>0</v>
      </c>
      <c r="BW44" s="17">
        <v>0</v>
      </c>
      <c r="BX44" s="7"/>
      <c r="BY44" s="7" t="s">
        <v>660</v>
      </c>
      <c r="BZ44" s="17">
        <v>1</v>
      </c>
      <c r="CA44" s="7" t="s">
        <v>8</v>
      </c>
      <c r="CB44" s="17">
        <v>0</v>
      </c>
      <c r="CC44" s="7" t="s">
        <v>661</v>
      </c>
      <c r="CD44" s="17">
        <v>1</v>
      </c>
      <c r="CE44" s="7" t="s">
        <v>8</v>
      </c>
      <c r="CF44" s="18">
        <v>0</v>
      </c>
      <c r="CG44" s="7" t="s">
        <v>5477</v>
      </c>
      <c r="CH44" s="17"/>
      <c r="CI44" s="7" t="s">
        <v>5477</v>
      </c>
      <c r="CJ44" s="17"/>
      <c r="CK44" s="7" t="s">
        <v>8</v>
      </c>
      <c r="CL44" s="17">
        <v>0</v>
      </c>
      <c r="CM44" s="7" t="s">
        <v>662</v>
      </c>
      <c r="CN44" s="17">
        <v>1</v>
      </c>
      <c r="CO44" s="7" t="s">
        <v>351</v>
      </c>
      <c r="CP44" s="17">
        <v>1</v>
      </c>
      <c r="CQ44" s="7" t="s">
        <v>54</v>
      </c>
      <c r="CR44" s="7" t="s">
        <v>663</v>
      </c>
      <c r="CS44" s="7" t="s">
        <v>71</v>
      </c>
      <c r="CT44" s="7" t="s">
        <v>664</v>
      </c>
      <c r="CU44" s="7" t="s">
        <v>665</v>
      </c>
      <c r="CV44" s="8" t="s">
        <v>666</v>
      </c>
    </row>
    <row r="45" spans="1:100" ht="42.75">
      <c r="A45" s="1">
        <f t="shared" si="0"/>
        <v>44</v>
      </c>
      <c r="B45" s="9">
        <v>343</v>
      </c>
      <c r="C45" s="10">
        <v>44616</v>
      </c>
      <c r="D45" s="11" t="s">
        <v>667</v>
      </c>
      <c r="E45" s="10">
        <v>20913</v>
      </c>
      <c r="F45" s="29">
        <f ca="1">_xlfn.DAYS(NOW(),Tabella1[[#This Row],[Data di Nascita]])/365.25</f>
        <v>68.336755646817252</v>
      </c>
      <c r="G45" s="11"/>
      <c r="H45" s="11" t="s">
        <v>668</v>
      </c>
      <c r="I45" s="11" t="s">
        <v>669</v>
      </c>
      <c r="J45" s="11" t="s">
        <v>618</v>
      </c>
      <c r="K45" s="11" t="s">
        <v>5477</v>
      </c>
      <c r="L45" s="18">
        <f>IF(ISERROR(SEARCH("EX",Tabella1[[#This Row],[Attività lavorativa]],1)),0,1)</f>
        <v>0</v>
      </c>
      <c r="M45" s="18"/>
      <c r="N45" s="18"/>
      <c r="O45" s="18"/>
      <c r="P45" s="18"/>
      <c r="Q45" s="18"/>
      <c r="R45" s="18"/>
      <c r="S45" s="18"/>
      <c r="T45" s="17">
        <f>IF(ISERROR(SEARCH("NDD",Tabella1[[#This Row],[Attività lavorativa]],1)),0,1)</f>
        <v>1</v>
      </c>
      <c r="U45" s="11" t="s">
        <v>670</v>
      </c>
      <c r="V45" s="22">
        <v>40</v>
      </c>
      <c r="W45" s="22">
        <f>IF(ISERROR(SEARCH("ex",Tabella1[[#This Row],[Fumo]],1)),0,1)</f>
        <v>0</v>
      </c>
      <c r="X45" s="22">
        <f>IF(ISERROR(SEARCH("no",Tabella1[[#This Row],[Fumo]],1)),0,1)</f>
        <v>0</v>
      </c>
      <c r="Y45" s="11" t="s">
        <v>5477</v>
      </c>
      <c r="Z45" s="18">
        <f>IF(ISERROR(SEARCH("NDD",Tabella1[[#This Row],[Bevitore alcolici]],1)),0,1)</f>
        <v>1</v>
      </c>
      <c r="AA45" s="17">
        <f>IF(ISERROR(SEARCH("raro",Tabella1[[#This Row],[Bevitore alcolici]],1)),0,1)</f>
        <v>0</v>
      </c>
      <c r="AB45" s="17">
        <f>IF(ISERROR(SEARCH("saltuariamente",Tabella1[[#This Row],[Bevitore alcolici]],1)),0,1)</f>
        <v>0</v>
      </c>
      <c r="AC45" s="17">
        <f>IF(ISERROR(SEARCH("nega",Tabella1[[#This Row],[Bevitore alcolici]],1)),0,1)</f>
        <v>0</v>
      </c>
      <c r="AD45" s="17">
        <f>IF(ISERROR(SEARCH("potus",Tabella1[[#This Row],[Bevitore alcolici]],1)),0,1)</f>
        <v>0</v>
      </c>
      <c r="AE45" s="11" t="s">
        <v>5690</v>
      </c>
      <c r="AF45" s="18"/>
      <c r="AG45" s="18"/>
      <c r="AH45" s="18">
        <v>1</v>
      </c>
      <c r="AI45" s="18"/>
      <c r="AJ45" s="18"/>
      <c r="AK45" s="11" t="s">
        <v>28</v>
      </c>
      <c r="AL45" s="18">
        <f>IF(ISERROR(SEARCH("si",Tabella1[[#This Row],[Patente di guida]],1)),0,1)</f>
        <v>1</v>
      </c>
      <c r="AM45" s="11" t="s">
        <v>8</v>
      </c>
      <c r="AN45" s="18">
        <f>IF(ISERROR(SEARCH("no",Tabella1[[#This Row],[Ipertensione]],1)),0,1)</f>
        <v>1</v>
      </c>
      <c r="AO45" s="11" t="s">
        <v>382</v>
      </c>
      <c r="AP45" s="18">
        <f>IF(ISERROR(SEARCH("NO",Tabella1[[#This Row],[Cardiopatia ischemica]],1)),1,0)</f>
        <v>0</v>
      </c>
      <c r="AQ45" s="17">
        <f>IF(ISERROR(SEARCH("sconosciuto",Tabella1[[#This Row],[Cardiopatia ischemica]],1)),0,1)</f>
        <v>0</v>
      </c>
      <c r="AR45" s="11" t="s">
        <v>25</v>
      </c>
      <c r="AS45" s="22">
        <f>IF(ISERROR(SEARCH("nega",Tabella1[[#This Row],[Artimie]],1)),0,1)</f>
        <v>1</v>
      </c>
      <c r="AT45" s="11" t="s">
        <v>25</v>
      </c>
      <c r="AU45" s="22">
        <f>IF(ISERROR(SEARCH("nega",Tabella1[[#This Row],[Ipercolesterolemia]],1)),0,1)</f>
        <v>1</v>
      </c>
      <c r="AV45" s="22">
        <f>IF(ISERROR(SEARCH("boh",Tabella1[[#This Row],[Ipercolesterolemia]],1)),0,1)</f>
        <v>0</v>
      </c>
      <c r="AW45" s="11" t="s">
        <v>8</v>
      </c>
      <c r="AX45" s="22">
        <f>IF(ISERROR(SEARCH("Intolleranza",Tabella1[[#This Row],[Diabete]],1)),0,1)</f>
        <v>0</v>
      </c>
      <c r="AY45" s="22">
        <f>IF(ISERROR(SEARCH("si",Tabella1[[#This Row],[Diabete]],1)),0,1)</f>
        <v>0</v>
      </c>
      <c r="AZ45" s="11" t="s">
        <v>28</v>
      </c>
      <c r="BA45" s="18">
        <f>IF(ISERROR(SEARCH("NDD",Tabella1[[#This Row],[Patologia Tiroidea]],1)),0,1)</f>
        <v>0</v>
      </c>
      <c r="BB45" s="22">
        <f>IF(ISERROR(SEARCH("TIROIDITE",Tabella1[[#This Row],[Patologia Tiroidea]],1)),0,1)</f>
        <v>0</v>
      </c>
      <c r="BC45" s="22">
        <f>IF(ISERROR(SEARCH("HASHIMOTO",Tabella1[[#This Row],[Patologia Tiroidea]],1)),0,1)</f>
        <v>0</v>
      </c>
      <c r="BD45" s="22">
        <f>IF(ISERROR(SEARCH("BASEDOW",Tabella1[[#This Row],[Patologia Tiroidea]],1)),0,1)</f>
        <v>0</v>
      </c>
      <c r="BE45" s="22">
        <f>IF(ISERROR(SEARCH("NOD",Tabella1[[#This Row],[Patologia Tiroidea]],1)),0,1)</f>
        <v>0</v>
      </c>
      <c r="BF45" s="22">
        <f>IF(ISERROR(SEARCH("GOZ",Tabella1[[#This Row],[Patologia Tiroidea]],1)),0,1)</f>
        <v>0</v>
      </c>
      <c r="BG45" s="11" t="s">
        <v>671</v>
      </c>
      <c r="BH45" s="18">
        <f>IF(Tabella1[[#This Row],[Obesità]]="no",0,1)</f>
        <v>1</v>
      </c>
      <c r="BI45" s="11" t="s">
        <v>25</v>
      </c>
      <c r="BJ45" s="22">
        <f>IF(ISERROR(SEARCH("nega",Tabella1[[#This Row],[Reflusso gastroesofageo]],1)),1,0)</f>
        <v>0</v>
      </c>
      <c r="BK45" s="11" t="s">
        <v>8</v>
      </c>
      <c r="BL45" s="18">
        <f>IF(ISERROR(SEARCH("NDD",Tabella1[[#This Row],[Patologia respiratoria]],1)),0,1)</f>
        <v>0</v>
      </c>
      <c r="BM45" s="18">
        <f>IF(ISERROR(SEARCH("asma",Tabella1[[#This Row],[Patologia respiratoria]],1)),0,1)</f>
        <v>0</v>
      </c>
      <c r="BN45" s="18">
        <f>IF(ISERROR(SEARCH("BPCO",Tabella1[[#This Row],[Patologia respiratoria]],1)),0,1)</f>
        <v>0</v>
      </c>
      <c r="BO45" s="18">
        <f>IF(ISERROR(SEARCH("BRONCOPOLMONITE",Tabella1[[#This Row],[Patologia respiratoria]],1)),0,1)</f>
        <v>0</v>
      </c>
      <c r="BP45" s="18">
        <f>IF(ISERROR(SEARCH("ASMA, OSAS",Tabella1[[#This Row],[Patologia respiratoria]],1)),0,1)</f>
        <v>0</v>
      </c>
      <c r="BQ45" s="18">
        <f>IF(ISERROR(SEARCH("OSAS e BPCO",Tabella1[[#This Row],[Patologia respiratoria]],1)),0,1)</f>
        <v>0</v>
      </c>
      <c r="BR45" s="18">
        <f>IF(ISERROR(SEARCH("OSAS",Tabella1[[#This Row],[Patologia respiratoria]],1)),0,1)</f>
        <v>0</v>
      </c>
      <c r="BS45" s="11"/>
      <c r="BT45" s="11" t="s">
        <v>672</v>
      </c>
      <c r="BU45" s="11" t="s">
        <v>8</v>
      </c>
      <c r="BV45" s="18">
        <f>IF(ISERROR(SEARCH("ndd",Tabella1[[#This Row],[O2 terapia]],1)),0,1)</f>
        <v>0</v>
      </c>
      <c r="BW45" s="17">
        <v>0</v>
      </c>
      <c r="BX45" s="11"/>
      <c r="BY45" s="11" t="s">
        <v>28</v>
      </c>
      <c r="BZ45" s="17">
        <v>1</v>
      </c>
      <c r="CA45" s="11" t="s">
        <v>8</v>
      </c>
      <c r="CB45" s="17">
        <v>0</v>
      </c>
      <c r="CC45" s="11" t="s">
        <v>8</v>
      </c>
      <c r="CD45" s="18">
        <v>0</v>
      </c>
      <c r="CE45" s="11" t="s">
        <v>8</v>
      </c>
      <c r="CF45" s="18">
        <v>0</v>
      </c>
      <c r="CG45" s="11" t="s">
        <v>28</v>
      </c>
      <c r="CH45" s="17">
        <v>1</v>
      </c>
      <c r="CI45" s="11" t="s">
        <v>8</v>
      </c>
      <c r="CJ45" s="18">
        <v>0</v>
      </c>
      <c r="CK45" s="11" t="s">
        <v>28</v>
      </c>
      <c r="CL45" s="17">
        <v>1</v>
      </c>
      <c r="CM45" s="11" t="s">
        <v>8</v>
      </c>
      <c r="CN45" s="17">
        <v>0</v>
      </c>
      <c r="CO45" s="11" t="s">
        <v>8</v>
      </c>
      <c r="CP45" s="18">
        <v>0</v>
      </c>
      <c r="CQ45" s="11" t="s">
        <v>13</v>
      </c>
      <c r="CR45" s="11" t="s">
        <v>279</v>
      </c>
      <c r="CS45" s="11"/>
      <c r="CT45" s="11"/>
      <c r="CU45" s="11"/>
      <c r="CV45" s="12"/>
    </row>
    <row r="46" spans="1:100" ht="299.25">
      <c r="A46" s="1">
        <f t="shared" si="0"/>
        <v>45</v>
      </c>
      <c r="B46" s="5">
        <v>352</v>
      </c>
      <c r="C46" s="6">
        <v>44621</v>
      </c>
      <c r="D46" s="7" t="s">
        <v>673</v>
      </c>
      <c r="E46" s="6">
        <v>22013</v>
      </c>
      <c r="F46" s="29">
        <f ca="1">_xlfn.DAYS(NOW(),Tabella1[[#This Row],[Data di Nascita]])/365.25</f>
        <v>65.325119780971932</v>
      </c>
      <c r="G46" s="7" t="s">
        <v>674</v>
      </c>
      <c r="H46" s="7" t="s">
        <v>675</v>
      </c>
      <c r="I46" s="7" t="s">
        <v>676</v>
      </c>
      <c r="J46" s="7" t="s">
        <v>618</v>
      </c>
      <c r="K46" s="7" t="s">
        <v>677</v>
      </c>
      <c r="L46" s="17">
        <f>IF(ISERROR(SEARCH("EX",Tabella1[[#This Row],[Attività lavorativa]],1)),0,1)</f>
        <v>0</v>
      </c>
      <c r="M46" s="17"/>
      <c r="N46" s="17"/>
      <c r="O46" s="18">
        <v>1</v>
      </c>
      <c r="P46" s="17"/>
      <c r="Q46" s="17"/>
      <c r="R46" s="17"/>
      <c r="S46" s="17"/>
      <c r="T46" s="17">
        <f>IF(ISERROR(SEARCH("NDD",Tabella1[[#This Row],[Attività lavorativa]],1)),0,1)</f>
        <v>0</v>
      </c>
      <c r="U46" s="7" t="s">
        <v>678</v>
      </c>
      <c r="V46" s="22">
        <v>10</v>
      </c>
      <c r="W46" s="22">
        <f>IF(ISERROR(SEARCH("ex",Tabella1[[#This Row],[Fumo]],1)),0,1)</f>
        <v>0</v>
      </c>
      <c r="X46" s="22">
        <f>IF(ISERROR(SEARCH("no",Tabella1[[#This Row],[Fumo]],1)),0,1)</f>
        <v>0</v>
      </c>
      <c r="Y46" s="7" t="s">
        <v>309</v>
      </c>
      <c r="Z46" s="17">
        <f>IF(ISERROR(SEARCH("NDD",Tabella1[[#This Row],[Bevitore alcolici]],1)),0,1)</f>
        <v>0</v>
      </c>
      <c r="AA46" s="17">
        <f>IF(ISERROR(SEARCH("raro",Tabella1[[#This Row],[Bevitore alcolici]],1)),0,1)</f>
        <v>0</v>
      </c>
      <c r="AB46" s="17">
        <f>IF(ISERROR(SEARCH("saltuariamente",Tabella1[[#This Row],[Bevitore alcolici]],1)),0,1)</f>
        <v>0</v>
      </c>
      <c r="AC46" s="17">
        <f>IF(ISERROR(SEARCH("nega",Tabella1[[#This Row],[Bevitore alcolici]],1)),0,1)</f>
        <v>1</v>
      </c>
      <c r="AD46" s="17">
        <f>IF(ISERROR(SEARCH("potus",Tabella1[[#This Row],[Bevitore alcolici]],1)),0,1)</f>
        <v>0</v>
      </c>
      <c r="AE46" s="7" t="s">
        <v>679</v>
      </c>
      <c r="AF46" s="17"/>
      <c r="AG46" s="18">
        <v>1</v>
      </c>
      <c r="AH46" s="18">
        <v>1</v>
      </c>
      <c r="AI46" s="18"/>
      <c r="AJ46" s="18"/>
      <c r="AK46" s="7" t="s">
        <v>28</v>
      </c>
      <c r="AL46" s="17">
        <f>IF(ISERROR(SEARCH("si",Tabella1[[#This Row],[Patente di guida]],1)),0,1)</f>
        <v>1</v>
      </c>
      <c r="AM46" s="7" t="s">
        <v>8</v>
      </c>
      <c r="AN46" s="17">
        <f>IF(ISERROR(SEARCH("no",Tabella1[[#This Row],[Ipertensione]],1)),0,1)</f>
        <v>1</v>
      </c>
      <c r="AO46" s="7" t="s">
        <v>382</v>
      </c>
      <c r="AP46" s="18">
        <f>IF(ISERROR(SEARCH("NO",Tabella1[[#This Row],[Cardiopatia ischemica]],1)),1,0)</f>
        <v>0</v>
      </c>
      <c r="AQ46" s="17">
        <f>IF(ISERROR(SEARCH("sconosciuto",Tabella1[[#This Row],[Cardiopatia ischemica]],1)),0,1)</f>
        <v>0</v>
      </c>
      <c r="AR46" s="7" t="s">
        <v>309</v>
      </c>
      <c r="AS46" s="22">
        <f>IF(ISERROR(SEARCH("nega",Tabella1[[#This Row],[Artimie]],1)),0,1)</f>
        <v>1</v>
      </c>
      <c r="AT46" s="7" t="s">
        <v>309</v>
      </c>
      <c r="AU46" s="22">
        <f>IF(ISERROR(SEARCH("nega",Tabella1[[#This Row],[Ipercolesterolemia]],1)),0,1)</f>
        <v>1</v>
      </c>
      <c r="AV46" s="22">
        <f>IF(ISERROR(SEARCH("boh",Tabella1[[#This Row],[Ipercolesterolemia]],1)),0,1)</f>
        <v>0</v>
      </c>
      <c r="AW46" s="7" t="s">
        <v>1084</v>
      </c>
      <c r="AX46" s="22">
        <f>IF(ISERROR(SEARCH("Intolleranza",Tabella1[[#This Row],[Diabete]],1)),0,1)</f>
        <v>0</v>
      </c>
      <c r="AY46" s="22">
        <f>IF(ISERROR(SEARCH("si",Tabella1[[#This Row],[Diabete]],1)),0,1)</f>
        <v>0</v>
      </c>
      <c r="AZ46" s="7" t="s">
        <v>680</v>
      </c>
      <c r="BA46" s="17">
        <f>IF(ISERROR(SEARCH("NDD",Tabella1[[#This Row],[Patologia Tiroidea]],1)),0,1)</f>
        <v>0</v>
      </c>
      <c r="BB46" s="22">
        <f>IF(ISERROR(SEARCH("TIROIDITE",Tabella1[[#This Row],[Patologia Tiroidea]],1)),0,1)</f>
        <v>0</v>
      </c>
      <c r="BC46" s="22">
        <f>IF(ISERROR(SEARCH("HASHIMOTO",Tabella1[[#This Row],[Patologia Tiroidea]],1)),0,1)</f>
        <v>0</v>
      </c>
      <c r="BD46" s="22">
        <f>IF(ISERROR(SEARCH("BASEDOW",Tabella1[[#This Row],[Patologia Tiroidea]],1)),0,1)</f>
        <v>0</v>
      </c>
      <c r="BE46" s="22">
        <f>IF(ISERROR(SEARCH("NOD",Tabella1[[#This Row],[Patologia Tiroidea]],1)),0,1)</f>
        <v>0</v>
      </c>
      <c r="BF46" s="22">
        <f>IF(ISERROR(SEARCH("GOZ",Tabella1[[#This Row],[Patologia Tiroidea]],1)),0,1)</f>
        <v>0</v>
      </c>
      <c r="BG46" s="7" t="s">
        <v>681</v>
      </c>
      <c r="BH46" s="17">
        <f>IF(Tabella1[[#This Row],[Obesità]]="no",0,1)</f>
        <v>1</v>
      </c>
      <c r="BI46" s="7" t="s">
        <v>309</v>
      </c>
      <c r="BJ46" s="22">
        <f>IF(ISERROR(SEARCH("nega",Tabella1[[#This Row],[Reflusso gastroesofageo]],1)),1,0)</f>
        <v>0</v>
      </c>
      <c r="BK46" s="7" t="s">
        <v>682</v>
      </c>
      <c r="BL46" s="17">
        <f>IF(ISERROR(SEARCH("NDD",Tabella1[[#This Row],[Patologia respiratoria]],1)),0,1)</f>
        <v>0</v>
      </c>
      <c r="BM46" s="17">
        <f>IF(ISERROR(SEARCH("asma",Tabella1[[#This Row],[Patologia respiratoria]],1)),0,1)</f>
        <v>0</v>
      </c>
      <c r="BN46" s="17">
        <f>IF(ISERROR(SEARCH("BPCO",Tabella1[[#This Row],[Patologia respiratoria]],1)),0,1)</f>
        <v>0</v>
      </c>
      <c r="BO46" s="17">
        <f>IF(ISERROR(SEARCH("BRONCOPOLMONITE",Tabella1[[#This Row],[Patologia respiratoria]],1)),0,1)</f>
        <v>0</v>
      </c>
      <c r="BP46" s="17">
        <f>IF(ISERROR(SEARCH("ASMA, OSAS",Tabella1[[#This Row],[Patologia respiratoria]],1)),0,1)</f>
        <v>0</v>
      </c>
      <c r="BQ46" s="17">
        <f>IF(ISERROR(SEARCH("OSAS e BPCO",Tabella1[[#This Row],[Patologia respiratoria]],1)),0,1)</f>
        <v>0</v>
      </c>
      <c r="BR46" s="17">
        <f>IF(ISERROR(SEARCH("OSAS",Tabella1[[#This Row],[Patologia respiratoria]],1)),0,1)</f>
        <v>0</v>
      </c>
      <c r="BS46" s="7" t="s">
        <v>195</v>
      </c>
      <c r="BT46" s="7" t="s">
        <v>309</v>
      </c>
      <c r="BU46" s="7" t="s">
        <v>195</v>
      </c>
      <c r="BV46" s="17">
        <f>IF(ISERROR(SEARCH("ndd",Tabella1[[#This Row],[O2 terapia]],1)),0,1)</f>
        <v>0</v>
      </c>
      <c r="BW46" s="17">
        <v>0</v>
      </c>
      <c r="BX46" s="7" t="s">
        <v>195</v>
      </c>
      <c r="BY46" s="7" t="s">
        <v>683</v>
      </c>
      <c r="BZ46" s="17">
        <v>1</v>
      </c>
      <c r="CA46" s="7" t="s">
        <v>684</v>
      </c>
      <c r="CB46" s="17">
        <v>1</v>
      </c>
      <c r="CC46" s="7" t="s">
        <v>685</v>
      </c>
      <c r="CD46" s="17">
        <v>1</v>
      </c>
      <c r="CE46" s="7" t="s">
        <v>309</v>
      </c>
      <c r="CF46" s="18">
        <v>0</v>
      </c>
      <c r="CG46" s="7" t="s">
        <v>686</v>
      </c>
      <c r="CH46" s="17">
        <v>0</v>
      </c>
      <c r="CI46" s="7" t="s">
        <v>686</v>
      </c>
      <c r="CJ46" s="18">
        <v>0</v>
      </c>
      <c r="CK46" s="7" t="s">
        <v>687</v>
      </c>
      <c r="CL46" s="17">
        <v>1</v>
      </c>
      <c r="CM46" s="7" t="s">
        <v>688</v>
      </c>
      <c r="CN46" s="17">
        <v>1</v>
      </c>
      <c r="CO46" s="7" t="s">
        <v>309</v>
      </c>
      <c r="CP46" s="18">
        <v>0</v>
      </c>
      <c r="CQ46" s="7" t="s">
        <v>69</v>
      </c>
      <c r="CR46" s="7" t="s">
        <v>431</v>
      </c>
      <c r="CS46" s="7" t="s">
        <v>105</v>
      </c>
      <c r="CT46" s="7" t="s">
        <v>72</v>
      </c>
      <c r="CU46" s="7" t="s">
        <v>689</v>
      </c>
      <c r="CV46" s="8" t="s">
        <v>690</v>
      </c>
    </row>
    <row r="47" spans="1:100" ht="299.25">
      <c r="A47" s="1">
        <f t="shared" si="0"/>
        <v>46</v>
      </c>
      <c r="B47" s="9">
        <v>353</v>
      </c>
      <c r="C47" s="10">
        <v>44622</v>
      </c>
      <c r="D47" s="11" t="s">
        <v>691</v>
      </c>
      <c r="E47" s="10">
        <v>34333</v>
      </c>
      <c r="F47" s="29">
        <f ca="1">_xlfn.DAYS(NOW(),Tabella1[[#This Row],[Data di Nascita]])/365.25</f>
        <v>31.59479808350445</v>
      </c>
      <c r="G47" s="11" t="s">
        <v>692</v>
      </c>
      <c r="H47" s="11" t="s">
        <v>693</v>
      </c>
      <c r="I47" s="11" t="s">
        <v>676</v>
      </c>
      <c r="J47" s="11" t="s">
        <v>473</v>
      </c>
      <c r="K47" s="11" t="s">
        <v>694</v>
      </c>
      <c r="L47" s="18">
        <f>IF(ISERROR(SEARCH("EX",Tabella1[[#This Row],[Attività lavorativa]],1)),0,1)</f>
        <v>0</v>
      </c>
      <c r="M47" s="18"/>
      <c r="N47" s="18"/>
      <c r="O47" s="18"/>
      <c r="P47" s="18">
        <v>1</v>
      </c>
      <c r="Q47" s="18"/>
      <c r="R47" s="18"/>
      <c r="S47" s="18"/>
      <c r="T47" s="17">
        <f>IF(ISERROR(SEARCH("NDD",Tabella1[[#This Row],[Attività lavorativa]],1)),0,1)</f>
        <v>0</v>
      </c>
      <c r="U47" s="11" t="s">
        <v>8</v>
      </c>
      <c r="V47" s="22"/>
      <c r="W47" s="22">
        <f>IF(ISERROR(SEARCH("ex",Tabella1[[#This Row],[Fumo]],1)),0,1)</f>
        <v>0</v>
      </c>
      <c r="X47" s="22">
        <f>IF(ISERROR(SEARCH("no",Tabella1[[#This Row],[Fumo]],1)),0,1)</f>
        <v>1</v>
      </c>
      <c r="Y47" s="11" t="s">
        <v>26</v>
      </c>
      <c r="Z47" s="18">
        <f>IF(ISERROR(SEARCH("NDD",Tabella1[[#This Row],[Bevitore alcolici]],1)),0,1)</f>
        <v>0</v>
      </c>
      <c r="AA47" s="17">
        <f>IF(ISERROR(SEARCH("raro",Tabella1[[#This Row],[Bevitore alcolici]],1)),0,1)</f>
        <v>0</v>
      </c>
      <c r="AB47" s="17">
        <f>IF(ISERROR(SEARCH("saltuariamente",Tabella1[[#This Row],[Bevitore alcolici]],1)),0,1)</f>
        <v>1</v>
      </c>
      <c r="AC47" s="17">
        <f>IF(ISERROR(SEARCH("nega",Tabella1[[#This Row],[Bevitore alcolici]],1)),0,1)</f>
        <v>0</v>
      </c>
      <c r="AD47" s="17">
        <f>IF(ISERROR(SEARCH("potus",Tabella1[[#This Row],[Bevitore alcolici]],1)),0,1)</f>
        <v>0</v>
      </c>
      <c r="AE47" s="11" t="s">
        <v>696</v>
      </c>
      <c r="AF47" s="18"/>
      <c r="AG47" s="18">
        <v>1</v>
      </c>
      <c r="AH47" s="18"/>
      <c r="AI47" s="18"/>
      <c r="AJ47" s="18"/>
      <c r="AK47" s="11" t="s">
        <v>195</v>
      </c>
      <c r="AL47" s="18">
        <f>IF(ISERROR(SEARCH("si",Tabella1[[#This Row],[Patente di guida]],1)),0,1)</f>
        <v>0</v>
      </c>
      <c r="AM47" s="11" t="s">
        <v>8</v>
      </c>
      <c r="AN47" s="18">
        <f>IF(ISERROR(SEARCH("no",Tabella1[[#This Row],[Ipertensione]],1)),0,1)</f>
        <v>1</v>
      </c>
      <c r="AO47" s="11" t="s">
        <v>382</v>
      </c>
      <c r="AP47" s="18">
        <f>IF(ISERROR(SEARCH("NO",Tabella1[[#This Row],[Cardiopatia ischemica]],1)),1,0)</f>
        <v>0</v>
      </c>
      <c r="AQ47" s="17">
        <f>IF(ISERROR(SEARCH("sconosciuto",Tabella1[[#This Row],[Cardiopatia ischemica]],1)),0,1)</f>
        <v>0</v>
      </c>
      <c r="AR47" s="11" t="s">
        <v>309</v>
      </c>
      <c r="AS47" s="22">
        <f>IF(ISERROR(SEARCH("nega",Tabella1[[#This Row],[Artimie]],1)),0,1)</f>
        <v>1</v>
      </c>
      <c r="AT47" s="11" t="s">
        <v>309</v>
      </c>
      <c r="AU47" s="22">
        <f>IF(ISERROR(SEARCH("nega",Tabella1[[#This Row],[Ipercolesterolemia]],1)),0,1)</f>
        <v>1</v>
      </c>
      <c r="AV47" s="22">
        <f>IF(ISERROR(SEARCH("boh",Tabella1[[#This Row],[Ipercolesterolemia]],1)),0,1)</f>
        <v>0</v>
      </c>
      <c r="AW47" s="11" t="s">
        <v>309</v>
      </c>
      <c r="AX47" s="22">
        <f>IF(ISERROR(SEARCH("Intolleranza",Tabella1[[#This Row],[Diabete]],1)),0,1)</f>
        <v>0</v>
      </c>
      <c r="AY47" s="22">
        <f>IF(ISERROR(SEARCH("si",Tabella1[[#This Row],[Diabete]],1)),0,1)</f>
        <v>0</v>
      </c>
      <c r="AZ47" s="11" t="s">
        <v>25</v>
      </c>
      <c r="BA47" s="18">
        <f>IF(ISERROR(SEARCH("NDD",Tabella1[[#This Row],[Patologia Tiroidea]],1)),0,1)</f>
        <v>0</v>
      </c>
      <c r="BB47" s="22">
        <f>IF(ISERROR(SEARCH("TIROIDITE",Tabella1[[#This Row],[Patologia Tiroidea]],1)),0,1)</f>
        <v>0</v>
      </c>
      <c r="BC47" s="22">
        <f>IF(ISERROR(SEARCH("HASHIMOTO",Tabella1[[#This Row],[Patologia Tiroidea]],1)),0,1)</f>
        <v>0</v>
      </c>
      <c r="BD47" s="22">
        <f>IF(ISERROR(SEARCH("BASEDOW",Tabella1[[#This Row],[Patologia Tiroidea]],1)),0,1)</f>
        <v>0</v>
      </c>
      <c r="BE47" s="22">
        <f>IF(ISERROR(SEARCH("NOD",Tabella1[[#This Row],[Patologia Tiroidea]],1)),0,1)</f>
        <v>0</v>
      </c>
      <c r="BF47" s="22">
        <f>IF(ISERROR(SEARCH("GOZ",Tabella1[[#This Row],[Patologia Tiroidea]],1)),0,1)</f>
        <v>0</v>
      </c>
      <c r="BG47" s="11" t="s">
        <v>516</v>
      </c>
      <c r="BH47" s="18">
        <f>IF(Tabella1[[#This Row],[Obesità]]="no",0,1)</f>
        <v>1</v>
      </c>
      <c r="BI47" s="11" t="s">
        <v>695</v>
      </c>
      <c r="BJ47" s="22">
        <f>IF(ISERROR(SEARCH("nega",Tabella1[[#This Row],[Reflusso gastroesofageo]],1)),1,0)</f>
        <v>1</v>
      </c>
      <c r="BK47" s="11" t="s">
        <v>25</v>
      </c>
      <c r="BL47" s="18">
        <f>IF(ISERROR(SEARCH("NDD",Tabella1[[#This Row],[Patologia respiratoria]],1)),0,1)</f>
        <v>0</v>
      </c>
      <c r="BM47" s="18">
        <f>IF(ISERROR(SEARCH("asma",Tabella1[[#This Row],[Patologia respiratoria]],1)),0,1)</f>
        <v>0</v>
      </c>
      <c r="BN47" s="18">
        <f>IF(ISERROR(SEARCH("BPCO",Tabella1[[#This Row],[Patologia respiratoria]],1)),0,1)</f>
        <v>0</v>
      </c>
      <c r="BO47" s="18">
        <f>IF(ISERROR(SEARCH("BRONCOPOLMONITE",Tabella1[[#This Row],[Patologia respiratoria]],1)),0,1)</f>
        <v>0</v>
      </c>
      <c r="BP47" s="18">
        <f>IF(ISERROR(SEARCH("ASMA, OSAS",Tabella1[[#This Row],[Patologia respiratoria]],1)),0,1)</f>
        <v>0</v>
      </c>
      <c r="BQ47" s="18">
        <f>IF(ISERROR(SEARCH("OSAS e BPCO",Tabella1[[#This Row],[Patologia respiratoria]],1)),0,1)</f>
        <v>0</v>
      </c>
      <c r="BR47" s="18">
        <f>IF(ISERROR(SEARCH("OSAS",Tabella1[[#This Row],[Patologia respiratoria]],1)),0,1)</f>
        <v>0</v>
      </c>
      <c r="BS47" s="11" t="s">
        <v>8</v>
      </c>
      <c r="BT47" s="11" t="s">
        <v>697</v>
      </c>
      <c r="BU47" s="11" t="s">
        <v>195</v>
      </c>
      <c r="BV47" s="18">
        <f>IF(ISERROR(SEARCH("ndd",Tabella1[[#This Row],[O2 terapia]],1)),0,1)</f>
        <v>0</v>
      </c>
      <c r="BW47" s="17">
        <v>0</v>
      </c>
      <c r="BX47" s="11" t="s">
        <v>8</v>
      </c>
      <c r="BY47" s="11" t="s">
        <v>25</v>
      </c>
      <c r="BZ47" s="18">
        <v>0</v>
      </c>
      <c r="CA47" s="11" t="s">
        <v>698</v>
      </c>
      <c r="CB47" s="17">
        <v>1</v>
      </c>
      <c r="CC47" s="11" t="s">
        <v>699</v>
      </c>
      <c r="CD47" s="17">
        <v>1</v>
      </c>
      <c r="CE47" s="11" t="s">
        <v>312</v>
      </c>
      <c r="CF47" s="17">
        <v>1</v>
      </c>
      <c r="CG47" s="11" t="s">
        <v>25</v>
      </c>
      <c r="CH47" s="17">
        <v>0</v>
      </c>
      <c r="CI47" s="11" t="s">
        <v>25</v>
      </c>
      <c r="CJ47" s="18">
        <v>0</v>
      </c>
      <c r="CK47" s="11" t="s">
        <v>700</v>
      </c>
      <c r="CL47" s="17">
        <v>1</v>
      </c>
      <c r="CM47" s="11" t="s">
        <v>688</v>
      </c>
      <c r="CN47" s="17">
        <v>1</v>
      </c>
      <c r="CO47" s="11" t="s">
        <v>309</v>
      </c>
      <c r="CP47" s="18">
        <v>0</v>
      </c>
      <c r="CQ47" s="11" t="s">
        <v>85</v>
      </c>
      <c r="CR47" s="11" t="s">
        <v>369</v>
      </c>
      <c r="CS47" s="11" t="s">
        <v>219</v>
      </c>
      <c r="CT47" s="11" t="s">
        <v>539</v>
      </c>
      <c r="CU47" s="11" t="s">
        <v>701</v>
      </c>
      <c r="CV47" s="12" t="s">
        <v>702</v>
      </c>
    </row>
    <row r="48" spans="1:100" ht="285">
      <c r="A48" s="1">
        <f t="shared" si="0"/>
        <v>47</v>
      </c>
      <c r="B48" s="5">
        <v>356</v>
      </c>
      <c r="C48" s="6">
        <v>44624</v>
      </c>
      <c r="D48" s="7" t="s">
        <v>703</v>
      </c>
      <c r="E48" s="6">
        <v>27377</v>
      </c>
      <c r="F48" s="29">
        <f ca="1">_xlfn.DAYS(NOW(),Tabella1[[#This Row],[Data di Nascita]])/365.25</f>
        <v>50.639288158795345</v>
      </c>
      <c r="G48" s="7" t="s">
        <v>704</v>
      </c>
      <c r="H48" s="7" t="s">
        <v>705</v>
      </c>
      <c r="I48" s="7" t="s">
        <v>676</v>
      </c>
      <c r="J48" s="7" t="s">
        <v>473</v>
      </c>
      <c r="K48" s="7" t="s">
        <v>706</v>
      </c>
      <c r="L48" s="17">
        <f>IF(ISERROR(SEARCH("EX",Tabella1[[#This Row],[Attività lavorativa]],1)),0,1)</f>
        <v>0</v>
      </c>
      <c r="M48" s="17"/>
      <c r="N48" s="17"/>
      <c r="O48" s="17"/>
      <c r="P48" s="17"/>
      <c r="Q48" s="17"/>
      <c r="R48" s="17"/>
      <c r="S48" s="17"/>
      <c r="T48" s="17">
        <f>IF(ISERROR(SEARCH("NDD",Tabella1[[#This Row],[Attività lavorativa]],1)),0,1)</f>
        <v>0</v>
      </c>
      <c r="U48" s="7" t="s">
        <v>8</v>
      </c>
      <c r="V48" s="22"/>
      <c r="W48" s="22">
        <f>IF(ISERROR(SEARCH("ex",Tabella1[[#This Row],[Fumo]],1)),0,1)</f>
        <v>0</v>
      </c>
      <c r="X48" s="22">
        <f>IF(ISERROR(SEARCH("no",Tabella1[[#This Row],[Fumo]],1)),0,1)</f>
        <v>1</v>
      </c>
      <c r="Y48" s="7" t="s">
        <v>25</v>
      </c>
      <c r="Z48" s="17">
        <f>IF(ISERROR(SEARCH("NDD",Tabella1[[#This Row],[Bevitore alcolici]],1)),0,1)</f>
        <v>0</v>
      </c>
      <c r="AA48" s="17">
        <f>IF(ISERROR(SEARCH("raro",Tabella1[[#This Row],[Bevitore alcolici]],1)),0,1)</f>
        <v>0</v>
      </c>
      <c r="AB48" s="17">
        <f>IF(ISERROR(SEARCH("saltuariamente",Tabella1[[#This Row],[Bevitore alcolici]],1)),0,1)</f>
        <v>0</v>
      </c>
      <c r="AC48" s="17">
        <f>IF(ISERROR(SEARCH("nega",Tabella1[[#This Row],[Bevitore alcolici]],1)),0,1)</f>
        <v>1</v>
      </c>
      <c r="AD48" s="17">
        <f>IF(ISERROR(SEARCH("potus",Tabella1[[#This Row],[Bevitore alcolici]],1)),0,1)</f>
        <v>0</v>
      </c>
      <c r="AE48" s="7" t="s">
        <v>707</v>
      </c>
      <c r="AF48" s="17"/>
      <c r="AG48" s="17"/>
      <c r="AH48" s="18">
        <v>1</v>
      </c>
      <c r="AI48" s="18"/>
      <c r="AJ48" s="18"/>
      <c r="AK48" s="7" t="s">
        <v>3716</v>
      </c>
      <c r="AL48" s="17">
        <f>IF(ISERROR(SEARCH("si",Tabella1[[#This Row],[Patente di guida]],1)),0,1)</f>
        <v>1</v>
      </c>
      <c r="AM48" s="7" t="s">
        <v>8</v>
      </c>
      <c r="AN48" s="17">
        <f>IF(ISERROR(SEARCH("no",Tabella1[[#This Row],[Ipertensione]],1)),0,1)</f>
        <v>1</v>
      </c>
      <c r="AO48" s="7" t="s">
        <v>382</v>
      </c>
      <c r="AP48" s="18">
        <f>IF(ISERROR(SEARCH("NO",Tabella1[[#This Row],[Cardiopatia ischemica]],1)),1,0)</f>
        <v>0</v>
      </c>
      <c r="AQ48" s="17">
        <f>IF(ISERROR(SEARCH("sconosciuto",Tabella1[[#This Row],[Cardiopatia ischemica]],1)),0,1)</f>
        <v>0</v>
      </c>
      <c r="AR48" s="7" t="s">
        <v>25</v>
      </c>
      <c r="AS48" s="22">
        <f>IF(ISERROR(SEARCH("nega",Tabella1[[#This Row],[Artimie]],1)),0,1)</f>
        <v>1</v>
      </c>
      <c r="AT48" s="7" t="s">
        <v>309</v>
      </c>
      <c r="AU48" s="22">
        <f>IF(ISERROR(SEARCH("nega",Tabella1[[#This Row],[Ipercolesterolemia]],1)),0,1)</f>
        <v>1</v>
      </c>
      <c r="AV48" s="22">
        <f>IF(ISERROR(SEARCH("boh",Tabella1[[#This Row],[Ipercolesterolemia]],1)),0,1)</f>
        <v>0</v>
      </c>
      <c r="AW48" s="7" t="s">
        <v>25</v>
      </c>
      <c r="AX48" s="22">
        <f>IF(ISERROR(SEARCH("Intolleranza",Tabella1[[#This Row],[Diabete]],1)),0,1)</f>
        <v>0</v>
      </c>
      <c r="AY48" s="22">
        <f>IF(ISERROR(SEARCH("si",Tabella1[[#This Row],[Diabete]],1)),0,1)</f>
        <v>0</v>
      </c>
      <c r="AZ48" s="7" t="s">
        <v>708</v>
      </c>
      <c r="BA48" s="17">
        <f>IF(ISERROR(SEARCH("NDD",Tabella1[[#This Row],[Patologia Tiroidea]],1)),0,1)</f>
        <v>0</v>
      </c>
      <c r="BB48" s="22">
        <f>IF(ISERROR(SEARCH("TIROIDITE",Tabella1[[#This Row],[Patologia Tiroidea]],1)),0,1)</f>
        <v>0</v>
      </c>
      <c r="BC48" s="22">
        <f>IF(ISERROR(SEARCH("HASHIMOTO",Tabella1[[#This Row],[Patologia Tiroidea]],1)),0,1)</f>
        <v>0</v>
      </c>
      <c r="BD48" s="22">
        <f>IF(ISERROR(SEARCH("BASEDOW",Tabella1[[#This Row],[Patologia Tiroidea]],1)),0,1)</f>
        <v>0</v>
      </c>
      <c r="BE48" s="22">
        <f>IF(ISERROR(SEARCH("NOD",Tabella1[[#This Row],[Patologia Tiroidea]],1)),0,1)</f>
        <v>0</v>
      </c>
      <c r="BF48" s="22">
        <f>IF(ISERROR(SEARCH("GOZ",Tabella1[[#This Row],[Patologia Tiroidea]],1)),0,1)</f>
        <v>0</v>
      </c>
      <c r="BG48" s="7" t="s">
        <v>312</v>
      </c>
      <c r="BH48" s="17">
        <f>IF(Tabella1[[#This Row],[Obesità]]="no",0,1)</f>
        <v>1</v>
      </c>
      <c r="BI48" s="7" t="s">
        <v>695</v>
      </c>
      <c r="BJ48" s="22">
        <f>IF(ISERROR(SEARCH("nega",Tabella1[[#This Row],[Reflusso gastroesofageo]],1)),1,0)</f>
        <v>1</v>
      </c>
      <c r="BK48" s="7" t="s">
        <v>709</v>
      </c>
      <c r="BL48" s="17">
        <f>IF(ISERROR(SEARCH("NDD",Tabella1[[#This Row],[Patologia respiratoria]],1)),0,1)</f>
        <v>0</v>
      </c>
      <c r="BM48" s="17">
        <f>IF(ISERROR(SEARCH("asma",Tabella1[[#This Row],[Patologia respiratoria]],1)),0,1)</f>
        <v>0</v>
      </c>
      <c r="BN48" s="17">
        <f>IF(ISERROR(SEARCH("BPCO",Tabella1[[#This Row],[Patologia respiratoria]],1)),0,1)</f>
        <v>0</v>
      </c>
      <c r="BO48" s="17">
        <f>IF(ISERROR(SEARCH("BRONCOPOLMONITE",Tabella1[[#This Row],[Patologia respiratoria]],1)),0,1)</f>
        <v>0</v>
      </c>
      <c r="BP48" s="17">
        <f>IF(ISERROR(SEARCH("ASMA, OSAS",Tabella1[[#This Row],[Patologia respiratoria]],1)),0,1)</f>
        <v>0</v>
      </c>
      <c r="BQ48" s="17">
        <f>IF(ISERROR(SEARCH("OSAS e BPCO",Tabella1[[#This Row],[Patologia respiratoria]],1)),0,1)</f>
        <v>0</v>
      </c>
      <c r="BR48" s="17">
        <f>IF(ISERROR(SEARCH("OSAS",Tabella1[[#This Row],[Patologia respiratoria]],1)),0,1)</f>
        <v>0</v>
      </c>
      <c r="BS48" s="7" t="s">
        <v>710</v>
      </c>
      <c r="BT48" s="7" t="s">
        <v>711</v>
      </c>
      <c r="BU48" s="7" t="s">
        <v>8</v>
      </c>
      <c r="BV48" s="17">
        <f>IF(ISERROR(SEARCH("ndd",Tabella1[[#This Row],[O2 terapia]],1)),0,1)</f>
        <v>0</v>
      </c>
      <c r="BW48" s="17">
        <v>0</v>
      </c>
      <c r="BX48" s="7" t="s">
        <v>712</v>
      </c>
      <c r="BY48" s="7" t="s">
        <v>309</v>
      </c>
      <c r="BZ48" s="18">
        <v>0</v>
      </c>
      <c r="CA48" s="7" t="s">
        <v>698</v>
      </c>
      <c r="CB48" s="17">
        <v>1</v>
      </c>
      <c r="CC48" s="7" t="s">
        <v>461</v>
      </c>
      <c r="CD48" s="17">
        <v>1</v>
      </c>
      <c r="CE48" s="7" t="s">
        <v>309</v>
      </c>
      <c r="CF48" s="18">
        <v>0</v>
      </c>
      <c r="CG48" s="7" t="s">
        <v>713</v>
      </c>
      <c r="CH48" s="17">
        <v>1</v>
      </c>
      <c r="CI48" s="7" t="s">
        <v>695</v>
      </c>
      <c r="CJ48" s="17">
        <v>1</v>
      </c>
      <c r="CK48" s="7" t="s">
        <v>260</v>
      </c>
      <c r="CL48" s="17">
        <v>1</v>
      </c>
      <c r="CM48" s="7" t="s">
        <v>714</v>
      </c>
      <c r="CN48" s="17">
        <v>1</v>
      </c>
      <c r="CO48" s="7" t="s">
        <v>695</v>
      </c>
      <c r="CP48" s="17">
        <v>1</v>
      </c>
      <c r="CQ48" s="7" t="s">
        <v>69</v>
      </c>
      <c r="CR48" s="7" t="s">
        <v>55</v>
      </c>
      <c r="CS48" s="7" t="s">
        <v>71</v>
      </c>
      <c r="CT48" s="7" t="s">
        <v>319</v>
      </c>
      <c r="CU48" s="7" t="s">
        <v>715</v>
      </c>
      <c r="CV48" s="8" t="s">
        <v>716</v>
      </c>
    </row>
    <row r="49" spans="1:100">
      <c r="A49" s="1">
        <f t="shared" si="0"/>
        <v>48</v>
      </c>
      <c r="B49" s="9">
        <v>357</v>
      </c>
      <c r="C49" s="10">
        <v>44624</v>
      </c>
      <c r="D49" s="11" t="s">
        <v>717</v>
      </c>
      <c r="E49" s="10">
        <v>39108</v>
      </c>
      <c r="F49" s="29">
        <f ca="1">_xlfn.DAYS(NOW(),Tabella1[[#This Row],[Data di Nascita]])/365.25</f>
        <v>18.521560574948666</v>
      </c>
      <c r="G49" s="11"/>
      <c r="H49" s="11" t="s">
        <v>718</v>
      </c>
      <c r="I49" s="11" t="s">
        <v>719</v>
      </c>
      <c r="J49" s="11"/>
      <c r="K49" s="11" t="s">
        <v>8</v>
      </c>
      <c r="L49" s="18">
        <f>IF(ISERROR(SEARCH("EX",Tabella1[[#This Row],[Attività lavorativa]],1)),0,1)</f>
        <v>0</v>
      </c>
      <c r="M49" s="18"/>
      <c r="N49" s="18"/>
      <c r="O49" s="18"/>
      <c r="P49" s="18"/>
      <c r="Q49" s="18"/>
      <c r="R49" s="18"/>
      <c r="S49" s="18"/>
      <c r="T49" s="17">
        <f>IF(ISERROR(SEARCH("NDD",Tabella1[[#This Row],[Attività lavorativa]],1)),0,1)</f>
        <v>0</v>
      </c>
      <c r="U49" s="11" t="s">
        <v>8</v>
      </c>
      <c r="V49" s="22"/>
      <c r="W49" s="22">
        <f>IF(ISERROR(SEARCH("ex",Tabella1[[#This Row],[Fumo]],1)),0,1)</f>
        <v>0</v>
      </c>
      <c r="X49" s="22">
        <f>IF(ISERROR(SEARCH("no",Tabella1[[#This Row],[Fumo]],1)),0,1)</f>
        <v>1</v>
      </c>
      <c r="Y49" s="11" t="s">
        <v>5477</v>
      </c>
      <c r="Z49" s="18">
        <f>IF(ISERROR(SEARCH("NDD",Tabella1[[#This Row],[Bevitore alcolici]],1)),0,1)</f>
        <v>1</v>
      </c>
      <c r="AA49" s="17">
        <f>IF(ISERROR(SEARCH("raro",Tabella1[[#This Row],[Bevitore alcolici]],1)),0,1)</f>
        <v>0</v>
      </c>
      <c r="AB49" s="17">
        <f>IF(ISERROR(SEARCH("saltuariamente",Tabella1[[#This Row],[Bevitore alcolici]],1)),0,1)</f>
        <v>0</v>
      </c>
      <c r="AC49" s="17">
        <f>IF(ISERROR(SEARCH("nega",Tabella1[[#This Row],[Bevitore alcolici]],1)),0,1)</f>
        <v>0</v>
      </c>
      <c r="AD49" s="17">
        <f>IF(ISERROR(SEARCH("potus",Tabella1[[#This Row],[Bevitore alcolici]],1)),0,1)</f>
        <v>0</v>
      </c>
      <c r="AE49" s="11" t="s">
        <v>657</v>
      </c>
      <c r="AF49" s="18"/>
      <c r="AG49" s="18"/>
      <c r="AH49" s="18"/>
      <c r="AI49" s="18"/>
      <c r="AJ49" s="18"/>
      <c r="AK49" s="11" t="s">
        <v>8</v>
      </c>
      <c r="AL49" s="18">
        <f>IF(ISERROR(SEARCH("si",Tabella1[[#This Row],[Patente di guida]],1)),0,1)</f>
        <v>0</v>
      </c>
      <c r="AM49" s="11" t="s">
        <v>8</v>
      </c>
      <c r="AN49" s="18">
        <f>IF(ISERROR(SEARCH("no",Tabella1[[#This Row],[Ipertensione]],1)),0,1)</f>
        <v>1</v>
      </c>
      <c r="AO49" s="11" t="s">
        <v>382</v>
      </c>
      <c r="AP49" s="18">
        <f>IF(ISERROR(SEARCH("NO",Tabella1[[#This Row],[Cardiopatia ischemica]],1)),1,0)</f>
        <v>0</v>
      </c>
      <c r="AQ49" s="17">
        <f>IF(ISERROR(SEARCH("sconosciuto",Tabella1[[#This Row],[Cardiopatia ischemica]],1)),0,1)</f>
        <v>0</v>
      </c>
      <c r="AR49" s="11" t="s">
        <v>25</v>
      </c>
      <c r="AS49" s="22">
        <f>IF(ISERROR(SEARCH("nega",Tabella1[[#This Row],[Artimie]],1)),0,1)</f>
        <v>1</v>
      </c>
      <c r="AT49" s="11" t="s">
        <v>25</v>
      </c>
      <c r="AU49" s="22">
        <f>IF(ISERROR(SEARCH("nega",Tabella1[[#This Row],[Ipercolesterolemia]],1)),0,1)</f>
        <v>1</v>
      </c>
      <c r="AV49" s="22">
        <f>IF(ISERROR(SEARCH("boh",Tabella1[[#This Row],[Ipercolesterolemia]],1)),0,1)</f>
        <v>0</v>
      </c>
      <c r="AW49" s="11" t="s">
        <v>8</v>
      </c>
      <c r="AX49" s="22">
        <f>IF(ISERROR(SEARCH("Intolleranza",Tabella1[[#This Row],[Diabete]],1)),0,1)</f>
        <v>0</v>
      </c>
      <c r="AY49" s="22">
        <f>IF(ISERROR(SEARCH("si",Tabella1[[#This Row],[Diabete]],1)),0,1)</f>
        <v>0</v>
      </c>
      <c r="AZ49" s="11" t="s">
        <v>8</v>
      </c>
      <c r="BA49" s="18">
        <f>IF(ISERROR(SEARCH("NDD",Tabella1[[#This Row],[Patologia Tiroidea]],1)),0,1)</f>
        <v>0</v>
      </c>
      <c r="BB49" s="22">
        <f>IF(ISERROR(SEARCH("TIROIDITE",Tabella1[[#This Row],[Patologia Tiroidea]],1)),0,1)</f>
        <v>0</v>
      </c>
      <c r="BC49" s="22">
        <f>IF(ISERROR(SEARCH("HASHIMOTO",Tabella1[[#This Row],[Patologia Tiroidea]],1)),0,1)</f>
        <v>0</v>
      </c>
      <c r="BD49" s="22">
        <f>IF(ISERROR(SEARCH("BASEDOW",Tabella1[[#This Row],[Patologia Tiroidea]],1)),0,1)</f>
        <v>0</v>
      </c>
      <c r="BE49" s="22">
        <f>IF(ISERROR(SEARCH("NOD",Tabella1[[#This Row],[Patologia Tiroidea]],1)),0,1)</f>
        <v>0</v>
      </c>
      <c r="BF49" s="22">
        <f>IF(ISERROR(SEARCH("GOZ",Tabella1[[#This Row],[Patologia Tiroidea]],1)),0,1)</f>
        <v>0</v>
      </c>
      <c r="BG49" s="11" t="s">
        <v>8</v>
      </c>
      <c r="BH49" s="18">
        <f>IF(Tabella1[[#This Row],[Obesità]]="no",0,1)</f>
        <v>0</v>
      </c>
      <c r="BI49" s="11" t="s">
        <v>25</v>
      </c>
      <c r="BJ49" s="22">
        <f>IF(ISERROR(SEARCH("nega",Tabella1[[#This Row],[Reflusso gastroesofageo]],1)),1,0)</f>
        <v>0</v>
      </c>
      <c r="BK49" s="11" t="s">
        <v>8</v>
      </c>
      <c r="BL49" s="18">
        <f>IF(ISERROR(SEARCH("NDD",Tabella1[[#This Row],[Patologia respiratoria]],1)),0,1)</f>
        <v>0</v>
      </c>
      <c r="BM49" s="18">
        <f>IF(ISERROR(SEARCH("asma",Tabella1[[#This Row],[Patologia respiratoria]],1)),0,1)</f>
        <v>0</v>
      </c>
      <c r="BN49" s="18">
        <f>IF(ISERROR(SEARCH("BPCO",Tabella1[[#This Row],[Patologia respiratoria]],1)),0,1)</f>
        <v>0</v>
      </c>
      <c r="BO49" s="18">
        <f>IF(ISERROR(SEARCH("BRONCOPOLMONITE",Tabella1[[#This Row],[Patologia respiratoria]],1)),0,1)</f>
        <v>0</v>
      </c>
      <c r="BP49" s="18">
        <f>IF(ISERROR(SEARCH("ASMA, OSAS",Tabella1[[#This Row],[Patologia respiratoria]],1)),0,1)</f>
        <v>0</v>
      </c>
      <c r="BQ49" s="18">
        <f>IF(ISERROR(SEARCH("OSAS e BPCO",Tabella1[[#This Row],[Patologia respiratoria]],1)),0,1)</f>
        <v>0</v>
      </c>
      <c r="BR49" s="18">
        <f>IF(ISERROR(SEARCH("OSAS",Tabella1[[#This Row],[Patologia respiratoria]],1)),0,1)</f>
        <v>0</v>
      </c>
      <c r="BS49" s="11" t="s">
        <v>8</v>
      </c>
      <c r="BT49" s="11" t="s">
        <v>720</v>
      </c>
      <c r="BU49" s="11" t="s">
        <v>8</v>
      </c>
      <c r="BV49" s="18">
        <f>IF(ISERROR(SEARCH("ndd",Tabella1[[#This Row],[O2 terapia]],1)),0,1)</f>
        <v>0</v>
      </c>
      <c r="BW49" s="17">
        <v>0</v>
      </c>
      <c r="BX49" s="11" t="s">
        <v>8</v>
      </c>
      <c r="BY49" s="11" t="s">
        <v>8</v>
      </c>
      <c r="BZ49" s="18">
        <v>0</v>
      </c>
      <c r="CA49" s="11" t="s">
        <v>8</v>
      </c>
      <c r="CB49" s="17">
        <v>0</v>
      </c>
      <c r="CC49" s="11" t="s">
        <v>28</v>
      </c>
      <c r="CD49" s="17">
        <v>1</v>
      </c>
      <c r="CE49" s="11" t="s">
        <v>8</v>
      </c>
      <c r="CF49" s="18">
        <v>0</v>
      </c>
      <c r="CG49" s="11" t="s">
        <v>8</v>
      </c>
      <c r="CH49" s="17">
        <v>0</v>
      </c>
      <c r="CI49" s="11" t="s">
        <v>8</v>
      </c>
      <c r="CJ49" s="18">
        <v>0</v>
      </c>
      <c r="CK49" s="11" t="s">
        <v>8</v>
      </c>
      <c r="CL49" s="17">
        <v>0</v>
      </c>
      <c r="CM49" s="11" t="s">
        <v>47</v>
      </c>
      <c r="CN49" s="17">
        <v>1</v>
      </c>
      <c r="CO49" s="11" t="s">
        <v>8</v>
      </c>
      <c r="CP49" s="18">
        <v>0</v>
      </c>
      <c r="CQ49" s="11" t="s">
        <v>54</v>
      </c>
      <c r="CR49" s="11" t="s">
        <v>103</v>
      </c>
      <c r="CS49" s="11"/>
      <c r="CT49" s="11"/>
      <c r="CU49" s="11"/>
      <c r="CV49" s="12"/>
    </row>
    <row r="50" spans="1:100" ht="185.25">
      <c r="A50" s="1">
        <f t="shared" si="0"/>
        <v>49</v>
      </c>
      <c r="B50" s="5">
        <v>359</v>
      </c>
      <c r="C50" s="6">
        <v>44627</v>
      </c>
      <c r="D50" s="7" t="s">
        <v>721</v>
      </c>
      <c r="E50" s="6">
        <v>30304</v>
      </c>
      <c r="F50" s="29">
        <f ca="1">_xlfn.DAYS(NOW(),Tabella1[[#This Row],[Data di Nascita]])/365.25</f>
        <v>42.625598904859686</v>
      </c>
      <c r="G50" s="7" t="s">
        <v>722</v>
      </c>
      <c r="H50" s="7" t="s">
        <v>723</v>
      </c>
      <c r="I50" s="7" t="s">
        <v>724</v>
      </c>
      <c r="J50" s="7" t="s">
        <v>725</v>
      </c>
      <c r="K50" s="7" t="s">
        <v>726</v>
      </c>
      <c r="L50" s="17">
        <f>IF(ISERROR(SEARCH("EX",Tabella1[[#This Row],[Attività lavorativa]],1)),0,1)</f>
        <v>0</v>
      </c>
      <c r="M50" s="17"/>
      <c r="N50" s="17"/>
      <c r="O50" s="17"/>
      <c r="P50" s="17"/>
      <c r="Q50" s="17"/>
      <c r="R50" s="17">
        <v>1</v>
      </c>
      <c r="S50" s="17"/>
      <c r="T50" s="17">
        <f>IF(ISERROR(SEARCH("NDD",Tabella1[[#This Row],[Attività lavorativa]],1)),0,1)</f>
        <v>0</v>
      </c>
      <c r="U50" s="7" t="s">
        <v>727</v>
      </c>
      <c r="V50" s="22">
        <v>3</v>
      </c>
      <c r="W50" s="22">
        <f>IF(ISERROR(SEARCH("ex",Tabella1[[#This Row],[Fumo]],1)),0,1)</f>
        <v>0</v>
      </c>
      <c r="X50" s="22">
        <f>IF(ISERROR(SEARCH("no",Tabella1[[#This Row],[Fumo]],1)),0,1)</f>
        <v>0</v>
      </c>
      <c r="Y50" s="7" t="s">
        <v>728</v>
      </c>
      <c r="Z50" s="17">
        <f>IF(ISERROR(SEARCH("NDD",Tabella1[[#This Row],[Bevitore alcolici]],1)),0,1)</f>
        <v>0</v>
      </c>
      <c r="AA50" s="17">
        <f>IF(ISERROR(SEARCH("raro",Tabella1[[#This Row],[Bevitore alcolici]],1)),0,1)</f>
        <v>0</v>
      </c>
      <c r="AB50" s="17">
        <f>IF(ISERROR(SEARCH("saltuariamente",Tabella1[[#This Row],[Bevitore alcolici]],1)),0,1)</f>
        <v>0</v>
      </c>
      <c r="AC50" s="17">
        <f>IF(ISERROR(SEARCH("nega",Tabella1[[#This Row],[Bevitore alcolici]],1)),0,1)</f>
        <v>0</v>
      </c>
      <c r="AD50" s="17">
        <f>IF(ISERROR(SEARCH("potus",Tabella1[[#This Row],[Bevitore alcolici]],1)),0,1)</f>
        <v>0</v>
      </c>
      <c r="AE50" s="7" t="s">
        <v>657</v>
      </c>
      <c r="AF50" s="17"/>
      <c r="AG50" s="17"/>
      <c r="AH50" s="17"/>
      <c r="AI50" s="17"/>
      <c r="AJ50" s="17"/>
      <c r="AK50" s="7" t="s">
        <v>28</v>
      </c>
      <c r="AL50" s="17">
        <f>IF(ISERROR(SEARCH("si",Tabella1[[#This Row],[Patente di guida]],1)),0,1)</f>
        <v>1</v>
      </c>
      <c r="AM50" s="7" t="s">
        <v>28</v>
      </c>
      <c r="AN50" s="17">
        <f>IF(ISERROR(SEARCH("no",Tabella1[[#This Row],[Ipertensione]],1)),0,1)</f>
        <v>0</v>
      </c>
      <c r="AO50" s="7" t="s">
        <v>382</v>
      </c>
      <c r="AP50" s="18">
        <f>IF(ISERROR(SEARCH("NO",Tabella1[[#This Row],[Cardiopatia ischemica]],1)),1,0)</f>
        <v>0</v>
      </c>
      <c r="AQ50" s="17">
        <f>IF(ISERROR(SEARCH("sconosciuto",Tabella1[[#This Row],[Cardiopatia ischemica]],1)),0,1)</f>
        <v>0</v>
      </c>
      <c r="AR50" s="7" t="s">
        <v>309</v>
      </c>
      <c r="AS50" s="22">
        <f>IF(ISERROR(SEARCH("nega",Tabella1[[#This Row],[Artimie]],1)),0,1)</f>
        <v>1</v>
      </c>
      <c r="AT50" s="7" t="s">
        <v>729</v>
      </c>
      <c r="AU50" s="22">
        <f>IF(ISERROR(SEARCH("nega",Tabella1[[#This Row],[Ipercolesterolemia]],1)),0,1)</f>
        <v>0</v>
      </c>
      <c r="AV50" s="22">
        <f>IF(ISERROR(SEARCH("boh",Tabella1[[#This Row],[Ipercolesterolemia]],1)),0,1)</f>
        <v>0</v>
      </c>
      <c r="AW50" s="7" t="s">
        <v>309</v>
      </c>
      <c r="AX50" s="22">
        <f>IF(ISERROR(SEARCH("Intolleranza",Tabella1[[#This Row],[Diabete]],1)),0,1)</f>
        <v>0</v>
      </c>
      <c r="AY50" s="22">
        <f>IF(ISERROR(SEARCH("si",Tabella1[[#This Row],[Diabete]],1)),0,1)</f>
        <v>0</v>
      </c>
      <c r="AZ50" s="7" t="s">
        <v>730</v>
      </c>
      <c r="BA50" s="17">
        <f>IF(ISERROR(SEARCH("NDD",Tabella1[[#This Row],[Patologia Tiroidea]],1)),0,1)</f>
        <v>0</v>
      </c>
      <c r="BB50" s="22">
        <f>IF(ISERROR(SEARCH("TIROIDITE",Tabella1[[#This Row],[Patologia Tiroidea]],1)),0,1)</f>
        <v>0</v>
      </c>
      <c r="BC50" s="22">
        <f>IF(ISERROR(SEARCH("HASHIMOTO",Tabella1[[#This Row],[Patologia Tiroidea]],1)),0,1)</f>
        <v>0</v>
      </c>
      <c r="BD50" s="22">
        <f>IF(ISERROR(SEARCH("BASEDOW",Tabella1[[#This Row],[Patologia Tiroidea]],1)),0,1)</f>
        <v>0</v>
      </c>
      <c r="BE50" s="22">
        <f>IF(ISERROR(SEARCH("NOD",Tabella1[[#This Row],[Patologia Tiroidea]],1)),0,1)</f>
        <v>0</v>
      </c>
      <c r="BF50" s="22">
        <f>IF(ISERROR(SEARCH("GOZ",Tabella1[[#This Row],[Patologia Tiroidea]],1)),0,1)</f>
        <v>0</v>
      </c>
      <c r="BG50" s="7" t="s">
        <v>5477</v>
      </c>
      <c r="BH50" s="18">
        <v>0</v>
      </c>
      <c r="BI50" s="7" t="s">
        <v>516</v>
      </c>
      <c r="BJ50" s="22">
        <f>IF(ISERROR(SEARCH("nega",Tabella1[[#This Row],[Reflusso gastroesofageo]],1)),1,0)</f>
        <v>1</v>
      </c>
      <c r="BK50" s="7" t="s">
        <v>309</v>
      </c>
      <c r="BL50" s="17">
        <f>IF(ISERROR(SEARCH("NDD",Tabella1[[#This Row],[Patologia respiratoria]],1)),0,1)</f>
        <v>0</v>
      </c>
      <c r="BM50" s="17">
        <f>IF(ISERROR(SEARCH("asma",Tabella1[[#This Row],[Patologia respiratoria]],1)),0,1)</f>
        <v>0</v>
      </c>
      <c r="BN50" s="17">
        <f>IF(ISERROR(SEARCH("BPCO",Tabella1[[#This Row],[Patologia respiratoria]],1)),0,1)</f>
        <v>0</v>
      </c>
      <c r="BO50" s="17">
        <f>IF(ISERROR(SEARCH("BRONCOPOLMONITE",Tabella1[[#This Row],[Patologia respiratoria]],1)),0,1)</f>
        <v>0</v>
      </c>
      <c r="BP50" s="17">
        <f>IF(ISERROR(SEARCH("ASMA, OSAS",Tabella1[[#This Row],[Patologia respiratoria]],1)),0,1)</f>
        <v>0</v>
      </c>
      <c r="BQ50" s="17">
        <f>IF(ISERROR(SEARCH("OSAS e BPCO",Tabella1[[#This Row],[Patologia respiratoria]],1)),0,1)</f>
        <v>0</v>
      </c>
      <c r="BR50" s="17">
        <f>IF(ISERROR(SEARCH("OSAS",Tabella1[[#This Row],[Patologia respiratoria]],1)),0,1)</f>
        <v>0</v>
      </c>
      <c r="BS50" s="7" t="s">
        <v>195</v>
      </c>
      <c r="BT50" s="7" t="s">
        <v>731</v>
      </c>
      <c r="BU50" s="7" t="s">
        <v>195</v>
      </c>
      <c r="BV50" s="17">
        <f>IF(ISERROR(SEARCH("ndd",Tabella1[[#This Row],[O2 terapia]],1)),0,1)</f>
        <v>0</v>
      </c>
      <c r="BW50" s="17">
        <v>0</v>
      </c>
      <c r="BX50" s="7" t="s">
        <v>195</v>
      </c>
      <c r="BY50" s="7" t="s">
        <v>732</v>
      </c>
      <c r="BZ50" s="17">
        <v>1</v>
      </c>
      <c r="CA50" s="7" t="s">
        <v>733</v>
      </c>
      <c r="CB50" s="17">
        <v>1</v>
      </c>
      <c r="CC50" s="7" t="s">
        <v>734</v>
      </c>
      <c r="CD50" s="17">
        <v>1</v>
      </c>
      <c r="CE50" s="7" t="s">
        <v>309</v>
      </c>
      <c r="CF50" s="18">
        <v>0</v>
      </c>
      <c r="CG50" s="7" t="s">
        <v>686</v>
      </c>
      <c r="CH50" s="17">
        <v>0</v>
      </c>
      <c r="CI50" s="7" t="s">
        <v>686</v>
      </c>
      <c r="CJ50" s="18">
        <v>0</v>
      </c>
      <c r="CK50" s="7" t="s">
        <v>278</v>
      </c>
      <c r="CL50" s="17">
        <v>1</v>
      </c>
      <c r="CM50" s="7" t="s">
        <v>688</v>
      </c>
      <c r="CN50" s="17">
        <v>1</v>
      </c>
      <c r="CO50" s="7" t="s">
        <v>735</v>
      </c>
      <c r="CP50" s="17">
        <v>1</v>
      </c>
      <c r="CQ50" s="7" t="s">
        <v>69</v>
      </c>
      <c r="CR50" s="7" t="s">
        <v>388</v>
      </c>
      <c r="CS50" s="7" t="s">
        <v>71</v>
      </c>
      <c r="CT50" s="7" t="s">
        <v>736</v>
      </c>
      <c r="CU50" s="7" t="s">
        <v>737</v>
      </c>
      <c r="CV50" s="8" t="s">
        <v>738</v>
      </c>
    </row>
    <row r="51" spans="1:100" ht="28.5">
      <c r="A51" s="1">
        <f t="shared" si="0"/>
        <v>50</v>
      </c>
      <c r="B51" s="9">
        <v>368</v>
      </c>
      <c r="C51" s="10">
        <v>44635</v>
      </c>
      <c r="D51" s="11" t="s">
        <v>739</v>
      </c>
      <c r="E51" s="10">
        <v>22749</v>
      </c>
      <c r="F51" s="29">
        <f ca="1">_xlfn.DAYS(NOW(),Tabella1[[#This Row],[Data di Nascita]])/365.25</f>
        <v>63.310061601642708</v>
      </c>
      <c r="G51" s="11"/>
      <c r="H51" s="11" t="s">
        <v>740</v>
      </c>
      <c r="I51" s="11" t="s">
        <v>741</v>
      </c>
      <c r="J51" s="11" t="s">
        <v>742</v>
      </c>
      <c r="K51" s="11" t="s">
        <v>743</v>
      </c>
      <c r="L51" s="18">
        <f>IF(ISERROR(SEARCH("EX",Tabella1[[#This Row],[Attività lavorativa]],1)),0,1)</f>
        <v>1</v>
      </c>
      <c r="M51" s="18"/>
      <c r="N51" s="17">
        <v>1</v>
      </c>
      <c r="O51" s="18"/>
      <c r="P51" s="18"/>
      <c r="Q51" s="18"/>
      <c r="R51" s="18"/>
      <c r="S51" s="18"/>
      <c r="T51" s="17">
        <f>IF(ISERROR(SEARCH("NDD",Tabella1[[#This Row],[Attività lavorativa]],1)),0,1)</f>
        <v>0</v>
      </c>
      <c r="U51" s="11" t="s">
        <v>8</v>
      </c>
      <c r="V51" s="22"/>
      <c r="W51" s="22">
        <f>IF(ISERROR(SEARCH("ex",Tabella1[[#This Row],[Fumo]],1)),0,1)</f>
        <v>0</v>
      </c>
      <c r="X51" s="22">
        <f>IF(ISERROR(SEARCH("no",Tabella1[[#This Row],[Fumo]],1)),0,1)</f>
        <v>1</v>
      </c>
      <c r="Y51" s="11" t="s">
        <v>26</v>
      </c>
      <c r="Z51" s="18">
        <f>IF(ISERROR(SEARCH("NDD",Tabella1[[#This Row],[Bevitore alcolici]],1)),0,1)</f>
        <v>0</v>
      </c>
      <c r="AA51" s="17">
        <f>IF(ISERROR(SEARCH("raro",Tabella1[[#This Row],[Bevitore alcolici]],1)),0,1)</f>
        <v>0</v>
      </c>
      <c r="AB51" s="17">
        <f>IF(ISERROR(SEARCH("saltuariamente",Tabella1[[#This Row],[Bevitore alcolici]],1)),0,1)</f>
        <v>1</v>
      </c>
      <c r="AC51" s="17">
        <f>IF(ISERROR(SEARCH("nega",Tabella1[[#This Row],[Bevitore alcolici]],1)),0,1)</f>
        <v>0</v>
      </c>
      <c r="AD51" s="17">
        <f>IF(ISERROR(SEARCH("potus",Tabella1[[#This Row],[Bevitore alcolici]],1)),0,1)</f>
        <v>0</v>
      </c>
      <c r="AE51" s="11" t="s">
        <v>744</v>
      </c>
      <c r="AF51" s="18"/>
      <c r="AG51" s="18">
        <v>1</v>
      </c>
      <c r="AH51" s="18"/>
      <c r="AI51" s="18"/>
      <c r="AJ51" s="18"/>
      <c r="AK51" s="11" t="s">
        <v>28</v>
      </c>
      <c r="AL51" s="18">
        <f>IF(ISERROR(SEARCH("si",Tabella1[[#This Row],[Patente di guida]],1)),0,1)</f>
        <v>1</v>
      </c>
      <c r="AM51" s="11" t="s">
        <v>8</v>
      </c>
      <c r="AN51" s="18">
        <f>IF(ISERROR(SEARCH("no",Tabella1[[#This Row],[Ipertensione]],1)),0,1)</f>
        <v>1</v>
      </c>
      <c r="AO51" s="11" t="s">
        <v>382</v>
      </c>
      <c r="AP51" s="18">
        <f>IF(ISERROR(SEARCH("NO",Tabella1[[#This Row],[Cardiopatia ischemica]],1)),1,0)</f>
        <v>0</v>
      </c>
      <c r="AQ51" s="17">
        <f>IF(ISERROR(SEARCH("sconosciuto",Tabella1[[#This Row],[Cardiopatia ischemica]],1)),0,1)</f>
        <v>0</v>
      </c>
      <c r="AR51" s="11" t="s">
        <v>25</v>
      </c>
      <c r="AS51" s="22">
        <f>IF(ISERROR(SEARCH("nega",Tabella1[[#This Row],[Artimie]],1)),0,1)</f>
        <v>1</v>
      </c>
      <c r="AT51" s="11" t="s">
        <v>25</v>
      </c>
      <c r="AU51" s="22">
        <f>IF(ISERROR(SEARCH("nega",Tabella1[[#This Row],[Ipercolesterolemia]],1)),0,1)</f>
        <v>1</v>
      </c>
      <c r="AV51" s="22">
        <f>IF(ISERROR(SEARCH("boh",Tabella1[[#This Row],[Ipercolesterolemia]],1)),0,1)</f>
        <v>0</v>
      </c>
      <c r="AW51" s="11" t="s">
        <v>8</v>
      </c>
      <c r="AX51" s="22">
        <f>IF(ISERROR(SEARCH("Intolleranza",Tabella1[[#This Row],[Diabete]],1)),0,1)</f>
        <v>0</v>
      </c>
      <c r="AY51" s="22">
        <f>IF(ISERROR(SEARCH("si",Tabella1[[#This Row],[Diabete]],1)),0,1)</f>
        <v>0</v>
      </c>
      <c r="AZ51" s="11" t="s">
        <v>8</v>
      </c>
      <c r="BA51" s="18">
        <f>IF(ISERROR(SEARCH("NDD",Tabella1[[#This Row],[Patologia Tiroidea]],1)),0,1)</f>
        <v>0</v>
      </c>
      <c r="BB51" s="22">
        <f>IF(ISERROR(SEARCH("TIROIDITE",Tabella1[[#This Row],[Patologia Tiroidea]],1)),0,1)</f>
        <v>0</v>
      </c>
      <c r="BC51" s="22">
        <f>IF(ISERROR(SEARCH("HASHIMOTO",Tabella1[[#This Row],[Patologia Tiroidea]],1)),0,1)</f>
        <v>0</v>
      </c>
      <c r="BD51" s="22">
        <f>IF(ISERROR(SEARCH("BASEDOW",Tabella1[[#This Row],[Patologia Tiroidea]],1)),0,1)</f>
        <v>0</v>
      </c>
      <c r="BE51" s="22">
        <f>IF(ISERROR(SEARCH("NOD",Tabella1[[#This Row],[Patologia Tiroidea]],1)),0,1)</f>
        <v>0</v>
      </c>
      <c r="BF51" s="22">
        <f>IF(ISERROR(SEARCH("GOZ",Tabella1[[#This Row],[Patologia Tiroidea]],1)),0,1)</f>
        <v>0</v>
      </c>
      <c r="BG51" s="11" t="s">
        <v>745</v>
      </c>
      <c r="BH51" s="18">
        <f>IF(Tabella1[[#This Row],[Obesità]]="no",0,1)</f>
        <v>1</v>
      </c>
      <c r="BI51" s="11" t="s">
        <v>34</v>
      </c>
      <c r="BJ51" s="22">
        <f>IF(ISERROR(SEARCH("nega",Tabella1[[#This Row],[Reflusso gastroesofageo]],1)),1,0)</f>
        <v>1</v>
      </c>
      <c r="BK51" s="11" t="s">
        <v>3802</v>
      </c>
      <c r="BL51" s="18">
        <f>IF(ISERROR(SEARCH("NDD",Tabella1[[#This Row],[Patologia respiratoria]],1)),0,1)</f>
        <v>0</v>
      </c>
      <c r="BM51" s="18">
        <f>IF(ISERROR(SEARCH("asma",Tabella1[[#This Row],[Patologia respiratoria]],1)),0,1)</f>
        <v>1</v>
      </c>
      <c r="BN51" s="18">
        <f>IF(ISERROR(SEARCH("BPCO",Tabella1[[#This Row],[Patologia respiratoria]],1)),0,1)</f>
        <v>0</v>
      </c>
      <c r="BO51" s="18">
        <f>IF(ISERROR(SEARCH("BRONCOPOLMONITE",Tabella1[[#This Row],[Patologia respiratoria]],1)),0,1)</f>
        <v>0</v>
      </c>
      <c r="BP51" s="18">
        <f>IF(ISERROR(SEARCH("ASMA, OSAS",Tabella1[[#This Row],[Patologia respiratoria]],1)),0,1)</f>
        <v>0</v>
      </c>
      <c r="BQ51" s="18">
        <f>IF(ISERROR(SEARCH("OSAS e BPCO",Tabella1[[#This Row],[Patologia respiratoria]],1)),0,1)</f>
        <v>0</v>
      </c>
      <c r="BR51" s="18">
        <f>IF(ISERROR(SEARCH("OSAS",Tabella1[[#This Row],[Patologia respiratoria]],1)),0,1)</f>
        <v>0</v>
      </c>
      <c r="BS51" s="11" t="s">
        <v>8</v>
      </c>
      <c r="BT51" s="11" t="s">
        <v>8</v>
      </c>
      <c r="BU51" s="11" t="s">
        <v>8</v>
      </c>
      <c r="BV51" s="18">
        <f>IF(ISERROR(SEARCH("ndd",Tabella1[[#This Row],[O2 terapia]],1)),0,1)</f>
        <v>0</v>
      </c>
      <c r="BW51" s="17">
        <v>0</v>
      </c>
      <c r="BX51" s="11" t="s">
        <v>8</v>
      </c>
      <c r="BY51" s="11" t="s">
        <v>8</v>
      </c>
      <c r="BZ51" s="18">
        <v>0</v>
      </c>
      <c r="CA51" s="11" t="s">
        <v>8</v>
      </c>
      <c r="CB51" s="17">
        <v>0</v>
      </c>
      <c r="CC51" s="11" t="s">
        <v>28</v>
      </c>
      <c r="CD51" s="17">
        <v>1</v>
      </c>
      <c r="CE51" s="11" t="s">
        <v>8</v>
      </c>
      <c r="CF51" s="18">
        <v>0</v>
      </c>
      <c r="CG51" s="11" t="s">
        <v>28</v>
      </c>
      <c r="CH51" s="17">
        <v>1</v>
      </c>
      <c r="CI51" s="11" t="s">
        <v>28</v>
      </c>
      <c r="CJ51" s="17">
        <v>1</v>
      </c>
      <c r="CK51" s="11" t="s">
        <v>28</v>
      </c>
      <c r="CL51" s="17">
        <v>1</v>
      </c>
      <c r="CM51" s="11" t="s">
        <v>28</v>
      </c>
      <c r="CN51" s="17">
        <v>1</v>
      </c>
      <c r="CO51" s="11" t="s">
        <v>28</v>
      </c>
      <c r="CP51" s="17">
        <v>1</v>
      </c>
      <c r="CQ51" s="11" t="s">
        <v>202</v>
      </c>
      <c r="CR51" s="11" t="s">
        <v>507</v>
      </c>
      <c r="CS51" s="11" t="s">
        <v>86</v>
      </c>
      <c r="CT51" s="11" t="s">
        <v>746</v>
      </c>
      <c r="CU51" s="11"/>
      <c r="CV51" s="12"/>
    </row>
    <row r="52" spans="1:100" ht="85.5">
      <c r="A52" s="1">
        <f t="shared" si="0"/>
        <v>51</v>
      </c>
      <c r="B52" s="5">
        <v>378</v>
      </c>
      <c r="C52" s="6">
        <v>44648</v>
      </c>
      <c r="D52" s="7" t="s">
        <v>747</v>
      </c>
      <c r="E52" s="6">
        <v>19458</v>
      </c>
      <c r="F52" s="29">
        <f ca="1">_xlfn.DAYS(NOW(),Tabella1[[#This Row],[Data di Nascita]])/365.25</f>
        <v>72.320328542094458</v>
      </c>
      <c r="G52" s="7" t="s">
        <v>748</v>
      </c>
      <c r="H52" s="7" t="s">
        <v>749</v>
      </c>
      <c r="I52" s="7" t="s">
        <v>676</v>
      </c>
      <c r="J52" s="7" t="s">
        <v>473</v>
      </c>
      <c r="K52" s="7" t="s">
        <v>79</v>
      </c>
      <c r="L52" s="17">
        <f>IF(ISERROR(SEARCH("EX",Tabella1[[#This Row],[Attività lavorativa]],1)),0,1)</f>
        <v>0</v>
      </c>
      <c r="M52" s="17"/>
      <c r="N52" s="17"/>
      <c r="O52" s="17"/>
      <c r="P52" s="18">
        <v>1</v>
      </c>
      <c r="Q52" s="17"/>
      <c r="R52" s="17"/>
      <c r="S52" s="17"/>
      <c r="T52" s="17">
        <f>IF(ISERROR(SEARCH("NDD",Tabella1[[#This Row],[Attività lavorativa]],1)),0,1)</f>
        <v>0</v>
      </c>
      <c r="U52" s="7" t="s">
        <v>750</v>
      </c>
      <c r="V52" s="22">
        <v>45</v>
      </c>
      <c r="W52" s="22">
        <f>IF(ISERROR(SEARCH("ex",Tabella1[[#This Row],[Fumo]],1)),0,1)</f>
        <v>0</v>
      </c>
      <c r="X52" s="22">
        <f>IF(ISERROR(SEARCH("no",Tabella1[[#This Row],[Fumo]],1)),0,1)</f>
        <v>0</v>
      </c>
      <c r="Y52" s="7" t="s">
        <v>25</v>
      </c>
      <c r="Z52" s="17">
        <f>IF(ISERROR(SEARCH("NDD",Tabella1[[#This Row],[Bevitore alcolici]],1)),0,1)</f>
        <v>0</v>
      </c>
      <c r="AA52" s="17">
        <f>IF(ISERROR(SEARCH("raro",Tabella1[[#This Row],[Bevitore alcolici]],1)),0,1)</f>
        <v>0</v>
      </c>
      <c r="AB52" s="17">
        <f>IF(ISERROR(SEARCH("saltuariamente",Tabella1[[#This Row],[Bevitore alcolici]],1)),0,1)</f>
        <v>0</v>
      </c>
      <c r="AC52" s="17">
        <f>IF(ISERROR(SEARCH("nega",Tabella1[[#This Row],[Bevitore alcolici]],1)),0,1)</f>
        <v>1</v>
      </c>
      <c r="AD52" s="17">
        <f>IF(ISERROR(SEARCH("potus",Tabella1[[#This Row],[Bevitore alcolici]],1)),0,1)</f>
        <v>0</v>
      </c>
      <c r="AE52" s="7" t="s">
        <v>751</v>
      </c>
      <c r="AF52" s="17"/>
      <c r="AG52" s="17"/>
      <c r="AH52" s="18">
        <v>1</v>
      </c>
      <c r="AI52" s="18">
        <v>1</v>
      </c>
      <c r="AJ52" s="18"/>
      <c r="AK52" s="7" t="s">
        <v>28</v>
      </c>
      <c r="AL52" s="17">
        <f>IF(ISERROR(SEARCH("si",Tabella1[[#This Row],[Patente di guida]],1)),0,1)</f>
        <v>1</v>
      </c>
      <c r="AM52" s="7" t="s">
        <v>28</v>
      </c>
      <c r="AN52" s="17">
        <f>IF(ISERROR(SEARCH("no",Tabella1[[#This Row],[Ipertensione]],1)),0,1)</f>
        <v>0</v>
      </c>
      <c r="AO52" s="7" t="s">
        <v>382</v>
      </c>
      <c r="AP52" s="18">
        <f>IF(ISERROR(SEARCH("NO",Tabella1[[#This Row],[Cardiopatia ischemica]],1)),1,0)</f>
        <v>0</v>
      </c>
      <c r="AQ52" s="17">
        <f>IF(ISERROR(SEARCH("sconosciuto",Tabella1[[#This Row],[Cardiopatia ischemica]],1)),0,1)</f>
        <v>0</v>
      </c>
      <c r="AR52" s="7" t="s">
        <v>25</v>
      </c>
      <c r="AS52" s="22">
        <f>IF(ISERROR(SEARCH("nega",Tabella1[[#This Row],[Artimie]],1)),0,1)</f>
        <v>1</v>
      </c>
      <c r="AT52" s="7" t="s">
        <v>7</v>
      </c>
      <c r="AU52" s="22">
        <f>IF(ISERROR(SEARCH("nega",Tabella1[[#This Row],[Ipercolesterolemia]],1)),0,1)</f>
        <v>0</v>
      </c>
      <c r="AV52" s="22">
        <f>IF(ISERROR(SEARCH("boh",Tabella1[[#This Row],[Ipercolesterolemia]],1)),0,1)</f>
        <v>0</v>
      </c>
      <c r="AW52" s="7" t="s">
        <v>25</v>
      </c>
      <c r="AX52" s="22">
        <f>IF(ISERROR(SEARCH("Intolleranza",Tabella1[[#This Row],[Diabete]],1)),0,1)</f>
        <v>0</v>
      </c>
      <c r="AY52" s="22">
        <f>IF(ISERROR(SEARCH("si",Tabella1[[#This Row],[Diabete]],1)),0,1)</f>
        <v>0</v>
      </c>
      <c r="AZ52" s="7" t="s">
        <v>25</v>
      </c>
      <c r="BA52" s="17">
        <f>IF(ISERROR(SEARCH("NDD",Tabella1[[#This Row],[Patologia Tiroidea]],1)),0,1)</f>
        <v>0</v>
      </c>
      <c r="BB52" s="22">
        <f>IF(ISERROR(SEARCH("TIROIDITE",Tabella1[[#This Row],[Patologia Tiroidea]],1)),0,1)</f>
        <v>0</v>
      </c>
      <c r="BC52" s="22">
        <f>IF(ISERROR(SEARCH("HASHIMOTO",Tabella1[[#This Row],[Patologia Tiroidea]],1)),0,1)</f>
        <v>0</v>
      </c>
      <c r="BD52" s="22">
        <f>IF(ISERROR(SEARCH("BASEDOW",Tabella1[[#This Row],[Patologia Tiroidea]],1)),0,1)</f>
        <v>0</v>
      </c>
      <c r="BE52" s="22">
        <f>IF(ISERROR(SEARCH("NOD",Tabella1[[#This Row],[Patologia Tiroidea]],1)),0,1)</f>
        <v>0</v>
      </c>
      <c r="BF52" s="22">
        <f>IF(ISERROR(SEARCH("GOZ",Tabella1[[#This Row],[Patologia Tiroidea]],1)),0,1)</f>
        <v>0</v>
      </c>
      <c r="BG52" s="7" t="s">
        <v>47</v>
      </c>
      <c r="BH52" s="17">
        <f>IF(Tabella1[[#This Row],[Obesità]]="no",0,1)</f>
        <v>1</v>
      </c>
      <c r="BI52" s="7" t="s">
        <v>25</v>
      </c>
      <c r="BJ52" s="22">
        <f>IF(ISERROR(SEARCH("nega",Tabella1[[#This Row],[Reflusso gastroesofageo]],1)),1,0)</f>
        <v>0</v>
      </c>
      <c r="BK52" s="7" t="s">
        <v>25</v>
      </c>
      <c r="BL52" s="17">
        <f>IF(ISERROR(SEARCH("NDD",Tabella1[[#This Row],[Patologia respiratoria]],1)),0,1)</f>
        <v>0</v>
      </c>
      <c r="BM52" s="17">
        <f>IF(ISERROR(SEARCH("asma",Tabella1[[#This Row],[Patologia respiratoria]],1)),0,1)</f>
        <v>0</v>
      </c>
      <c r="BN52" s="17">
        <f>IF(ISERROR(SEARCH("BPCO",Tabella1[[#This Row],[Patologia respiratoria]],1)),0,1)</f>
        <v>0</v>
      </c>
      <c r="BO52" s="17">
        <f>IF(ISERROR(SEARCH("BRONCOPOLMONITE",Tabella1[[#This Row],[Patologia respiratoria]],1)),0,1)</f>
        <v>0</v>
      </c>
      <c r="BP52" s="17">
        <f>IF(ISERROR(SEARCH("ASMA, OSAS",Tabella1[[#This Row],[Patologia respiratoria]],1)),0,1)</f>
        <v>0</v>
      </c>
      <c r="BQ52" s="17">
        <f>IF(ISERROR(SEARCH("OSAS e BPCO",Tabella1[[#This Row],[Patologia respiratoria]],1)),0,1)</f>
        <v>0</v>
      </c>
      <c r="BR52" s="17">
        <f>IF(ISERROR(SEARCH("OSAS",Tabella1[[#This Row],[Patologia respiratoria]],1)),0,1)</f>
        <v>0</v>
      </c>
      <c r="BS52" s="7" t="s">
        <v>752</v>
      </c>
      <c r="BT52" s="7" t="s">
        <v>753</v>
      </c>
      <c r="BU52" s="7" t="s">
        <v>8</v>
      </c>
      <c r="BV52" s="17">
        <f>IF(ISERROR(SEARCH("ndd",Tabella1[[#This Row],[O2 terapia]],1)),0,1)</f>
        <v>0</v>
      </c>
      <c r="BW52" s="17">
        <v>0</v>
      </c>
      <c r="BX52" s="7"/>
      <c r="BY52" s="7" t="s">
        <v>754</v>
      </c>
      <c r="BZ52" s="17">
        <v>1</v>
      </c>
      <c r="CA52" s="7" t="s">
        <v>25</v>
      </c>
      <c r="CB52" s="17">
        <v>0</v>
      </c>
      <c r="CC52" s="7" t="s">
        <v>755</v>
      </c>
      <c r="CD52" s="17">
        <v>1</v>
      </c>
      <c r="CE52" s="7" t="s">
        <v>25</v>
      </c>
      <c r="CF52" s="18">
        <v>0</v>
      </c>
      <c r="CG52" s="7" t="s">
        <v>25</v>
      </c>
      <c r="CH52" s="17">
        <v>0</v>
      </c>
      <c r="CI52" s="7" t="s">
        <v>25</v>
      </c>
      <c r="CJ52" s="18">
        <v>0</v>
      </c>
      <c r="CK52" s="7" t="s">
        <v>756</v>
      </c>
      <c r="CL52" s="17">
        <v>1</v>
      </c>
      <c r="CM52" s="7" t="s">
        <v>757</v>
      </c>
      <c r="CN52" s="17">
        <v>1</v>
      </c>
      <c r="CO52" s="7" t="s">
        <v>25</v>
      </c>
      <c r="CP52" s="18">
        <v>0</v>
      </c>
      <c r="CQ52" s="7" t="s">
        <v>317</v>
      </c>
      <c r="CR52" s="7" t="s">
        <v>55</v>
      </c>
      <c r="CS52" s="7" t="s">
        <v>37</v>
      </c>
      <c r="CT52" s="7" t="s">
        <v>262</v>
      </c>
      <c r="CU52" s="7"/>
      <c r="CV52" s="8"/>
    </row>
    <row r="53" spans="1:100" ht="384.75">
      <c r="A53" s="1">
        <f t="shared" si="0"/>
        <v>52</v>
      </c>
      <c r="B53" s="9">
        <v>379</v>
      </c>
      <c r="C53" s="10">
        <v>44648</v>
      </c>
      <c r="D53" s="11" t="s">
        <v>758</v>
      </c>
      <c r="E53" s="10">
        <v>26542</v>
      </c>
      <c r="F53" s="29">
        <f ca="1">_xlfn.DAYS(NOW(),Tabella1[[#This Row],[Data di Nascita]])/365.25</f>
        <v>52.925393566050651</v>
      </c>
      <c r="G53" s="11" t="s">
        <v>759</v>
      </c>
      <c r="H53" s="11" t="s">
        <v>760</v>
      </c>
      <c r="I53" s="11" t="s">
        <v>676</v>
      </c>
      <c r="J53" s="11" t="s">
        <v>761</v>
      </c>
      <c r="K53" s="11" t="s">
        <v>762</v>
      </c>
      <c r="L53" s="18">
        <f>IF(ISERROR(SEARCH("EX",Tabella1[[#This Row],[Attività lavorativa]],1)),0,1)</f>
        <v>0</v>
      </c>
      <c r="M53" s="18">
        <v>1</v>
      </c>
      <c r="N53" s="18"/>
      <c r="O53" s="18"/>
      <c r="P53" s="18"/>
      <c r="Q53" s="18"/>
      <c r="R53" s="18"/>
      <c r="S53" s="18"/>
      <c r="T53" s="17">
        <f>IF(ISERROR(SEARCH("NDD",Tabella1[[#This Row],[Attività lavorativa]],1)),0,1)</f>
        <v>0</v>
      </c>
      <c r="U53" s="11" t="s">
        <v>763</v>
      </c>
      <c r="V53" s="22">
        <v>1</v>
      </c>
      <c r="W53" s="22">
        <f>IF(ISERROR(SEARCH("ex",Tabella1[[#This Row],[Fumo]],1)),0,1)</f>
        <v>0</v>
      </c>
      <c r="X53" s="22">
        <f>IF(ISERROR(SEARCH("no",Tabella1[[#This Row],[Fumo]],1)),0,1)</f>
        <v>0</v>
      </c>
      <c r="Y53" s="11" t="s">
        <v>25</v>
      </c>
      <c r="Z53" s="18">
        <f>IF(ISERROR(SEARCH("NDD",Tabella1[[#This Row],[Bevitore alcolici]],1)),0,1)</f>
        <v>0</v>
      </c>
      <c r="AA53" s="17">
        <f>IF(ISERROR(SEARCH("raro",Tabella1[[#This Row],[Bevitore alcolici]],1)),0,1)</f>
        <v>0</v>
      </c>
      <c r="AB53" s="17">
        <f>IF(ISERROR(SEARCH("saltuariamente",Tabella1[[#This Row],[Bevitore alcolici]],1)),0,1)</f>
        <v>0</v>
      </c>
      <c r="AC53" s="17">
        <f>IF(ISERROR(SEARCH("nega",Tabella1[[#This Row],[Bevitore alcolici]],1)),0,1)</f>
        <v>1</v>
      </c>
      <c r="AD53" s="17">
        <f>IF(ISERROR(SEARCH("potus",Tabella1[[#This Row],[Bevitore alcolici]],1)),0,1)</f>
        <v>0</v>
      </c>
      <c r="AE53" s="11" t="s">
        <v>764</v>
      </c>
      <c r="AF53" s="18"/>
      <c r="AG53" s="18">
        <v>1</v>
      </c>
      <c r="AH53" s="18"/>
      <c r="AI53" s="18"/>
      <c r="AJ53" s="18"/>
      <c r="AK53" s="11" t="s">
        <v>28</v>
      </c>
      <c r="AL53" s="18">
        <f>IF(ISERROR(SEARCH("si",Tabella1[[#This Row],[Patente di guida]],1)),0,1)</f>
        <v>1</v>
      </c>
      <c r="AM53" s="11" t="s">
        <v>8</v>
      </c>
      <c r="AN53" s="18">
        <f>IF(ISERROR(SEARCH("no",Tabella1[[#This Row],[Ipertensione]],1)),0,1)</f>
        <v>1</v>
      </c>
      <c r="AO53" s="11" t="s">
        <v>382</v>
      </c>
      <c r="AP53" s="18">
        <f>IF(ISERROR(SEARCH("NO",Tabella1[[#This Row],[Cardiopatia ischemica]],1)),1,0)</f>
        <v>0</v>
      </c>
      <c r="AQ53" s="17">
        <f>IF(ISERROR(SEARCH("sconosciuto",Tabella1[[#This Row],[Cardiopatia ischemica]],1)),0,1)</f>
        <v>0</v>
      </c>
      <c r="AR53" s="11" t="s">
        <v>25</v>
      </c>
      <c r="AS53" s="22">
        <f>IF(ISERROR(SEARCH("nega",Tabella1[[#This Row],[Artimie]],1)),0,1)</f>
        <v>1</v>
      </c>
      <c r="AT53" s="11" t="s">
        <v>25</v>
      </c>
      <c r="AU53" s="22">
        <f>IF(ISERROR(SEARCH("nega",Tabella1[[#This Row],[Ipercolesterolemia]],1)),0,1)</f>
        <v>1</v>
      </c>
      <c r="AV53" s="22">
        <f>IF(ISERROR(SEARCH("boh",Tabella1[[#This Row],[Ipercolesterolemia]],1)),0,1)</f>
        <v>0</v>
      </c>
      <c r="AW53" s="11" t="s">
        <v>25</v>
      </c>
      <c r="AX53" s="22">
        <f>IF(ISERROR(SEARCH("Intolleranza",Tabella1[[#This Row],[Diabete]],1)),0,1)</f>
        <v>0</v>
      </c>
      <c r="AY53" s="22">
        <f>IF(ISERROR(SEARCH("si",Tabella1[[#This Row],[Diabete]],1)),0,1)</f>
        <v>0</v>
      </c>
      <c r="AZ53" s="11" t="s">
        <v>25</v>
      </c>
      <c r="BA53" s="18">
        <f>IF(ISERROR(SEARCH("NDD",Tabella1[[#This Row],[Patologia Tiroidea]],1)),0,1)</f>
        <v>0</v>
      </c>
      <c r="BB53" s="22">
        <f>IF(ISERROR(SEARCH("TIROIDITE",Tabella1[[#This Row],[Patologia Tiroidea]],1)),0,1)</f>
        <v>0</v>
      </c>
      <c r="BC53" s="22">
        <f>IF(ISERROR(SEARCH("HASHIMOTO",Tabella1[[#This Row],[Patologia Tiroidea]],1)),0,1)</f>
        <v>0</v>
      </c>
      <c r="BD53" s="22">
        <f>IF(ISERROR(SEARCH("BASEDOW",Tabella1[[#This Row],[Patologia Tiroidea]],1)),0,1)</f>
        <v>0</v>
      </c>
      <c r="BE53" s="22">
        <f>IF(ISERROR(SEARCH("NOD",Tabella1[[#This Row],[Patologia Tiroidea]],1)),0,1)</f>
        <v>0</v>
      </c>
      <c r="BF53" s="22">
        <f>IF(ISERROR(SEARCH("GOZ",Tabella1[[#This Row],[Patologia Tiroidea]],1)),0,1)</f>
        <v>0</v>
      </c>
      <c r="BG53" s="11" t="s">
        <v>7</v>
      </c>
      <c r="BH53" s="18">
        <f>IF(Tabella1[[#This Row],[Obesità]]="no",0,1)</f>
        <v>1</v>
      </c>
      <c r="BI53" s="11" t="s">
        <v>765</v>
      </c>
      <c r="BJ53" s="22">
        <f>IF(ISERROR(SEARCH("nega",Tabella1[[#This Row],[Reflusso gastroesofageo]],1)),1,0)</f>
        <v>1</v>
      </c>
      <c r="BK53" s="11" t="s">
        <v>25</v>
      </c>
      <c r="BL53" s="18">
        <f>IF(ISERROR(SEARCH("NDD",Tabella1[[#This Row],[Patologia respiratoria]],1)),0,1)</f>
        <v>0</v>
      </c>
      <c r="BM53" s="18">
        <f>IF(ISERROR(SEARCH("asma",Tabella1[[#This Row],[Patologia respiratoria]],1)),0,1)</f>
        <v>0</v>
      </c>
      <c r="BN53" s="18">
        <f>IF(ISERROR(SEARCH("BPCO",Tabella1[[#This Row],[Patologia respiratoria]],1)),0,1)</f>
        <v>0</v>
      </c>
      <c r="BO53" s="18">
        <f>IF(ISERROR(SEARCH("BRONCOPOLMONITE",Tabella1[[#This Row],[Patologia respiratoria]],1)),0,1)</f>
        <v>0</v>
      </c>
      <c r="BP53" s="18">
        <f>IF(ISERROR(SEARCH("ASMA, OSAS",Tabella1[[#This Row],[Patologia respiratoria]],1)),0,1)</f>
        <v>0</v>
      </c>
      <c r="BQ53" s="18">
        <f>IF(ISERROR(SEARCH("OSAS e BPCO",Tabella1[[#This Row],[Patologia respiratoria]],1)),0,1)</f>
        <v>0</v>
      </c>
      <c r="BR53" s="18">
        <f>IF(ISERROR(SEARCH("OSAS",Tabella1[[#This Row],[Patologia respiratoria]],1)),0,1)</f>
        <v>0</v>
      </c>
      <c r="BS53" s="11" t="s">
        <v>766</v>
      </c>
      <c r="BT53" s="11" t="s">
        <v>767</v>
      </c>
      <c r="BU53" s="11" t="s">
        <v>8</v>
      </c>
      <c r="BV53" s="18">
        <f>IF(ISERROR(SEARCH("ndd",Tabella1[[#This Row],[O2 terapia]],1)),0,1)</f>
        <v>0</v>
      </c>
      <c r="BW53" s="17">
        <v>0</v>
      </c>
      <c r="BX53" s="11"/>
      <c r="BY53" s="11" t="s">
        <v>768</v>
      </c>
      <c r="BZ53" s="17">
        <v>1</v>
      </c>
      <c r="CA53" s="11" t="s">
        <v>272</v>
      </c>
      <c r="CB53" s="17">
        <v>1</v>
      </c>
      <c r="CC53" s="11" t="s">
        <v>769</v>
      </c>
      <c r="CD53" s="17">
        <v>1</v>
      </c>
      <c r="CE53" s="11" t="s">
        <v>25</v>
      </c>
      <c r="CF53" s="18">
        <v>0</v>
      </c>
      <c r="CG53" s="11" t="s">
        <v>770</v>
      </c>
      <c r="CH53" s="17">
        <v>1</v>
      </c>
      <c r="CI53" s="11" t="s">
        <v>272</v>
      </c>
      <c r="CJ53" s="17">
        <v>1</v>
      </c>
      <c r="CK53" s="11" t="s">
        <v>278</v>
      </c>
      <c r="CL53" s="17">
        <v>1</v>
      </c>
      <c r="CM53" s="11" t="s">
        <v>25</v>
      </c>
      <c r="CN53" s="17">
        <v>0</v>
      </c>
      <c r="CO53" s="11" t="s">
        <v>354</v>
      </c>
      <c r="CP53" s="17">
        <v>1</v>
      </c>
      <c r="CQ53" s="11" t="s">
        <v>85</v>
      </c>
      <c r="CR53" s="11" t="s">
        <v>507</v>
      </c>
      <c r="CS53" s="11" t="s">
        <v>219</v>
      </c>
      <c r="CT53" s="11" t="s">
        <v>595</v>
      </c>
      <c r="CU53" s="11" t="s">
        <v>771</v>
      </c>
      <c r="CV53" s="12" t="s">
        <v>772</v>
      </c>
    </row>
    <row r="54" spans="1:100" ht="313.5">
      <c r="A54" s="1">
        <f t="shared" si="0"/>
        <v>53</v>
      </c>
      <c r="B54" s="5">
        <v>388</v>
      </c>
      <c r="C54" s="6">
        <v>44655</v>
      </c>
      <c r="D54" s="7" t="s">
        <v>773</v>
      </c>
      <c r="E54" s="6">
        <v>18505</v>
      </c>
      <c r="F54" s="29">
        <f ca="1">_xlfn.DAYS(NOW(),Tabella1[[#This Row],[Data di Nascita]])/365.25</f>
        <v>74.92950034223135</v>
      </c>
      <c r="G54" s="7" t="s">
        <v>774</v>
      </c>
      <c r="H54" s="7" t="s">
        <v>775</v>
      </c>
      <c r="I54" s="7" t="s">
        <v>676</v>
      </c>
      <c r="J54" s="7" t="s">
        <v>473</v>
      </c>
      <c r="K54" s="7" t="s">
        <v>776</v>
      </c>
      <c r="L54" s="18">
        <f>IF(ISERROR(SEARCH("EX",Tabella1[[#This Row],[Attività lavorativa]],1)),0,1)</f>
        <v>1</v>
      </c>
      <c r="M54" s="17"/>
      <c r="N54" s="17"/>
      <c r="O54" s="17"/>
      <c r="P54" s="17"/>
      <c r="Q54" s="17"/>
      <c r="R54" s="17"/>
      <c r="S54" s="17"/>
      <c r="T54" s="17">
        <f>IF(ISERROR(SEARCH("NDD",Tabella1[[#This Row],[Attività lavorativa]],1)),0,1)</f>
        <v>0</v>
      </c>
      <c r="U54" s="7" t="s">
        <v>8</v>
      </c>
      <c r="V54" s="22"/>
      <c r="W54" s="22">
        <f>IF(ISERROR(SEARCH("ex",Tabella1[[#This Row],[Fumo]],1)),0,1)</f>
        <v>0</v>
      </c>
      <c r="X54" s="22">
        <f>IF(ISERROR(SEARCH("no",Tabella1[[#This Row],[Fumo]],1)),0,1)</f>
        <v>1</v>
      </c>
      <c r="Y54" s="7" t="s">
        <v>777</v>
      </c>
      <c r="Z54" s="17">
        <f>IF(ISERROR(SEARCH("NDD",Tabella1[[#This Row],[Bevitore alcolici]],1)),0,1)</f>
        <v>0</v>
      </c>
      <c r="AA54" s="17">
        <f>IF(ISERROR(SEARCH("raro",Tabella1[[#This Row],[Bevitore alcolici]],1)),0,1)</f>
        <v>0</v>
      </c>
      <c r="AB54" s="17">
        <f>IF(ISERROR(SEARCH("saltuariamente",Tabella1[[#This Row],[Bevitore alcolici]],1)),0,1)</f>
        <v>0</v>
      </c>
      <c r="AC54" s="17">
        <f>IF(ISERROR(SEARCH("nega",Tabella1[[#This Row],[Bevitore alcolici]],1)),0,1)</f>
        <v>1</v>
      </c>
      <c r="AD54" s="17">
        <f>IF(ISERROR(SEARCH("potus",Tabella1[[#This Row],[Bevitore alcolici]],1)),0,1)</f>
        <v>0</v>
      </c>
      <c r="AE54" s="7" t="s">
        <v>5645</v>
      </c>
      <c r="AF54" s="17"/>
      <c r="AG54" s="17"/>
      <c r="AH54" s="17"/>
      <c r="AI54" s="17"/>
      <c r="AJ54" s="17"/>
      <c r="AK54" s="7" t="s">
        <v>28</v>
      </c>
      <c r="AL54" s="17">
        <f>IF(ISERROR(SEARCH("si",Tabella1[[#This Row],[Patente di guida]],1)),0,1)</f>
        <v>1</v>
      </c>
      <c r="AM54" s="7" t="s">
        <v>8</v>
      </c>
      <c r="AN54" s="17">
        <f>IF(ISERROR(SEARCH("no",Tabella1[[#This Row],[Ipertensione]],1)),0,1)</f>
        <v>1</v>
      </c>
      <c r="AO54" s="7" t="s">
        <v>778</v>
      </c>
      <c r="AP54" s="18">
        <f>IF(ISERROR(SEARCH("NO",Tabella1[[#This Row],[Cardiopatia ischemica]],1)),1,0)</f>
        <v>1</v>
      </c>
      <c r="AQ54" s="17">
        <f>IF(ISERROR(SEARCH("sconosciuto",Tabella1[[#This Row],[Cardiopatia ischemica]],1)),0,1)</f>
        <v>0</v>
      </c>
      <c r="AR54" s="7" t="s">
        <v>25</v>
      </c>
      <c r="AS54" s="22">
        <f>IF(ISERROR(SEARCH("nega",Tabella1[[#This Row],[Artimie]],1)),0,1)</f>
        <v>1</v>
      </c>
      <c r="AT54" s="7" t="s">
        <v>146</v>
      </c>
      <c r="AU54" s="22">
        <f>IF(ISERROR(SEARCH("nega",Tabella1[[#This Row],[Ipercolesterolemia]],1)),0,1)</f>
        <v>0</v>
      </c>
      <c r="AV54" s="22">
        <f>IF(ISERROR(SEARCH("boh",Tabella1[[#This Row],[Ipercolesterolemia]],1)),0,1)</f>
        <v>0</v>
      </c>
      <c r="AW54" s="7" t="s">
        <v>25</v>
      </c>
      <c r="AX54" s="22">
        <f>IF(ISERROR(SEARCH("Intolleranza",Tabella1[[#This Row],[Diabete]],1)),0,1)</f>
        <v>0</v>
      </c>
      <c r="AY54" s="22">
        <f>IF(ISERROR(SEARCH("si",Tabella1[[#This Row],[Diabete]],1)),0,1)</f>
        <v>0</v>
      </c>
      <c r="AZ54" s="7" t="s">
        <v>487</v>
      </c>
      <c r="BA54" s="17">
        <f>IF(ISERROR(SEARCH("NDD",Tabella1[[#This Row],[Patologia Tiroidea]],1)),0,1)</f>
        <v>0</v>
      </c>
      <c r="BB54" s="22">
        <f>IF(ISERROR(SEARCH("TIROIDITE",Tabella1[[#This Row],[Patologia Tiroidea]],1)),0,1)</f>
        <v>1</v>
      </c>
      <c r="BC54" s="22">
        <f>IF(ISERROR(SEARCH("HASHIMOTO",Tabella1[[#This Row],[Patologia Tiroidea]],1)),0,1)</f>
        <v>1</v>
      </c>
      <c r="BD54" s="22">
        <f>IF(ISERROR(SEARCH("BASEDOW",Tabella1[[#This Row],[Patologia Tiroidea]],1)),0,1)</f>
        <v>0</v>
      </c>
      <c r="BE54" s="22">
        <f>IF(ISERROR(SEARCH("NOD",Tabella1[[#This Row],[Patologia Tiroidea]],1)),0,1)</f>
        <v>0</v>
      </c>
      <c r="BF54" s="22">
        <f>IF(ISERROR(SEARCH("GOZ",Tabella1[[#This Row],[Patologia Tiroidea]],1)),0,1)</f>
        <v>0</v>
      </c>
      <c r="BG54" s="7" t="s">
        <v>779</v>
      </c>
      <c r="BH54" s="17">
        <f>IF(Tabella1[[#This Row],[Obesità]]="no",0,1)</f>
        <v>1</v>
      </c>
      <c r="BI54" s="7" t="s">
        <v>780</v>
      </c>
      <c r="BJ54" s="22">
        <f>IF(ISERROR(SEARCH("nega",Tabella1[[#This Row],[Reflusso gastroesofageo]],1)),1,0)</f>
        <v>1</v>
      </c>
      <c r="BK54" s="7" t="s">
        <v>487</v>
      </c>
      <c r="BL54" s="17">
        <f>IF(ISERROR(SEARCH("NDD",Tabella1[[#This Row],[Patologia respiratoria]],1)),0,1)</f>
        <v>0</v>
      </c>
      <c r="BM54" s="17">
        <f>IF(ISERROR(SEARCH("asma",Tabella1[[#This Row],[Patologia respiratoria]],1)),0,1)</f>
        <v>0</v>
      </c>
      <c r="BN54" s="17">
        <f>IF(ISERROR(SEARCH("BPCO",Tabella1[[#This Row],[Patologia respiratoria]],1)),0,1)</f>
        <v>0</v>
      </c>
      <c r="BO54" s="17">
        <f>IF(ISERROR(SEARCH("BRONCOPOLMONITE",Tabella1[[#This Row],[Patologia respiratoria]],1)),0,1)</f>
        <v>0</v>
      </c>
      <c r="BP54" s="17">
        <f>IF(ISERROR(SEARCH("ASMA, OSAS",Tabella1[[#This Row],[Patologia respiratoria]],1)),0,1)</f>
        <v>0</v>
      </c>
      <c r="BQ54" s="17">
        <f>IF(ISERROR(SEARCH("OSAS e BPCO",Tabella1[[#This Row],[Patologia respiratoria]],1)),0,1)</f>
        <v>0</v>
      </c>
      <c r="BR54" s="17">
        <f>IF(ISERROR(SEARCH("OSAS",Tabella1[[#This Row],[Patologia respiratoria]],1)),0,1)</f>
        <v>0</v>
      </c>
      <c r="BS54" s="7" t="s">
        <v>781</v>
      </c>
      <c r="BT54" s="7" t="s">
        <v>782</v>
      </c>
      <c r="BU54" s="7" t="s">
        <v>8</v>
      </c>
      <c r="BV54" s="17">
        <f>IF(ISERROR(SEARCH("ndd",Tabella1[[#This Row],[O2 terapia]],1)),0,1)</f>
        <v>0</v>
      </c>
      <c r="BW54" s="17">
        <v>0</v>
      </c>
      <c r="BX54" s="7" t="s">
        <v>783</v>
      </c>
      <c r="BY54" s="7" t="s">
        <v>25</v>
      </c>
      <c r="BZ54" s="18">
        <v>0</v>
      </c>
      <c r="CA54" s="7" t="s">
        <v>476</v>
      </c>
      <c r="CB54" s="17">
        <v>1</v>
      </c>
      <c r="CC54" s="7" t="s">
        <v>7</v>
      </c>
      <c r="CD54" s="17">
        <v>1</v>
      </c>
      <c r="CE54" s="7" t="s">
        <v>784</v>
      </c>
      <c r="CF54" s="17">
        <v>1</v>
      </c>
      <c r="CG54" s="7" t="s">
        <v>682</v>
      </c>
      <c r="CH54" s="17">
        <v>0</v>
      </c>
      <c r="CI54" s="7" t="s">
        <v>785</v>
      </c>
      <c r="CJ54" s="17">
        <v>1</v>
      </c>
      <c r="CK54" s="7" t="s">
        <v>278</v>
      </c>
      <c r="CL54" s="17">
        <v>1</v>
      </c>
      <c r="CM54" s="7" t="s">
        <v>25</v>
      </c>
      <c r="CN54" s="17">
        <v>0</v>
      </c>
      <c r="CO54" s="7" t="s">
        <v>786</v>
      </c>
      <c r="CP54" s="18">
        <v>0</v>
      </c>
      <c r="CQ54" s="7" t="s">
        <v>69</v>
      </c>
      <c r="CR54" s="7" t="s">
        <v>495</v>
      </c>
      <c r="CS54" s="7" t="s">
        <v>105</v>
      </c>
      <c r="CT54" s="7" t="s">
        <v>787</v>
      </c>
      <c r="CU54" s="7" t="s">
        <v>788</v>
      </c>
      <c r="CV54" s="8" t="s">
        <v>789</v>
      </c>
    </row>
    <row r="55" spans="1:100" ht="42.75">
      <c r="A55" s="1">
        <f t="shared" si="0"/>
        <v>54</v>
      </c>
      <c r="B55" s="9">
        <v>391</v>
      </c>
      <c r="C55" s="10">
        <v>44655</v>
      </c>
      <c r="D55" s="11" t="s">
        <v>790</v>
      </c>
      <c r="E55" s="10">
        <v>24356</v>
      </c>
      <c r="F55" s="29">
        <f ca="1">_xlfn.DAYS(NOW(),Tabella1[[#This Row],[Data di Nascita]])/365.25</f>
        <v>58.910335386721421</v>
      </c>
      <c r="G55" s="11"/>
      <c r="H55" s="11" t="s">
        <v>791</v>
      </c>
      <c r="I55" s="11" t="s">
        <v>792</v>
      </c>
      <c r="J55" s="11" t="s">
        <v>742</v>
      </c>
      <c r="K55" s="11" t="s">
        <v>793</v>
      </c>
      <c r="L55" s="18">
        <f>IF(ISERROR(SEARCH("EX",Tabella1[[#This Row],[Attività lavorativa]],1)),0,1)</f>
        <v>0</v>
      </c>
      <c r="M55" s="18"/>
      <c r="N55" s="18"/>
      <c r="O55" s="18">
        <v>1</v>
      </c>
      <c r="P55" s="18"/>
      <c r="Q55" s="18"/>
      <c r="R55" s="18"/>
      <c r="S55" s="18"/>
      <c r="T55" s="17">
        <f>IF(ISERROR(SEARCH("NDD",Tabella1[[#This Row],[Attività lavorativa]],1)),0,1)</f>
        <v>0</v>
      </c>
      <c r="U55" s="11" t="s">
        <v>794</v>
      </c>
      <c r="V55" s="22">
        <v>75</v>
      </c>
      <c r="W55" s="22">
        <f>IF(ISERROR(SEARCH("ex",Tabella1[[#This Row],[Fumo]],1)),0,1)</f>
        <v>1</v>
      </c>
      <c r="X55" s="22">
        <f>IF(ISERROR(SEARCH("no",Tabella1[[#This Row],[Fumo]],1)),0,1)</f>
        <v>0</v>
      </c>
      <c r="Y55" s="11" t="s">
        <v>795</v>
      </c>
      <c r="Z55" s="18">
        <f>IF(ISERROR(SEARCH("NDD",Tabella1[[#This Row],[Bevitore alcolici]],1)),0,1)</f>
        <v>0</v>
      </c>
      <c r="AA55" s="17">
        <f>IF(ISERROR(SEARCH("raro",Tabella1[[#This Row],[Bevitore alcolici]],1)),0,1)</f>
        <v>0</v>
      </c>
      <c r="AB55" s="17">
        <f>IF(ISERROR(SEARCH("saltuariamente",Tabella1[[#This Row],[Bevitore alcolici]],1)),0,1)</f>
        <v>0</v>
      </c>
      <c r="AC55" s="17">
        <f>IF(ISERROR(SEARCH("nega",Tabella1[[#This Row],[Bevitore alcolici]],1)),0,1)</f>
        <v>0</v>
      </c>
      <c r="AD55" s="17">
        <f>IF(ISERROR(SEARCH("potus",Tabella1[[#This Row],[Bevitore alcolici]],1)),0,1)</f>
        <v>0</v>
      </c>
      <c r="AE55" s="11" t="s">
        <v>796</v>
      </c>
      <c r="AF55" s="18"/>
      <c r="AG55" s="18">
        <v>1</v>
      </c>
      <c r="AH55" s="18"/>
      <c r="AI55" s="18"/>
      <c r="AJ55" s="18"/>
      <c r="AK55" s="11" t="s">
        <v>28</v>
      </c>
      <c r="AL55" s="18">
        <f>IF(ISERROR(SEARCH("si",Tabella1[[#This Row],[Patente di guida]],1)),0,1)</f>
        <v>1</v>
      </c>
      <c r="AM55" s="11" t="s">
        <v>28</v>
      </c>
      <c r="AN55" s="18">
        <f>IF(ISERROR(SEARCH("no",Tabella1[[#This Row],[Ipertensione]],1)),0,1)</f>
        <v>0</v>
      </c>
      <c r="AO55" s="11" t="s">
        <v>382</v>
      </c>
      <c r="AP55" s="18">
        <f>IF(ISERROR(SEARCH("NO",Tabella1[[#This Row],[Cardiopatia ischemica]],1)),1,0)</f>
        <v>0</v>
      </c>
      <c r="AQ55" s="17">
        <f>IF(ISERROR(SEARCH("sconosciuto",Tabella1[[#This Row],[Cardiopatia ischemica]],1)),0,1)</f>
        <v>0</v>
      </c>
      <c r="AR55" s="11" t="s">
        <v>25</v>
      </c>
      <c r="AS55" s="22">
        <f>IF(ISERROR(SEARCH("nega",Tabella1[[#This Row],[Artimie]],1)),0,1)</f>
        <v>1</v>
      </c>
      <c r="AT55" s="11" t="s">
        <v>28</v>
      </c>
      <c r="AU55" s="22">
        <f>IF(ISERROR(SEARCH("nega",Tabella1[[#This Row],[Ipercolesterolemia]],1)),0,1)</f>
        <v>0</v>
      </c>
      <c r="AV55" s="22">
        <f>IF(ISERROR(SEARCH("boh",Tabella1[[#This Row],[Ipercolesterolemia]],1)),0,1)</f>
        <v>0</v>
      </c>
      <c r="AW55" s="11" t="s">
        <v>28</v>
      </c>
      <c r="AX55" s="22">
        <f>IF(ISERROR(SEARCH("Intolleranza",Tabella1[[#This Row],[Diabete]],1)),0,1)</f>
        <v>0</v>
      </c>
      <c r="AY55" s="22">
        <f>IF(ISERROR(SEARCH("si",Tabella1[[#This Row],[Diabete]],1)),0,1)</f>
        <v>1</v>
      </c>
      <c r="AZ55" s="11" t="s">
        <v>8</v>
      </c>
      <c r="BA55" s="18">
        <f>IF(ISERROR(SEARCH("NDD",Tabella1[[#This Row],[Patologia Tiroidea]],1)),0,1)</f>
        <v>0</v>
      </c>
      <c r="BB55" s="22">
        <f>IF(ISERROR(SEARCH("TIROIDITE",Tabella1[[#This Row],[Patologia Tiroidea]],1)),0,1)</f>
        <v>0</v>
      </c>
      <c r="BC55" s="22">
        <f>IF(ISERROR(SEARCH("HASHIMOTO",Tabella1[[#This Row],[Patologia Tiroidea]],1)),0,1)</f>
        <v>0</v>
      </c>
      <c r="BD55" s="22">
        <f>IF(ISERROR(SEARCH("BASEDOW",Tabella1[[#This Row],[Patologia Tiroidea]],1)),0,1)</f>
        <v>0</v>
      </c>
      <c r="BE55" s="22">
        <f>IF(ISERROR(SEARCH("NOD",Tabella1[[#This Row],[Patologia Tiroidea]],1)),0,1)</f>
        <v>0</v>
      </c>
      <c r="BF55" s="22">
        <f>IF(ISERROR(SEARCH("GOZ",Tabella1[[#This Row],[Patologia Tiroidea]],1)),0,1)</f>
        <v>0</v>
      </c>
      <c r="BG55" s="11" t="s">
        <v>745</v>
      </c>
      <c r="BH55" s="18">
        <f>IF(Tabella1[[#This Row],[Obesità]]="no",0,1)</f>
        <v>1</v>
      </c>
      <c r="BI55" s="11" t="s">
        <v>28</v>
      </c>
      <c r="BJ55" s="22">
        <f>IF(ISERROR(SEARCH("nega",Tabella1[[#This Row],[Reflusso gastroesofageo]],1)),1,0)</f>
        <v>1</v>
      </c>
      <c r="BK55" s="11" t="s">
        <v>25</v>
      </c>
      <c r="BL55" s="18">
        <f>IF(ISERROR(SEARCH("NDD",Tabella1[[#This Row],[Patologia respiratoria]],1)),0,1)</f>
        <v>0</v>
      </c>
      <c r="BM55" s="18">
        <f>IF(ISERROR(SEARCH("asma",Tabella1[[#This Row],[Patologia respiratoria]],1)),0,1)</f>
        <v>0</v>
      </c>
      <c r="BN55" s="18">
        <f>IF(ISERROR(SEARCH("BPCO",Tabella1[[#This Row],[Patologia respiratoria]],1)),0,1)</f>
        <v>0</v>
      </c>
      <c r="BO55" s="18">
        <f>IF(ISERROR(SEARCH("BRONCOPOLMONITE",Tabella1[[#This Row],[Patologia respiratoria]],1)),0,1)</f>
        <v>0</v>
      </c>
      <c r="BP55" s="18">
        <f>IF(ISERROR(SEARCH("ASMA, OSAS",Tabella1[[#This Row],[Patologia respiratoria]],1)),0,1)</f>
        <v>0</v>
      </c>
      <c r="BQ55" s="18">
        <f>IF(ISERROR(SEARCH("OSAS e BPCO",Tabella1[[#This Row],[Patologia respiratoria]],1)),0,1)</f>
        <v>0</v>
      </c>
      <c r="BR55" s="18">
        <f>IF(ISERROR(SEARCH("OSAS",Tabella1[[#This Row],[Patologia respiratoria]],1)),0,1)</f>
        <v>0</v>
      </c>
      <c r="BS55" s="11"/>
      <c r="BT55" s="11" t="s">
        <v>797</v>
      </c>
      <c r="BU55" s="11" t="s">
        <v>8</v>
      </c>
      <c r="BV55" s="18">
        <f>IF(ISERROR(SEARCH("ndd",Tabella1[[#This Row],[O2 terapia]],1)),0,1)</f>
        <v>0</v>
      </c>
      <c r="BW55" s="17">
        <v>0</v>
      </c>
      <c r="BX55" s="11"/>
      <c r="BY55" s="11" t="s">
        <v>8</v>
      </c>
      <c r="BZ55" s="18">
        <v>0</v>
      </c>
      <c r="CA55" s="11" t="s">
        <v>28</v>
      </c>
      <c r="CB55" s="17">
        <v>1</v>
      </c>
      <c r="CC55" s="11" t="s">
        <v>31</v>
      </c>
      <c r="CD55" s="17">
        <v>1</v>
      </c>
      <c r="CE55" s="11" t="s">
        <v>8</v>
      </c>
      <c r="CF55" s="18">
        <v>0</v>
      </c>
      <c r="CG55" s="11" t="s">
        <v>8</v>
      </c>
      <c r="CH55" s="17">
        <v>0</v>
      </c>
      <c r="CI55" s="11" t="s">
        <v>28</v>
      </c>
      <c r="CJ55" s="17">
        <v>1</v>
      </c>
      <c r="CK55" s="11" t="s">
        <v>28</v>
      </c>
      <c r="CL55" s="17">
        <v>1</v>
      </c>
      <c r="CM55" s="11" t="s">
        <v>28</v>
      </c>
      <c r="CN55" s="17">
        <v>1</v>
      </c>
      <c r="CO55" s="11" t="s">
        <v>8</v>
      </c>
      <c r="CP55" s="18">
        <v>0</v>
      </c>
      <c r="CQ55" s="11" t="s">
        <v>54</v>
      </c>
      <c r="CR55" s="11" t="s">
        <v>14</v>
      </c>
      <c r="CS55" s="11"/>
      <c r="CT55" s="11"/>
      <c r="CU55" s="11"/>
      <c r="CV55" s="12"/>
    </row>
    <row r="56" spans="1:100" ht="313.5">
      <c r="A56" s="1">
        <f t="shared" si="0"/>
        <v>55</v>
      </c>
      <c r="B56" s="5">
        <v>397</v>
      </c>
      <c r="C56" s="6">
        <v>44656</v>
      </c>
      <c r="D56" s="7" t="s">
        <v>304</v>
      </c>
      <c r="E56" s="6">
        <v>30551</v>
      </c>
      <c r="F56" s="29">
        <f ca="1">_xlfn.DAYS(NOW(),Tabella1[[#This Row],[Data di Nascita]])/365.25</f>
        <v>41.949349760438054</v>
      </c>
      <c r="G56" s="7" t="s">
        <v>305</v>
      </c>
      <c r="H56" s="7" t="s">
        <v>306</v>
      </c>
      <c r="I56" s="7" t="s">
        <v>724</v>
      </c>
      <c r="J56" s="7" t="s">
        <v>798</v>
      </c>
      <c r="K56" s="7" t="s">
        <v>799</v>
      </c>
      <c r="L56" s="17">
        <f>IF(ISERROR(SEARCH("EX",Tabella1[[#This Row],[Attività lavorativa]],1)),0,1)</f>
        <v>0</v>
      </c>
      <c r="M56" s="18">
        <v>1</v>
      </c>
      <c r="N56" s="17"/>
      <c r="O56" s="17"/>
      <c r="P56" s="17"/>
      <c r="Q56" s="17"/>
      <c r="R56" s="17"/>
      <c r="S56" s="17"/>
      <c r="T56" s="17">
        <f>IF(ISERROR(SEARCH("NDD",Tabella1[[#This Row],[Attività lavorativa]],1)),0,1)</f>
        <v>0</v>
      </c>
      <c r="U56" s="7" t="s">
        <v>8</v>
      </c>
      <c r="V56" s="22"/>
      <c r="W56" s="22">
        <f>IF(ISERROR(SEARCH("ex",Tabella1[[#This Row],[Fumo]],1)),0,1)</f>
        <v>0</v>
      </c>
      <c r="X56" s="22">
        <f>IF(ISERROR(SEARCH("no",Tabella1[[#This Row],[Fumo]],1)),0,1)</f>
        <v>1</v>
      </c>
      <c r="Y56" s="7" t="s">
        <v>25</v>
      </c>
      <c r="Z56" s="17">
        <f>IF(ISERROR(SEARCH("NDD",Tabella1[[#This Row],[Bevitore alcolici]],1)),0,1)</f>
        <v>0</v>
      </c>
      <c r="AA56" s="17">
        <f>IF(ISERROR(SEARCH("raro",Tabella1[[#This Row],[Bevitore alcolici]],1)),0,1)</f>
        <v>0</v>
      </c>
      <c r="AB56" s="17">
        <f>IF(ISERROR(SEARCH("saltuariamente",Tabella1[[#This Row],[Bevitore alcolici]],1)),0,1)</f>
        <v>0</v>
      </c>
      <c r="AC56" s="17">
        <f>IF(ISERROR(SEARCH("nega",Tabella1[[#This Row],[Bevitore alcolici]],1)),0,1)</f>
        <v>1</v>
      </c>
      <c r="AD56" s="17">
        <f>IF(ISERROR(SEARCH("potus",Tabella1[[#This Row],[Bevitore alcolici]],1)),0,1)</f>
        <v>0</v>
      </c>
      <c r="AE56" s="7" t="s">
        <v>657</v>
      </c>
      <c r="AF56" s="17"/>
      <c r="AG56" s="17"/>
      <c r="AH56" s="17"/>
      <c r="AI56" s="17"/>
      <c r="AJ56" s="17"/>
      <c r="AK56" s="7" t="s">
        <v>8</v>
      </c>
      <c r="AL56" s="17">
        <f>IF(ISERROR(SEARCH("si",Tabella1[[#This Row],[Patente di guida]],1)),0,1)</f>
        <v>0</v>
      </c>
      <c r="AM56" s="7" t="s">
        <v>8</v>
      </c>
      <c r="AN56" s="17">
        <f>IF(ISERROR(SEARCH("no",Tabella1[[#This Row],[Ipertensione]],1)),0,1)</f>
        <v>1</v>
      </c>
      <c r="AO56" s="7" t="s">
        <v>382</v>
      </c>
      <c r="AP56" s="18">
        <f>IF(ISERROR(SEARCH("NO",Tabella1[[#This Row],[Cardiopatia ischemica]],1)),1,0)</f>
        <v>0</v>
      </c>
      <c r="AQ56" s="17">
        <f>IF(ISERROR(SEARCH("sconosciuto",Tabella1[[#This Row],[Cardiopatia ischemica]],1)),0,1)</f>
        <v>0</v>
      </c>
      <c r="AR56" s="7" t="s">
        <v>25</v>
      </c>
      <c r="AS56" s="22">
        <f>IF(ISERROR(SEARCH("nega",Tabella1[[#This Row],[Artimie]],1)),0,1)</f>
        <v>1</v>
      </c>
      <c r="AT56" s="7" t="s">
        <v>25</v>
      </c>
      <c r="AU56" s="22">
        <f>IF(ISERROR(SEARCH("nega",Tabella1[[#This Row],[Ipercolesterolemia]],1)),0,1)</f>
        <v>1</v>
      </c>
      <c r="AV56" s="22">
        <f>IF(ISERROR(SEARCH("boh",Tabella1[[#This Row],[Ipercolesterolemia]],1)),0,1)</f>
        <v>0</v>
      </c>
      <c r="AW56" s="7" t="s">
        <v>25</v>
      </c>
      <c r="AX56" s="22">
        <f>IF(ISERROR(SEARCH("Intolleranza",Tabella1[[#This Row],[Diabete]],1)),0,1)</f>
        <v>0</v>
      </c>
      <c r="AY56" s="22">
        <f>IF(ISERROR(SEARCH("si",Tabella1[[#This Row],[Diabete]],1)),0,1)</f>
        <v>0</v>
      </c>
      <c r="AZ56" s="7" t="s">
        <v>25</v>
      </c>
      <c r="BA56" s="17">
        <f>IF(ISERROR(SEARCH("NDD",Tabella1[[#This Row],[Patologia Tiroidea]],1)),0,1)</f>
        <v>0</v>
      </c>
      <c r="BB56" s="22">
        <f>IF(ISERROR(SEARCH("TIROIDITE",Tabella1[[#This Row],[Patologia Tiroidea]],1)),0,1)</f>
        <v>0</v>
      </c>
      <c r="BC56" s="22">
        <f>IF(ISERROR(SEARCH("HASHIMOTO",Tabella1[[#This Row],[Patologia Tiroidea]],1)),0,1)</f>
        <v>0</v>
      </c>
      <c r="BD56" s="22">
        <f>IF(ISERROR(SEARCH("BASEDOW",Tabella1[[#This Row],[Patologia Tiroidea]],1)),0,1)</f>
        <v>0</v>
      </c>
      <c r="BE56" s="22">
        <f>IF(ISERROR(SEARCH("NOD",Tabella1[[#This Row],[Patologia Tiroidea]],1)),0,1)</f>
        <v>0</v>
      </c>
      <c r="BF56" s="22">
        <f>IF(ISERROR(SEARCH("GOZ",Tabella1[[#This Row],[Patologia Tiroidea]],1)),0,1)</f>
        <v>0</v>
      </c>
      <c r="BG56" s="7" t="s">
        <v>8</v>
      </c>
      <c r="BH56" s="17">
        <f>IF(Tabella1[[#This Row],[Obesità]]="no",0,1)</f>
        <v>0</v>
      </c>
      <c r="BI56" s="7" t="s">
        <v>7</v>
      </c>
      <c r="BJ56" s="22">
        <f>IF(ISERROR(SEARCH("nega",Tabella1[[#This Row],[Reflusso gastroesofageo]],1)),1,0)</f>
        <v>1</v>
      </c>
      <c r="BK56" s="7" t="s">
        <v>25</v>
      </c>
      <c r="BL56" s="17">
        <f>IF(ISERROR(SEARCH("NDD",Tabella1[[#This Row],[Patologia respiratoria]],1)),0,1)</f>
        <v>0</v>
      </c>
      <c r="BM56" s="17">
        <f>IF(ISERROR(SEARCH("asma",Tabella1[[#This Row],[Patologia respiratoria]],1)),0,1)</f>
        <v>0</v>
      </c>
      <c r="BN56" s="17">
        <f>IF(ISERROR(SEARCH("BPCO",Tabella1[[#This Row],[Patologia respiratoria]],1)),0,1)</f>
        <v>0</v>
      </c>
      <c r="BO56" s="17">
        <f>IF(ISERROR(SEARCH("BRONCOPOLMONITE",Tabella1[[#This Row],[Patologia respiratoria]],1)),0,1)</f>
        <v>0</v>
      </c>
      <c r="BP56" s="17">
        <f>IF(ISERROR(SEARCH("ASMA, OSAS",Tabella1[[#This Row],[Patologia respiratoria]],1)),0,1)</f>
        <v>0</v>
      </c>
      <c r="BQ56" s="17">
        <f>IF(ISERROR(SEARCH("OSAS e BPCO",Tabella1[[#This Row],[Patologia respiratoria]],1)),0,1)</f>
        <v>0</v>
      </c>
      <c r="BR56" s="17">
        <f>IF(ISERROR(SEARCH("OSAS",Tabella1[[#This Row],[Patologia respiratoria]],1)),0,1)</f>
        <v>0</v>
      </c>
      <c r="BS56" s="7" t="s">
        <v>800</v>
      </c>
      <c r="BT56" s="7" t="s">
        <v>25</v>
      </c>
      <c r="BU56" s="7" t="s">
        <v>8</v>
      </c>
      <c r="BV56" s="17">
        <f>IF(ISERROR(SEARCH("ndd",Tabella1[[#This Row],[O2 terapia]],1)),0,1)</f>
        <v>0</v>
      </c>
      <c r="BW56" s="17">
        <v>0</v>
      </c>
      <c r="BX56" s="7"/>
      <c r="BY56" s="7" t="s">
        <v>801</v>
      </c>
      <c r="BZ56" s="17">
        <v>1</v>
      </c>
      <c r="CA56" s="7" t="s">
        <v>7</v>
      </c>
      <c r="CB56" s="17">
        <v>1</v>
      </c>
      <c r="CC56" s="7" t="s">
        <v>8</v>
      </c>
      <c r="CD56" s="18">
        <v>0</v>
      </c>
      <c r="CE56" s="7" t="s">
        <v>8</v>
      </c>
      <c r="CF56" s="18">
        <v>0</v>
      </c>
      <c r="CG56" s="7" t="s">
        <v>802</v>
      </c>
      <c r="CH56" s="17">
        <v>1</v>
      </c>
      <c r="CI56" s="7" t="s">
        <v>7</v>
      </c>
      <c r="CJ56" s="17">
        <v>1</v>
      </c>
      <c r="CK56" s="7" t="s">
        <v>8</v>
      </c>
      <c r="CL56" s="17">
        <v>0</v>
      </c>
      <c r="CM56" s="7" t="s">
        <v>803</v>
      </c>
      <c r="CN56" s="17">
        <v>1</v>
      </c>
      <c r="CO56" s="7" t="s">
        <v>272</v>
      </c>
      <c r="CP56" s="17">
        <v>1</v>
      </c>
      <c r="CQ56" s="7" t="s">
        <v>85</v>
      </c>
      <c r="CR56" s="7" t="s">
        <v>318</v>
      </c>
      <c r="CS56" s="7" t="s">
        <v>71</v>
      </c>
      <c r="CT56" s="7" t="s">
        <v>262</v>
      </c>
      <c r="CU56" s="7" t="s">
        <v>804</v>
      </c>
      <c r="CV56" s="8" t="s">
        <v>805</v>
      </c>
    </row>
    <row r="57" spans="1:100" ht="42.75">
      <c r="A57" s="1">
        <f t="shared" si="0"/>
        <v>56</v>
      </c>
      <c r="B57" s="9">
        <v>398</v>
      </c>
      <c r="C57" s="10">
        <v>44657</v>
      </c>
      <c r="D57" s="11" t="s">
        <v>806</v>
      </c>
      <c r="E57" s="10">
        <v>23446</v>
      </c>
      <c r="F57" s="29">
        <f ca="1">_xlfn.DAYS(NOW(),Tabella1[[#This Row],[Data di Nascita]])/365.25</f>
        <v>61.401779603011633</v>
      </c>
      <c r="G57" s="11"/>
      <c r="H57" s="11" t="s">
        <v>807</v>
      </c>
      <c r="I57" s="11" t="s">
        <v>808</v>
      </c>
      <c r="J57" s="11"/>
      <c r="K57" s="11" t="s">
        <v>297</v>
      </c>
      <c r="L57" s="18">
        <f>IF(ISERROR(SEARCH("EX",Tabella1[[#This Row],[Attività lavorativa]],1)),0,1)</f>
        <v>0</v>
      </c>
      <c r="M57" s="18"/>
      <c r="N57" s="18"/>
      <c r="O57" s="18"/>
      <c r="P57" s="18"/>
      <c r="Q57" s="18"/>
      <c r="R57" s="18"/>
      <c r="S57" s="18"/>
      <c r="T57" s="17">
        <f>IF(ISERROR(SEARCH("NDD",Tabella1[[#This Row],[Attività lavorativa]],1)),0,1)</f>
        <v>0</v>
      </c>
      <c r="U57" s="11" t="s">
        <v>809</v>
      </c>
      <c r="V57" s="22">
        <v>18.75</v>
      </c>
      <c r="W57" s="22">
        <f>IF(ISERROR(SEARCH("ex",Tabella1[[#This Row],[Fumo]],1)),0,1)</f>
        <v>1</v>
      </c>
      <c r="X57" s="22">
        <f>IF(ISERROR(SEARCH("no",Tabella1[[#This Row],[Fumo]],1)),0,1)</f>
        <v>0</v>
      </c>
      <c r="Y57" s="11" t="s">
        <v>25</v>
      </c>
      <c r="Z57" s="18">
        <f>IF(ISERROR(SEARCH("NDD",Tabella1[[#This Row],[Bevitore alcolici]],1)),0,1)</f>
        <v>0</v>
      </c>
      <c r="AA57" s="17">
        <f>IF(ISERROR(SEARCH("raro",Tabella1[[#This Row],[Bevitore alcolici]],1)),0,1)</f>
        <v>0</v>
      </c>
      <c r="AB57" s="17">
        <f>IF(ISERROR(SEARCH("saltuariamente",Tabella1[[#This Row],[Bevitore alcolici]],1)),0,1)</f>
        <v>0</v>
      </c>
      <c r="AC57" s="17">
        <f>IF(ISERROR(SEARCH("nega",Tabella1[[#This Row],[Bevitore alcolici]],1)),0,1)</f>
        <v>1</v>
      </c>
      <c r="AD57" s="17">
        <f>IF(ISERROR(SEARCH("potus",Tabella1[[#This Row],[Bevitore alcolici]],1)),0,1)</f>
        <v>0</v>
      </c>
      <c r="AE57" s="11" t="s">
        <v>810</v>
      </c>
      <c r="AF57" s="18"/>
      <c r="AG57" s="18"/>
      <c r="AH57" s="18"/>
      <c r="AI57" s="18"/>
      <c r="AJ57" s="18">
        <v>1</v>
      </c>
      <c r="AK57" s="11" t="s">
        <v>28</v>
      </c>
      <c r="AL57" s="18">
        <f>IF(ISERROR(SEARCH("si",Tabella1[[#This Row],[Patente di guida]],1)),0,1)</f>
        <v>1</v>
      </c>
      <c r="AM57" s="11" t="s">
        <v>28</v>
      </c>
      <c r="AN57" s="18">
        <f>IF(ISERROR(SEARCH("no",Tabella1[[#This Row],[Ipertensione]],1)),0,1)</f>
        <v>0</v>
      </c>
      <c r="AO57" s="11" t="s">
        <v>382</v>
      </c>
      <c r="AP57" s="18">
        <f>IF(ISERROR(SEARCH("NO",Tabella1[[#This Row],[Cardiopatia ischemica]],1)),1,0)</f>
        <v>0</v>
      </c>
      <c r="AQ57" s="17">
        <f>IF(ISERROR(SEARCH("sconosciuto",Tabella1[[#This Row],[Cardiopatia ischemica]],1)),0,1)</f>
        <v>0</v>
      </c>
      <c r="AR57" s="11" t="s">
        <v>25</v>
      </c>
      <c r="AS57" s="22">
        <f>IF(ISERROR(SEARCH("nega",Tabella1[[#This Row],[Artimie]],1)),0,1)</f>
        <v>1</v>
      </c>
      <c r="AT57" s="11" t="s">
        <v>28</v>
      </c>
      <c r="AU57" s="22">
        <f>IF(ISERROR(SEARCH("nega",Tabella1[[#This Row],[Ipercolesterolemia]],1)),0,1)</f>
        <v>0</v>
      </c>
      <c r="AV57" s="22">
        <f>IF(ISERROR(SEARCH("boh",Tabella1[[#This Row],[Ipercolesterolemia]],1)),0,1)</f>
        <v>0</v>
      </c>
      <c r="AW57" s="11" t="s">
        <v>25</v>
      </c>
      <c r="AX57" s="22">
        <f>IF(ISERROR(SEARCH("Intolleranza",Tabella1[[#This Row],[Diabete]],1)),0,1)</f>
        <v>0</v>
      </c>
      <c r="AY57" s="22">
        <f>IF(ISERROR(SEARCH("si",Tabella1[[#This Row],[Diabete]],1)),0,1)</f>
        <v>0</v>
      </c>
      <c r="AZ57" s="11" t="s">
        <v>811</v>
      </c>
      <c r="BA57" s="18">
        <f>IF(ISERROR(SEARCH("NDD",Tabella1[[#This Row],[Patologia Tiroidea]],1)),0,1)</f>
        <v>0</v>
      </c>
      <c r="BB57" s="22">
        <f>IF(ISERROR(SEARCH("TIROIDITE",Tabella1[[#This Row],[Patologia Tiroidea]],1)),0,1)</f>
        <v>0</v>
      </c>
      <c r="BC57" s="22">
        <f>IF(ISERROR(SEARCH("HASHIMOTO",Tabella1[[#This Row],[Patologia Tiroidea]],1)),0,1)</f>
        <v>0</v>
      </c>
      <c r="BD57" s="22">
        <f>IF(ISERROR(SEARCH("BASEDOW",Tabella1[[#This Row],[Patologia Tiroidea]],1)),0,1)</f>
        <v>0</v>
      </c>
      <c r="BE57" s="22">
        <f>IF(ISERROR(SEARCH("NOD",Tabella1[[#This Row],[Patologia Tiroidea]],1)),0,1)</f>
        <v>0</v>
      </c>
      <c r="BF57" s="22">
        <f>IF(ISERROR(SEARCH("GOZ",Tabella1[[#This Row],[Patologia Tiroidea]],1)),0,1)</f>
        <v>1</v>
      </c>
      <c r="BG57" s="11" t="s">
        <v>745</v>
      </c>
      <c r="BH57" s="18">
        <f>IF(Tabella1[[#This Row],[Obesità]]="no",0,1)</f>
        <v>1</v>
      </c>
      <c r="BI57" s="11" t="s">
        <v>28</v>
      </c>
      <c r="BJ57" s="22">
        <f>IF(ISERROR(SEARCH("nega",Tabella1[[#This Row],[Reflusso gastroesofageo]],1)),1,0)</f>
        <v>1</v>
      </c>
      <c r="BK57" s="11" t="s">
        <v>25</v>
      </c>
      <c r="BL57" s="18">
        <f>IF(ISERROR(SEARCH("NDD",Tabella1[[#This Row],[Patologia respiratoria]],1)),0,1)</f>
        <v>0</v>
      </c>
      <c r="BM57" s="18">
        <f>IF(ISERROR(SEARCH("asma",Tabella1[[#This Row],[Patologia respiratoria]],1)),0,1)</f>
        <v>0</v>
      </c>
      <c r="BN57" s="18">
        <f>IF(ISERROR(SEARCH("BPCO",Tabella1[[#This Row],[Patologia respiratoria]],1)),0,1)</f>
        <v>0</v>
      </c>
      <c r="BO57" s="18">
        <f>IF(ISERROR(SEARCH("BRONCOPOLMONITE",Tabella1[[#This Row],[Patologia respiratoria]],1)),0,1)</f>
        <v>0</v>
      </c>
      <c r="BP57" s="18">
        <f>IF(ISERROR(SEARCH("ASMA, OSAS",Tabella1[[#This Row],[Patologia respiratoria]],1)),0,1)</f>
        <v>0</v>
      </c>
      <c r="BQ57" s="18">
        <f>IF(ISERROR(SEARCH("OSAS e BPCO",Tabella1[[#This Row],[Patologia respiratoria]],1)),0,1)</f>
        <v>0</v>
      </c>
      <c r="BR57" s="18">
        <f>IF(ISERROR(SEARCH("OSAS",Tabella1[[#This Row],[Patologia respiratoria]],1)),0,1)</f>
        <v>0</v>
      </c>
      <c r="BS57" s="11"/>
      <c r="BT57" s="11" t="s">
        <v>812</v>
      </c>
      <c r="BU57" s="11" t="s">
        <v>8</v>
      </c>
      <c r="BV57" s="18">
        <f>IF(ISERROR(SEARCH("ndd",Tabella1[[#This Row],[O2 terapia]],1)),0,1)</f>
        <v>0</v>
      </c>
      <c r="BW57" s="17">
        <v>0</v>
      </c>
      <c r="BX57" s="11"/>
      <c r="BY57" s="11" t="s">
        <v>25</v>
      </c>
      <c r="BZ57" s="18">
        <v>0</v>
      </c>
      <c r="CA57" s="11" t="s">
        <v>28</v>
      </c>
      <c r="CB57" s="17">
        <v>1</v>
      </c>
      <c r="CC57" s="11" t="s">
        <v>47</v>
      </c>
      <c r="CD57" s="17">
        <v>1</v>
      </c>
      <c r="CE57" s="11" t="s">
        <v>25</v>
      </c>
      <c r="CF57" s="18">
        <v>0</v>
      </c>
      <c r="CG57" s="11" t="s">
        <v>28</v>
      </c>
      <c r="CH57" s="17">
        <v>1</v>
      </c>
      <c r="CI57" s="11" t="s">
        <v>28</v>
      </c>
      <c r="CJ57" s="17">
        <v>1</v>
      </c>
      <c r="CK57" s="11" t="s">
        <v>28</v>
      </c>
      <c r="CL57" s="17">
        <v>1</v>
      </c>
      <c r="CM57" s="11" t="s">
        <v>28</v>
      </c>
      <c r="CN57" s="17">
        <v>1</v>
      </c>
      <c r="CO57" s="11" t="s">
        <v>28</v>
      </c>
      <c r="CP57" s="17">
        <v>1</v>
      </c>
      <c r="CQ57" s="11" t="s">
        <v>54</v>
      </c>
      <c r="CR57" s="11" t="s">
        <v>369</v>
      </c>
      <c r="CS57" s="11"/>
      <c r="CT57" s="11"/>
      <c r="CU57" s="11"/>
      <c r="CV57" s="12"/>
    </row>
    <row r="58" spans="1:100" ht="409.5">
      <c r="A58" s="1">
        <f t="shared" si="0"/>
        <v>57</v>
      </c>
      <c r="B58" s="5">
        <v>399</v>
      </c>
      <c r="C58" s="7"/>
      <c r="D58" s="7" t="s">
        <v>813</v>
      </c>
      <c r="E58" s="6">
        <v>28967</v>
      </c>
      <c r="F58" s="29">
        <f ca="1">_xlfn.DAYS(NOW(),Tabella1[[#This Row],[Data di Nascita]])/365.25</f>
        <v>46.286105407255306</v>
      </c>
      <c r="G58" s="7" t="s">
        <v>814</v>
      </c>
      <c r="H58" s="7" t="s">
        <v>815</v>
      </c>
      <c r="I58" s="7" t="s">
        <v>816</v>
      </c>
      <c r="J58" s="7" t="s">
        <v>817</v>
      </c>
      <c r="K58" s="7" t="s">
        <v>818</v>
      </c>
      <c r="L58" s="17">
        <f>IF(ISERROR(SEARCH("EX",Tabella1[[#This Row],[Attività lavorativa]],1)),0,1)</f>
        <v>0</v>
      </c>
      <c r="M58" s="17"/>
      <c r="N58" s="17"/>
      <c r="O58" s="17"/>
      <c r="P58" s="17">
        <v>1</v>
      </c>
      <c r="Q58" s="17"/>
      <c r="R58" s="17"/>
      <c r="S58" s="17"/>
      <c r="T58" s="17">
        <f>IF(ISERROR(SEARCH("NDD",Tabella1[[#This Row],[Attività lavorativa]],1)),0,1)</f>
        <v>0</v>
      </c>
      <c r="U58" s="7" t="s">
        <v>819</v>
      </c>
      <c r="V58" s="22">
        <v>25</v>
      </c>
      <c r="W58" s="22">
        <f>IF(ISERROR(SEARCH("ex",Tabella1[[#This Row],[Fumo]],1)),0,1)</f>
        <v>0</v>
      </c>
      <c r="X58" s="22">
        <f>IF(ISERROR(SEARCH("no",Tabella1[[#This Row],[Fumo]],1)),0,1)</f>
        <v>0</v>
      </c>
      <c r="Y58" s="7" t="s">
        <v>25</v>
      </c>
      <c r="Z58" s="17">
        <f>IF(ISERROR(SEARCH("NDD",Tabella1[[#This Row],[Bevitore alcolici]],1)),0,1)</f>
        <v>0</v>
      </c>
      <c r="AA58" s="17">
        <f>IF(ISERROR(SEARCH("raro",Tabella1[[#This Row],[Bevitore alcolici]],1)),0,1)</f>
        <v>0</v>
      </c>
      <c r="AB58" s="17">
        <f>IF(ISERROR(SEARCH("saltuariamente",Tabella1[[#This Row],[Bevitore alcolici]],1)),0,1)</f>
        <v>0</v>
      </c>
      <c r="AC58" s="17">
        <f>IF(ISERROR(SEARCH("nega",Tabella1[[#This Row],[Bevitore alcolici]],1)),0,1)</f>
        <v>1</v>
      </c>
      <c r="AD58" s="17">
        <f>IF(ISERROR(SEARCH("potus",Tabella1[[#This Row],[Bevitore alcolici]],1)),0,1)</f>
        <v>0</v>
      </c>
      <c r="AE58" s="7" t="s">
        <v>5686</v>
      </c>
      <c r="AF58" s="17"/>
      <c r="AG58" s="17"/>
      <c r="AH58" s="17"/>
      <c r="AI58" s="17"/>
      <c r="AJ58" s="17"/>
      <c r="AK58" s="7" t="s">
        <v>28</v>
      </c>
      <c r="AL58" s="17">
        <f>IF(ISERROR(SEARCH("si",Tabella1[[#This Row],[Patente di guida]],1)),0,1)</f>
        <v>1</v>
      </c>
      <c r="AM58" s="7" t="s">
        <v>8</v>
      </c>
      <c r="AN58" s="17">
        <f>IF(ISERROR(SEARCH("no",Tabella1[[#This Row],[Ipertensione]],1)),0,1)</f>
        <v>1</v>
      </c>
      <c r="AO58" s="7" t="s">
        <v>382</v>
      </c>
      <c r="AP58" s="18">
        <f>IF(ISERROR(SEARCH("NO",Tabella1[[#This Row],[Cardiopatia ischemica]],1)),1,0)</f>
        <v>0</v>
      </c>
      <c r="AQ58" s="17">
        <f>IF(ISERROR(SEARCH("sconosciuto",Tabella1[[#This Row],[Cardiopatia ischemica]],1)),0,1)</f>
        <v>0</v>
      </c>
      <c r="AR58" s="7" t="s">
        <v>25</v>
      </c>
      <c r="AS58" s="22">
        <f>IF(ISERROR(SEARCH("nega",Tabella1[[#This Row],[Artimie]],1)),0,1)</f>
        <v>1</v>
      </c>
      <c r="AT58" s="7" t="s">
        <v>25</v>
      </c>
      <c r="AU58" s="22">
        <f>IF(ISERROR(SEARCH("nega",Tabella1[[#This Row],[Ipercolesterolemia]],1)),0,1)</f>
        <v>1</v>
      </c>
      <c r="AV58" s="22">
        <f>IF(ISERROR(SEARCH("boh",Tabella1[[#This Row],[Ipercolesterolemia]],1)),0,1)</f>
        <v>0</v>
      </c>
      <c r="AW58" s="7" t="s">
        <v>25</v>
      </c>
      <c r="AX58" s="22">
        <f>IF(ISERROR(SEARCH("Intolleranza",Tabella1[[#This Row],[Diabete]],1)),0,1)</f>
        <v>0</v>
      </c>
      <c r="AY58" s="22">
        <f>IF(ISERROR(SEARCH("si",Tabella1[[#This Row],[Diabete]],1)),0,1)</f>
        <v>0</v>
      </c>
      <c r="AZ58" s="7" t="s">
        <v>25</v>
      </c>
      <c r="BA58" s="17">
        <f>IF(ISERROR(SEARCH("NDD",Tabella1[[#This Row],[Patologia Tiroidea]],1)),0,1)</f>
        <v>0</v>
      </c>
      <c r="BB58" s="22">
        <f>IF(ISERROR(SEARCH("TIROIDITE",Tabella1[[#This Row],[Patologia Tiroidea]],1)),0,1)</f>
        <v>0</v>
      </c>
      <c r="BC58" s="22">
        <f>IF(ISERROR(SEARCH("HASHIMOTO",Tabella1[[#This Row],[Patologia Tiroidea]],1)),0,1)</f>
        <v>0</v>
      </c>
      <c r="BD58" s="22">
        <f>IF(ISERROR(SEARCH("BASEDOW",Tabella1[[#This Row],[Patologia Tiroidea]],1)),0,1)</f>
        <v>0</v>
      </c>
      <c r="BE58" s="22">
        <f>IF(ISERROR(SEARCH("NOD",Tabella1[[#This Row],[Patologia Tiroidea]],1)),0,1)</f>
        <v>0</v>
      </c>
      <c r="BF58" s="22">
        <f>IF(ISERROR(SEARCH("GOZ",Tabella1[[#This Row],[Patologia Tiroidea]],1)),0,1)</f>
        <v>0</v>
      </c>
      <c r="BG58" s="7" t="s">
        <v>8</v>
      </c>
      <c r="BH58" s="17">
        <f>IF(Tabella1[[#This Row],[Obesità]]="no",0,1)</f>
        <v>0</v>
      </c>
      <c r="BI58" s="7" t="s">
        <v>25</v>
      </c>
      <c r="BJ58" s="22">
        <f>IF(ISERROR(SEARCH("nega",Tabella1[[#This Row],[Reflusso gastroesofageo]],1)),1,0)</f>
        <v>0</v>
      </c>
      <c r="BK58" s="7" t="s">
        <v>3726</v>
      </c>
      <c r="BL58" s="17">
        <f>IF(ISERROR(SEARCH("NDD",Tabella1[[#This Row],[Patologia respiratoria]],1)),0,1)</f>
        <v>0</v>
      </c>
      <c r="BM58" s="17">
        <f>IF(ISERROR(SEARCH("asma",Tabella1[[#This Row],[Patologia respiratoria]],1)),0,1)</f>
        <v>0</v>
      </c>
      <c r="BN58" s="17">
        <f>IF(ISERROR(SEARCH("BPCO",Tabella1[[#This Row],[Patologia respiratoria]],1)),0,1)</f>
        <v>0</v>
      </c>
      <c r="BO58" s="17">
        <f>IF(ISERROR(SEARCH("BRONCOPOLMONITE",Tabella1[[#This Row],[Patologia respiratoria]],1)),0,1)</f>
        <v>0</v>
      </c>
      <c r="BP58" s="17">
        <f>IF(ISERROR(SEARCH("ASMA, OSAS",Tabella1[[#This Row],[Patologia respiratoria]],1)),0,1)</f>
        <v>0</v>
      </c>
      <c r="BQ58" s="17">
        <f>IF(ISERROR(SEARCH("OSAS e BPCO",Tabella1[[#This Row],[Patologia respiratoria]],1)),0,1)</f>
        <v>0</v>
      </c>
      <c r="BR58" s="17">
        <f>IF(ISERROR(SEARCH("OSAS",Tabella1[[#This Row],[Patologia respiratoria]],1)),0,1)</f>
        <v>0</v>
      </c>
      <c r="BS58" s="7" t="s">
        <v>820</v>
      </c>
      <c r="BT58" s="7" t="s">
        <v>821</v>
      </c>
      <c r="BU58" s="7" t="s">
        <v>8</v>
      </c>
      <c r="BV58" s="17">
        <f>IF(ISERROR(SEARCH("ndd",Tabella1[[#This Row],[O2 terapia]],1)),0,1)</f>
        <v>0</v>
      </c>
      <c r="BW58" s="17">
        <v>0</v>
      </c>
      <c r="BX58" s="7"/>
      <c r="BY58" s="7" t="s">
        <v>25</v>
      </c>
      <c r="BZ58" s="18">
        <v>0</v>
      </c>
      <c r="CA58" s="7" t="s">
        <v>822</v>
      </c>
      <c r="CB58" s="17">
        <v>1</v>
      </c>
      <c r="CC58" s="7" t="s">
        <v>25</v>
      </c>
      <c r="CD58" s="18">
        <v>0</v>
      </c>
      <c r="CE58" s="7" t="s">
        <v>25</v>
      </c>
      <c r="CF58" s="18">
        <v>0</v>
      </c>
      <c r="CG58" s="7" t="s">
        <v>823</v>
      </c>
      <c r="CH58" s="17">
        <v>1</v>
      </c>
      <c r="CI58" s="7" t="s">
        <v>25</v>
      </c>
      <c r="CJ58" s="18">
        <v>0</v>
      </c>
      <c r="CK58" s="7" t="s">
        <v>466</v>
      </c>
      <c r="CL58" s="17">
        <v>1</v>
      </c>
      <c r="CM58" s="7" t="s">
        <v>824</v>
      </c>
      <c r="CN58" s="17">
        <v>1</v>
      </c>
      <c r="CO58" s="7" t="s">
        <v>461</v>
      </c>
      <c r="CP58" s="17">
        <v>1</v>
      </c>
      <c r="CQ58" s="7" t="s">
        <v>54</v>
      </c>
      <c r="CR58" s="7" t="s">
        <v>663</v>
      </c>
      <c r="CS58" s="7" t="s">
        <v>355</v>
      </c>
      <c r="CT58" s="7" t="s">
        <v>56</v>
      </c>
      <c r="CU58" s="7" t="s">
        <v>825</v>
      </c>
      <c r="CV58" s="8" t="s">
        <v>826</v>
      </c>
    </row>
    <row r="59" spans="1:100" ht="342">
      <c r="A59" s="1">
        <f t="shared" si="0"/>
        <v>58</v>
      </c>
      <c r="B59" s="9">
        <v>400</v>
      </c>
      <c r="C59" s="10">
        <v>44662</v>
      </c>
      <c r="D59" s="11" t="s">
        <v>827</v>
      </c>
      <c r="E59" s="10">
        <v>37434</v>
      </c>
      <c r="F59" s="29">
        <f ca="1">_xlfn.DAYS(NOW(),Tabella1[[#This Row],[Data di Nascita]])/365.25</f>
        <v>23.104722792607802</v>
      </c>
      <c r="G59" s="11" t="s">
        <v>828</v>
      </c>
      <c r="H59" s="11" t="s">
        <v>829</v>
      </c>
      <c r="I59" s="11" t="s">
        <v>676</v>
      </c>
      <c r="J59" s="11" t="s">
        <v>618</v>
      </c>
      <c r="K59" s="11" t="s">
        <v>94</v>
      </c>
      <c r="L59" s="18">
        <f>IF(ISERROR(SEARCH("EX",Tabella1[[#This Row],[Attività lavorativa]],1)),0,1)</f>
        <v>0</v>
      </c>
      <c r="M59" s="18"/>
      <c r="N59" s="18"/>
      <c r="O59" s="18"/>
      <c r="P59" s="18"/>
      <c r="Q59" s="18"/>
      <c r="R59" s="18"/>
      <c r="S59" s="18"/>
      <c r="T59" s="17">
        <f>IF(ISERROR(SEARCH("NDD",Tabella1[[#This Row],[Attività lavorativa]],1)),0,1)</f>
        <v>0</v>
      </c>
      <c r="U59" s="11" t="s">
        <v>830</v>
      </c>
      <c r="V59" s="22">
        <v>1</v>
      </c>
      <c r="W59" s="22">
        <f>IF(ISERROR(SEARCH("ex",Tabella1[[#This Row],[Fumo]],1)),0,1)</f>
        <v>0</v>
      </c>
      <c r="X59" s="22">
        <f>IF(ISERROR(SEARCH("no",Tabella1[[#This Row],[Fumo]],1)),0,1)</f>
        <v>0</v>
      </c>
      <c r="Y59" s="11" t="s">
        <v>25</v>
      </c>
      <c r="Z59" s="18">
        <f>IF(ISERROR(SEARCH("NDD",Tabella1[[#This Row],[Bevitore alcolici]],1)),0,1)</f>
        <v>0</v>
      </c>
      <c r="AA59" s="17">
        <f>IF(ISERROR(SEARCH("raro",Tabella1[[#This Row],[Bevitore alcolici]],1)),0,1)</f>
        <v>0</v>
      </c>
      <c r="AB59" s="17">
        <f>IF(ISERROR(SEARCH("saltuariamente",Tabella1[[#This Row],[Bevitore alcolici]],1)),0,1)</f>
        <v>0</v>
      </c>
      <c r="AC59" s="17">
        <f>IF(ISERROR(SEARCH("nega",Tabella1[[#This Row],[Bevitore alcolici]],1)),0,1)</f>
        <v>1</v>
      </c>
      <c r="AD59" s="17">
        <f>IF(ISERROR(SEARCH("potus",Tabella1[[#This Row],[Bevitore alcolici]],1)),0,1)</f>
        <v>0</v>
      </c>
      <c r="AE59" s="11" t="s">
        <v>657</v>
      </c>
      <c r="AF59" s="18"/>
      <c r="AG59" s="18"/>
      <c r="AH59" s="18"/>
      <c r="AI59" s="18"/>
      <c r="AJ59" s="18"/>
      <c r="AK59" s="11" t="s">
        <v>831</v>
      </c>
      <c r="AL59" s="18">
        <f>IF(ISERROR(SEARCH("si",Tabella1[[#This Row],[Patente di guida]],1)),0,1)</f>
        <v>1</v>
      </c>
      <c r="AM59" s="11" t="s">
        <v>8</v>
      </c>
      <c r="AN59" s="18">
        <f>IF(ISERROR(SEARCH("no",Tabella1[[#This Row],[Ipertensione]],1)),0,1)</f>
        <v>1</v>
      </c>
      <c r="AO59" s="11" t="s">
        <v>382</v>
      </c>
      <c r="AP59" s="18">
        <f>IF(ISERROR(SEARCH("NO",Tabella1[[#This Row],[Cardiopatia ischemica]],1)),1,0)</f>
        <v>0</v>
      </c>
      <c r="AQ59" s="17">
        <f>IF(ISERROR(SEARCH("sconosciuto",Tabella1[[#This Row],[Cardiopatia ischemica]],1)),0,1)</f>
        <v>0</v>
      </c>
      <c r="AR59" s="11" t="s">
        <v>25</v>
      </c>
      <c r="AS59" s="22">
        <f>IF(ISERROR(SEARCH("nega",Tabella1[[#This Row],[Artimie]],1)),0,1)</f>
        <v>1</v>
      </c>
      <c r="AT59" s="11" t="s">
        <v>25</v>
      </c>
      <c r="AU59" s="22">
        <f>IF(ISERROR(SEARCH("nega",Tabella1[[#This Row],[Ipercolesterolemia]],1)),0,1)</f>
        <v>1</v>
      </c>
      <c r="AV59" s="22">
        <f>IF(ISERROR(SEARCH("boh",Tabella1[[#This Row],[Ipercolesterolemia]],1)),0,1)</f>
        <v>0</v>
      </c>
      <c r="AW59" s="11" t="s">
        <v>25</v>
      </c>
      <c r="AX59" s="22">
        <f>IF(ISERROR(SEARCH("Intolleranza",Tabella1[[#This Row],[Diabete]],1)),0,1)</f>
        <v>0</v>
      </c>
      <c r="AY59" s="22">
        <f>IF(ISERROR(SEARCH("si",Tabella1[[#This Row],[Diabete]],1)),0,1)</f>
        <v>0</v>
      </c>
      <c r="AZ59" s="11" t="s">
        <v>25</v>
      </c>
      <c r="BA59" s="18">
        <f>IF(ISERROR(SEARCH("NDD",Tabella1[[#This Row],[Patologia Tiroidea]],1)),0,1)</f>
        <v>0</v>
      </c>
      <c r="BB59" s="22">
        <f>IF(ISERROR(SEARCH("TIROIDITE",Tabella1[[#This Row],[Patologia Tiroidea]],1)),0,1)</f>
        <v>0</v>
      </c>
      <c r="BC59" s="22">
        <f>IF(ISERROR(SEARCH("HASHIMOTO",Tabella1[[#This Row],[Patologia Tiroidea]],1)),0,1)</f>
        <v>0</v>
      </c>
      <c r="BD59" s="22">
        <f>IF(ISERROR(SEARCH("BASEDOW",Tabella1[[#This Row],[Patologia Tiroidea]],1)),0,1)</f>
        <v>0</v>
      </c>
      <c r="BE59" s="22">
        <f>IF(ISERROR(SEARCH("NOD",Tabella1[[#This Row],[Patologia Tiroidea]],1)),0,1)</f>
        <v>0</v>
      </c>
      <c r="BF59" s="22">
        <f>IF(ISERROR(SEARCH("GOZ",Tabella1[[#This Row],[Patologia Tiroidea]],1)),0,1)</f>
        <v>0</v>
      </c>
      <c r="BG59" s="11" t="s">
        <v>7</v>
      </c>
      <c r="BH59" s="18">
        <f>IF(Tabella1[[#This Row],[Obesità]]="no",0,1)</f>
        <v>1</v>
      </c>
      <c r="BI59" s="11" t="s">
        <v>25</v>
      </c>
      <c r="BJ59" s="22">
        <f>IF(ISERROR(SEARCH("nega",Tabella1[[#This Row],[Reflusso gastroesofageo]],1)),1,0)</f>
        <v>0</v>
      </c>
      <c r="BK59" s="11" t="s">
        <v>25</v>
      </c>
      <c r="BL59" s="18">
        <f>IF(ISERROR(SEARCH("NDD",Tabella1[[#This Row],[Patologia respiratoria]],1)),0,1)</f>
        <v>0</v>
      </c>
      <c r="BM59" s="18">
        <f>IF(ISERROR(SEARCH("asma",Tabella1[[#This Row],[Patologia respiratoria]],1)),0,1)</f>
        <v>0</v>
      </c>
      <c r="BN59" s="18">
        <f>IF(ISERROR(SEARCH("BPCO",Tabella1[[#This Row],[Patologia respiratoria]],1)),0,1)</f>
        <v>0</v>
      </c>
      <c r="BO59" s="18">
        <f>IF(ISERROR(SEARCH("BRONCOPOLMONITE",Tabella1[[#This Row],[Patologia respiratoria]],1)),0,1)</f>
        <v>0</v>
      </c>
      <c r="BP59" s="18">
        <f>IF(ISERROR(SEARCH("ASMA, OSAS",Tabella1[[#This Row],[Patologia respiratoria]],1)),0,1)</f>
        <v>0</v>
      </c>
      <c r="BQ59" s="18">
        <f>IF(ISERROR(SEARCH("OSAS e BPCO",Tabella1[[#This Row],[Patologia respiratoria]],1)),0,1)</f>
        <v>0</v>
      </c>
      <c r="BR59" s="18">
        <f>IF(ISERROR(SEARCH("OSAS",Tabella1[[#This Row],[Patologia respiratoria]],1)),0,1)</f>
        <v>0</v>
      </c>
      <c r="BS59" s="11" t="s">
        <v>832</v>
      </c>
      <c r="BT59" s="11" t="s">
        <v>833</v>
      </c>
      <c r="BU59" s="11" t="s">
        <v>8</v>
      </c>
      <c r="BV59" s="18">
        <f>IF(ISERROR(SEARCH("ndd",Tabella1[[#This Row],[O2 terapia]],1)),0,1)</f>
        <v>0</v>
      </c>
      <c r="BW59" s="17">
        <v>0</v>
      </c>
      <c r="BX59" s="11" t="s">
        <v>834</v>
      </c>
      <c r="BY59" s="11" t="s">
        <v>835</v>
      </c>
      <c r="BZ59" s="17">
        <v>1</v>
      </c>
      <c r="CA59" s="11" t="s">
        <v>836</v>
      </c>
      <c r="CB59" s="17">
        <v>1</v>
      </c>
      <c r="CC59" s="11" t="s">
        <v>837</v>
      </c>
      <c r="CD59" s="17">
        <v>1</v>
      </c>
      <c r="CE59" s="11" t="s">
        <v>8</v>
      </c>
      <c r="CF59" s="18">
        <v>0</v>
      </c>
      <c r="CG59" s="11" t="s">
        <v>25</v>
      </c>
      <c r="CH59" s="17">
        <v>0</v>
      </c>
      <c r="CI59" s="11" t="s">
        <v>25</v>
      </c>
      <c r="CJ59" s="18">
        <v>0</v>
      </c>
      <c r="CK59" s="11" t="s">
        <v>278</v>
      </c>
      <c r="CL59" s="17">
        <v>1</v>
      </c>
      <c r="CM59" s="11" t="s">
        <v>25</v>
      </c>
      <c r="CN59" s="17">
        <v>0</v>
      </c>
      <c r="CO59" s="11" t="s">
        <v>695</v>
      </c>
      <c r="CP59" s="17">
        <v>1</v>
      </c>
      <c r="CQ59" s="11" t="s">
        <v>103</v>
      </c>
      <c r="CR59" s="11" t="s">
        <v>36</v>
      </c>
      <c r="CS59" s="11" t="s">
        <v>37</v>
      </c>
      <c r="CT59" s="11" t="s">
        <v>595</v>
      </c>
      <c r="CU59" s="11" t="s">
        <v>838</v>
      </c>
      <c r="CV59" s="12" t="s">
        <v>839</v>
      </c>
    </row>
    <row r="60" spans="1:100" ht="256.5">
      <c r="A60" s="1">
        <f t="shared" si="0"/>
        <v>59</v>
      </c>
      <c r="B60" s="5">
        <v>411</v>
      </c>
      <c r="C60" s="6">
        <v>44671</v>
      </c>
      <c r="D60" s="7" t="s">
        <v>840</v>
      </c>
      <c r="E60" s="6">
        <v>33693</v>
      </c>
      <c r="F60" s="29">
        <f ca="1">_xlfn.DAYS(NOW(),Tabella1[[#This Row],[Data di Nascita]])/365.25</f>
        <v>33.347022587268995</v>
      </c>
      <c r="G60" s="7" t="s">
        <v>841</v>
      </c>
      <c r="H60" s="7" t="s">
        <v>842</v>
      </c>
      <c r="I60" s="7" t="s">
        <v>843</v>
      </c>
      <c r="J60" s="7" t="s">
        <v>618</v>
      </c>
      <c r="K60" s="7" t="s">
        <v>94</v>
      </c>
      <c r="L60" s="17">
        <f>IF(ISERROR(SEARCH("EX",Tabella1[[#This Row],[Attività lavorativa]],1)),0,1)</f>
        <v>0</v>
      </c>
      <c r="M60" s="17"/>
      <c r="N60" s="17"/>
      <c r="O60" s="17"/>
      <c r="P60" s="17"/>
      <c r="Q60" s="17"/>
      <c r="R60" s="17"/>
      <c r="S60" s="17"/>
      <c r="T60" s="17">
        <f>IF(ISERROR(SEARCH("NDD",Tabella1[[#This Row],[Attività lavorativa]],1)),0,1)</f>
        <v>0</v>
      </c>
      <c r="U60" s="7" t="s">
        <v>8</v>
      </c>
      <c r="V60" s="22"/>
      <c r="W60" s="22">
        <f>IF(ISERROR(SEARCH("ex",Tabella1[[#This Row],[Fumo]],1)),0,1)</f>
        <v>0</v>
      </c>
      <c r="X60" s="22">
        <f>IF(ISERROR(SEARCH("no",Tabella1[[#This Row],[Fumo]],1)),0,1)</f>
        <v>1</v>
      </c>
      <c r="Y60" s="7" t="s">
        <v>25</v>
      </c>
      <c r="Z60" s="17">
        <f>IF(ISERROR(SEARCH("NDD",Tabella1[[#This Row],[Bevitore alcolici]],1)),0,1)</f>
        <v>0</v>
      </c>
      <c r="AA60" s="17">
        <f>IF(ISERROR(SEARCH("raro",Tabella1[[#This Row],[Bevitore alcolici]],1)),0,1)</f>
        <v>0</v>
      </c>
      <c r="AB60" s="17">
        <f>IF(ISERROR(SEARCH("saltuariamente",Tabella1[[#This Row],[Bevitore alcolici]],1)),0,1)</f>
        <v>0</v>
      </c>
      <c r="AC60" s="17">
        <f>IF(ISERROR(SEARCH("nega",Tabella1[[#This Row],[Bevitore alcolici]],1)),0,1)</f>
        <v>1</v>
      </c>
      <c r="AD60" s="17">
        <f>IF(ISERROR(SEARCH("potus",Tabella1[[#This Row],[Bevitore alcolici]],1)),0,1)</f>
        <v>0</v>
      </c>
      <c r="AE60" s="7" t="s">
        <v>844</v>
      </c>
      <c r="AF60" s="17"/>
      <c r="AG60" s="18">
        <v>1</v>
      </c>
      <c r="AH60" s="18">
        <v>1</v>
      </c>
      <c r="AI60" s="18">
        <v>1</v>
      </c>
      <c r="AJ60" s="18"/>
      <c r="AK60" s="7" t="s">
        <v>28</v>
      </c>
      <c r="AL60" s="17">
        <f>IF(ISERROR(SEARCH("si",Tabella1[[#This Row],[Patente di guida]],1)),0,1)</f>
        <v>1</v>
      </c>
      <c r="AM60" s="7" t="s">
        <v>8</v>
      </c>
      <c r="AN60" s="17">
        <f>IF(ISERROR(SEARCH("no",Tabella1[[#This Row],[Ipertensione]],1)),0,1)</f>
        <v>1</v>
      </c>
      <c r="AO60" s="7" t="s">
        <v>382</v>
      </c>
      <c r="AP60" s="18">
        <f>IF(ISERROR(SEARCH("NO",Tabella1[[#This Row],[Cardiopatia ischemica]],1)),1,0)</f>
        <v>0</v>
      </c>
      <c r="AQ60" s="17">
        <f>IF(ISERROR(SEARCH("sconosciuto",Tabella1[[#This Row],[Cardiopatia ischemica]],1)),0,1)</f>
        <v>0</v>
      </c>
      <c r="AR60" s="7" t="s">
        <v>25</v>
      </c>
      <c r="AS60" s="22">
        <f>IF(ISERROR(SEARCH("nega",Tabella1[[#This Row],[Artimie]],1)),0,1)</f>
        <v>1</v>
      </c>
      <c r="AT60" s="7" t="s">
        <v>25</v>
      </c>
      <c r="AU60" s="22">
        <f>IF(ISERROR(SEARCH("nega",Tabella1[[#This Row],[Ipercolesterolemia]],1)),0,1)</f>
        <v>1</v>
      </c>
      <c r="AV60" s="22">
        <f>IF(ISERROR(SEARCH("boh",Tabella1[[#This Row],[Ipercolesterolemia]],1)),0,1)</f>
        <v>0</v>
      </c>
      <c r="AW60" s="7" t="s">
        <v>8</v>
      </c>
      <c r="AX60" s="22">
        <f>IF(ISERROR(SEARCH("Intolleranza",Tabella1[[#This Row],[Diabete]],1)),0,1)</f>
        <v>0</v>
      </c>
      <c r="AY60" s="22">
        <f>IF(ISERROR(SEARCH("si",Tabella1[[#This Row],[Diabete]],1)),0,1)</f>
        <v>0</v>
      </c>
      <c r="AZ60" s="7" t="s">
        <v>845</v>
      </c>
      <c r="BA60" s="17">
        <f>IF(ISERROR(SEARCH("NDD",Tabella1[[#This Row],[Patologia Tiroidea]],1)),0,1)</f>
        <v>0</v>
      </c>
      <c r="BB60" s="22">
        <f>IF(ISERROR(SEARCH("TIROIDITE",Tabella1[[#This Row],[Patologia Tiroidea]],1)),0,1)</f>
        <v>0</v>
      </c>
      <c r="BC60" s="22">
        <f>IF(ISERROR(SEARCH("HASHIMOTO",Tabella1[[#This Row],[Patologia Tiroidea]],1)),0,1)</f>
        <v>0</v>
      </c>
      <c r="BD60" s="22">
        <f>IF(ISERROR(SEARCH("BASEDOW",Tabella1[[#This Row],[Patologia Tiroidea]],1)),0,1)</f>
        <v>0</v>
      </c>
      <c r="BE60" s="22">
        <f>IF(ISERROR(SEARCH("NOD",Tabella1[[#This Row],[Patologia Tiroidea]],1)),0,1)</f>
        <v>0</v>
      </c>
      <c r="BF60" s="22">
        <f>IF(ISERROR(SEARCH("GOZ",Tabella1[[#This Row],[Patologia Tiroidea]],1)),0,1)</f>
        <v>0</v>
      </c>
      <c r="BG60" s="7" t="s">
        <v>8</v>
      </c>
      <c r="BH60" s="17">
        <f>IF(Tabella1[[#This Row],[Obesità]]="no",0,1)</f>
        <v>0</v>
      </c>
      <c r="BI60" s="7" t="s">
        <v>7</v>
      </c>
      <c r="BJ60" s="22">
        <f>IF(ISERROR(SEARCH("nega",Tabella1[[#This Row],[Reflusso gastroesofageo]],1)),1,0)</f>
        <v>1</v>
      </c>
      <c r="BK60" s="7" t="s">
        <v>8</v>
      </c>
      <c r="BL60" s="17">
        <f>IF(ISERROR(SEARCH("NDD",Tabella1[[#This Row],[Patologia respiratoria]],1)),0,1)</f>
        <v>0</v>
      </c>
      <c r="BM60" s="17">
        <f>IF(ISERROR(SEARCH("asma",Tabella1[[#This Row],[Patologia respiratoria]],1)),0,1)</f>
        <v>0</v>
      </c>
      <c r="BN60" s="17">
        <f>IF(ISERROR(SEARCH("BPCO",Tabella1[[#This Row],[Patologia respiratoria]],1)),0,1)</f>
        <v>0</v>
      </c>
      <c r="BO60" s="17">
        <f>IF(ISERROR(SEARCH("BRONCOPOLMONITE",Tabella1[[#This Row],[Patologia respiratoria]],1)),0,1)</f>
        <v>0</v>
      </c>
      <c r="BP60" s="17">
        <f>IF(ISERROR(SEARCH("ASMA, OSAS",Tabella1[[#This Row],[Patologia respiratoria]],1)),0,1)</f>
        <v>0</v>
      </c>
      <c r="BQ60" s="17">
        <f>IF(ISERROR(SEARCH("OSAS e BPCO",Tabella1[[#This Row],[Patologia respiratoria]],1)),0,1)</f>
        <v>0</v>
      </c>
      <c r="BR60" s="17">
        <f>IF(ISERROR(SEARCH("OSAS",Tabella1[[#This Row],[Patologia respiratoria]],1)),0,1)</f>
        <v>0</v>
      </c>
      <c r="BS60" s="7" t="s">
        <v>846</v>
      </c>
      <c r="BT60" s="7" t="s">
        <v>847</v>
      </c>
      <c r="BU60" s="7" t="s">
        <v>8</v>
      </c>
      <c r="BV60" s="17">
        <f>IF(ISERROR(SEARCH("ndd",Tabella1[[#This Row],[O2 terapia]],1)),0,1)</f>
        <v>0</v>
      </c>
      <c r="BW60" s="17">
        <v>0</v>
      </c>
      <c r="BX60" s="7"/>
      <c r="BY60" s="7" t="s">
        <v>8</v>
      </c>
      <c r="BZ60" s="18">
        <v>0</v>
      </c>
      <c r="CA60" s="7" t="s">
        <v>8</v>
      </c>
      <c r="CB60" s="17">
        <v>0</v>
      </c>
      <c r="CC60" s="7" t="s">
        <v>25</v>
      </c>
      <c r="CD60" s="18">
        <v>0</v>
      </c>
      <c r="CE60" s="7" t="s">
        <v>8</v>
      </c>
      <c r="CF60" s="18">
        <v>0</v>
      </c>
      <c r="CG60" s="7" t="s">
        <v>848</v>
      </c>
      <c r="CH60" s="17">
        <v>1</v>
      </c>
      <c r="CI60" s="7" t="s">
        <v>5477</v>
      </c>
      <c r="CJ60" s="17"/>
      <c r="CK60" s="7" t="s">
        <v>25</v>
      </c>
      <c r="CL60" s="17">
        <v>0</v>
      </c>
      <c r="CM60" s="7" t="s">
        <v>849</v>
      </c>
      <c r="CN60" s="17">
        <v>1</v>
      </c>
      <c r="CO60" s="7" t="s">
        <v>25</v>
      </c>
      <c r="CP60" s="18">
        <v>0</v>
      </c>
      <c r="CQ60" s="7" t="s">
        <v>69</v>
      </c>
      <c r="CR60" s="7" t="s">
        <v>850</v>
      </c>
      <c r="CS60" s="7"/>
      <c r="CT60" s="7"/>
      <c r="CU60" s="7" t="s">
        <v>851</v>
      </c>
      <c r="CV60" s="8" t="s">
        <v>852</v>
      </c>
    </row>
    <row r="61" spans="1:100" ht="42.75">
      <c r="A61" s="1">
        <f t="shared" si="0"/>
        <v>60</v>
      </c>
      <c r="B61" s="9">
        <v>424</v>
      </c>
      <c r="C61" s="10">
        <v>44679</v>
      </c>
      <c r="D61" s="11" t="s">
        <v>853</v>
      </c>
      <c r="E61" s="10">
        <v>22194</v>
      </c>
      <c r="F61" s="29">
        <f ca="1">_xlfn.DAYS(NOW(),Tabella1[[#This Row],[Data di Nascita]])/365.25</f>
        <v>64.829568788501021</v>
      </c>
      <c r="G61" s="11"/>
      <c r="H61" s="11" t="s">
        <v>854</v>
      </c>
      <c r="I61" s="11" t="s">
        <v>855</v>
      </c>
      <c r="J61" s="11" t="s">
        <v>856</v>
      </c>
      <c r="K61" s="11" t="s">
        <v>857</v>
      </c>
      <c r="L61" s="18">
        <f>IF(ISERROR(SEARCH("EX",Tabella1[[#This Row],[Attività lavorativa]],1)),0,1)</f>
        <v>0</v>
      </c>
      <c r="M61" s="18"/>
      <c r="N61" s="18"/>
      <c r="O61" s="18">
        <v>1</v>
      </c>
      <c r="P61" s="18"/>
      <c r="Q61" s="18"/>
      <c r="R61" s="18"/>
      <c r="S61" s="18"/>
      <c r="T61" s="17">
        <f>IF(ISERROR(SEARCH("NDD",Tabella1[[#This Row],[Attività lavorativa]],1)),0,1)</f>
        <v>0</v>
      </c>
      <c r="U61" s="11" t="s">
        <v>858</v>
      </c>
      <c r="V61" s="22">
        <v>7</v>
      </c>
      <c r="W61" s="22">
        <f>IF(ISERROR(SEARCH("ex",Tabella1[[#This Row],[Fumo]],1)),0,1)</f>
        <v>1</v>
      </c>
      <c r="X61" s="22">
        <f>IF(ISERROR(SEARCH("no",Tabella1[[#This Row],[Fumo]],1)),0,1)</f>
        <v>0</v>
      </c>
      <c r="Y61" s="11" t="s">
        <v>80</v>
      </c>
      <c r="Z61" s="18">
        <f>IF(ISERROR(SEARCH("NDD",Tabella1[[#This Row],[Bevitore alcolici]],1)),0,1)</f>
        <v>0</v>
      </c>
      <c r="AA61" s="17">
        <f>IF(ISERROR(SEARCH("raro",Tabella1[[#This Row],[Bevitore alcolici]],1)),0,1)</f>
        <v>0</v>
      </c>
      <c r="AB61" s="17">
        <f>IF(ISERROR(SEARCH("saltuariamente",Tabella1[[#This Row],[Bevitore alcolici]],1)),0,1)</f>
        <v>0</v>
      </c>
      <c r="AC61" s="17">
        <f>IF(ISERROR(SEARCH("nega",Tabella1[[#This Row],[Bevitore alcolici]],1)),0,1)</f>
        <v>0</v>
      </c>
      <c r="AD61" s="17">
        <f>IF(ISERROR(SEARCH("potus",Tabella1[[#This Row],[Bevitore alcolici]],1)),0,1)</f>
        <v>0</v>
      </c>
      <c r="AE61" s="11" t="s">
        <v>657</v>
      </c>
      <c r="AF61" s="18"/>
      <c r="AG61" s="18"/>
      <c r="AH61" s="18"/>
      <c r="AI61" s="18"/>
      <c r="AJ61" s="18"/>
      <c r="AK61" s="11" t="s">
        <v>28</v>
      </c>
      <c r="AL61" s="18">
        <f>IF(ISERROR(SEARCH("si",Tabella1[[#This Row],[Patente di guida]],1)),0,1)</f>
        <v>1</v>
      </c>
      <c r="AM61" s="11" t="s">
        <v>28</v>
      </c>
      <c r="AN61" s="18">
        <f>IF(ISERROR(SEARCH("no",Tabella1[[#This Row],[Ipertensione]],1)),0,1)</f>
        <v>0</v>
      </c>
      <c r="AO61" s="11" t="s">
        <v>382</v>
      </c>
      <c r="AP61" s="18">
        <f>IF(ISERROR(SEARCH("NO",Tabella1[[#This Row],[Cardiopatia ischemica]],1)),1,0)</f>
        <v>0</v>
      </c>
      <c r="AQ61" s="17">
        <f>IF(ISERROR(SEARCH("sconosciuto",Tabella1[[#This Row],[Cardiopatia ischemica]],1)),0,1)</f>
        <v>0</v>
      </c>
      <c r="AR61" s="11" t="s">
        <v>859</v>
      </c>
      <c r="AS61" s="22">
        <f>IF(ISERROR(SEARCH("nega",Tabella1[[#This Row],[Artimie]],1)),0,1)</f>
        <v>0</v>
      </c>
      <c r="AT61" s="11" t="s">
        <v>25</v>
      </c>
      <c r="AU61" s="22">
        <f>IF(ISERROR(SEARCH("nega",Tabella1[[#This Row],[Ipercolesterolemia]],1)),0,1)</f>
        <v>1</v>
      </c>
      <c r="AV61" s="22">
        <f>IF(ISERROR(SEARCH("boh",Tabella1[[#This Row],[Ipercolesterolemia]],1)),0,1)</f>
        <v>0</v>
      </c>
      <c r="AW61" s="11" t="s">
        <v>25</v>
      </c>
      <c r="AX61" s="22">
        <f>IF(ISERROR(SEARCH("Intolleranza",Tabella1[[#This Row],[Diabete]],1)),0,1)</f>
        <v>0</v>
      </c>
      <c r="AY61" s="22">
        <f>IF(ISERROR(SEARCH("si",Tabella1[[#This Row],[Diabete]],1)),0,1)</f>
        <v>0</v>
      </c>
      <c r="AZ61" s="11" t="s">
        <v>25</v>
      </c>
      <c r="BA61" s="18">
        <f>IF(ISERROR(SEARCH("NDD",Tabella1[[#This Row],[Patologia Tiroidea]],1)),0,1)</f>
        <v>0</v>
      </c>
      <c r="BB61" s="22">
        <f>IF(ISERROR(SEARCH("TIROIDITE",Tabella1[[#This Row],[Patologia Tiroidea]],1)),0,1)</f>
        <v>0</v>
      </c>
      <c r="BC61" s="22">
        <f>IF(ISERROR(SEARCH("HASHIMOTO",Tabella1[[#This Row],[Patologia Tiroidea]],1)),0,1)</f>
        <v>0</v>
      </c>
      <c r="BD61" s="22">
        <f>IF(ISERROR(SEARCH("BASEDOW",Tabella1[[#This Row],[Patologia Tiroidea]],1)),0,1)</f>
        <v>0</v>
      </c>
      <c r="BE61" s="22">
        <f>IF(ISERROR(SEARCH("NOD",Tabella1[[#This Row],[Patologia Tiroidea]],1)),0,1)</f>
        <v>0</v>
      </c>
      <c r="BF61" s="22">
        <f>IF(ISERROR(SEARCH("GOZ",Tabella1[[#This Row],[Patologia Tiroidea]],1)),0,1)</f>
        <v>0</v>
      </c>
      <c r="BG61" s="11" t="s">
        <v>860</v>
      </c>
      <c r="BH61" s="18">
        <f>IF(Tabella1[[#This Row],[Obesità]]="no",0,1)</f>
        <v>1</v>
      </c>
      <c r="BI61" s="11" t="s">
        <v>25</v>
      </c>
      <c r="BJ61" s="22">
        <f>IF(ISERROR(SEARCH("nega",Tabella1[[#This Row],[Reflusso gastroesofageo]],1)),1,0)</f>
        <v>0</v>
      </c>
      <c r="BK61" s="11" t="s">
        <v>861</v>
      </c>
      <c r="BL61" s="18">
        <f>IF(ISERROR(SEARCH("NDD",Tabella1[[#This Row],[Patologia respiratoria]],1)),0,1)</f>
        <v>0</v>
      </c>
      <c r="BM61" s="18">
        <f>IF(ISERROR(SEARCH("asma",Tabella1[[#This Row],[Patologia respiratoria]],1)),0,1)</f>
        <v>0</v>
      </c>
      <c r="BN61" s="18">
        <f>IF(ISERROR(SEARCH("BPCO",Tabella1[[#This Row],[Patologia respiratoria]],1)),0,1)</f>
        <v>1</v>
      </c>
      <c r="BO61" s="18">
        <f>IF(ISERROR(SEARCH("BRONCOPOLMONITE",Tabella1[[#This Row],[Patologia respiratoria]],1)),0,1)</f>
        <v>0</v>
      </c>
      <c r="BP61" s="18">
        <f>IF(ISERROR(SEARCH("ASMA, OSAS",Tabella1[[#This Row],[Patologia respiratoria]],1)),0,1)</f>
        <v>0</v>
      </c>
      <c r="BQ61" s="18">
        <f>IF(ISERROR(SEARCH("OSAS e BPCO",Tabella1[[#This Row],[Patologia respiratoria]],1)),0,1)</f>
        <v>0</v>
      </c>
      <c r="BR61" s="18">
        <f>IF(ISERROR(SEARCH("OSAS",Tabella1[[#This Row],[Patologia respiratoria]],1)),0,1)</f>
        <v>0</v>
      </c>
      <c r="BS61" s="11" t="s">
        <v>862</v>
      </c>
      <c r="BT61" s="11" t="s">
        <v>863</v>
      </c>
      <c r="BU61" s="11" t="s">
        <v>8</v>
      </c>
      <c r="BV61" s="18">
        <f>IF(ISERROR(SEARCH("ndd",Tabella1[[#This Row],[O2 terapia]],1)),0,1)</f>
        <v>0</v>
      </c>
      <c r="BW61" s="17">
        <v>0</v>
      </c>
      <c r="BX61" s="11"/>
      <c r="BY61" s="11" t="s">
        <v>25</v>
      </c>
      <c r="BZ61" s="18">
        <v>0</v>
      </c>
      <c r="CA61" s="11" t="s">
        <v>864</v>
      </c>
      <c r="CB61" s="17">
        <v>0</v>
      </c>
      <c r="CC61" s="11" t="s">
        <v>25</v>
      </c>
      <c r="CD61" s="18">
        <v>0</v>
      </c>
      <c r="CE61" s="11" t="s">
        <v>25</v>
      </c>
      <c r="CF61" s="18">
        <v>0</v>
      </c>
      <c r="CG61" s="11" t="s">
        <v>865</v>
      </c>
      <c r="CH61" s="17">
        <v>1</v>
      </c>
      <c r="CI61" s="11" t="s">
        <v>25</v>
      </c>
      <c r="CJ61" s="18">
        <v>0</v>
      </c>
      <c r="CK61" s="11" t="s">
        <v>28</v>
      </c>
      <c r="CL61" s="17">
        <v>1</v>
      </c>
      <c r="CM61" s="11" t="s">
        <v>34</v>
      </c>
      <c r="CN61" s="17">
        <v>1</v>
      </c>
      <c r="CO61" s="11" t="s">
        <v>866</v>
      </c>
      <c r="CP61" s="17">
        <v>1</v>
      </c>
      <c r="CQ61" s="11" t="s">
        <v>85</v>
      </c>
      <c r="CR61" s="11" t="s">
        <v>135</v>
      </c>
      <c r="CS61" s="11"/>
      <c r="CT61" s="11"/>
      <c r="CU61" s="11"/>
      <c r="CV61" s="12"/>
    </row>
    <row r="62" spans="1:100" ht="142.5">
      <c r="A62" s="1">
        <f t="shared" si="0"/>
        <v>61</v>
      </c>
      <c r="B62" s="5">
        <v>431</v>
      </c>
      <c r="C62" s="6">
        <v>44687</v>
      </c>
      <c r="D62" s="7" t="s">
        <v>867</v>
      </c>
      <c r="E62" s="6">
        <v>21581</v>
      </c>
      <c r="F62" s="29">
        <f ca="1">_xlfn.DAYS(NOW(),Tabella1[[#This Row],[Data di Nascita]])/365.25</f>
        <v>66.507871321012999</v>
      </c>
      <c r="G62" s="7"/>
      <c r="H62" s="7" t="s">
        <v>868</v>
      </c>
      <c r="I62" s="7" t="s">
        <v>869</v>
      </c>
      <c r="J62" s="7" t="s">
        <v>618</v>
      </c>
      <c r="K62" s="7" t="s">
        <v>870</v>
      </c>
      <c r="L62" s="17">
        <f>IF(ISERROR(SEARCH("EX",Tabella1[[#This Row],[Attività lavorativa]],1)),0,1)</f>
        <v>1</v>
      </c>
      <c r="M62" s="17"/>
      <c r="N62" s="17"/>
      <c r="O62" s="17"/>
      <c r="P62" s="17"/>
      <c r="Q62" s="17"/>
      <c r="R62" s="17"/>
      <c r="S62" s="17"/>
      <c r="T62" s="17">
        <f>IF(ISERROR(SEARCH("NDD",Tabella1[[#This Row],[Attività lavorativa]],1)),0,1)</f>
        <v>0</v>
      </c>
      <c r="U62" s="7" t="s">
        <v>8</v>
      </c>
      <c r="V62" s="22"/>
      <c r="W62" s="22">
        <f>IF(ISERROR(SEARCH("ex",Tabella1[[#This Row],[Fumo]],1)),0,1)</f>
        <v>0</v>
      </c>
      <c r="X62" s="22">
        <f>IF(ISERROR(SEARCH("no",Tabella1[[#This Row],[Fumo]],1)),0,1)</f>
        <v>1</v>
      </c>
      <c r="Y62" s="7" t="s">
        <v>26</v>
      </c>
      <c r="Z62" s="17">
        <f>IF(ISERROR(SEARCH("NDD",Tabella1[[#This Row],[Bevitore alcolici]],1)),0,1)</f>
        <v>0</v>
      </c>
      <c r="AA62" s="17">
        <f>IF(ISERROR(SEARCH("raro",Tabella1[[#This Row],[Bevitore alcolici]],1)),0,1)</f>
        <v>0</v>
      </c>
      <c r="AB62" s="17">
        <f>IF(ISERROR(SEARCH("saltuariamente",Tabella1[[#This Row],[Bevitore alcolici]],1)),0,1)</f>
        <v>1</v>
      </c>
      <c r="AC62" s="17">
        <f>IF(ISERROR(SEARCH("nega",Tabella1[[#This Row],[Bevitore alcolici]],1)),0,1)</f>
        <v>0</v>
      </c>
      <c r="AD62" s="17">
        <f>IF(ISERROR(SEARCH("potus",Tabella1[[#This Row],[Bevitore alcolici]],1)),0,1)</f>
        <v>0</v>
      </c>
      <c r="AE62" s="7" t="s">
        <v>871</v>
      </c>
      <c r="AF62" s="17"/>
      <c r="AG62" s="17"/>
      <c r="AH62" s="17"/>
      <c r="AI62" s="18">
        <v>1</v>
      </c>
      <c r="AJ62" s="18"/>
      <c r="AK62" s="7" t="s">
        <v>28</v>
      </c>
      <c r="AL62" s="17">
        <f>IF(ISERROR(SEARCH("si",Tabella1[[#This Row],[Patente di guida]],1)),0,1)</f>
        <v>1</v>
      </c>
      <c r="AM62" s="7" t="s">
        <v>8</v>
      </c>
      <c r="AN62" s="17">
        <f>IF(ISERROR(SEARCH("no",Tabella1[[#This Row],[Ipertensione]],1)),0,1)</f>
        <v>1</v>
      </c>
      <c r="AO62" s="7" t="s">
        <v>382</v>
      </c>
      <c r="AP62" s="18">
        <f>IF(ISERROR(SEARCH("NO",Tabella1[[#This Row],[Cardiopatia ischemica]],1)),1,0)</f>
        <v>0</v>
      </c>
      <c r="AQ62" s="17">
        <f>IF(ISERROR(SEARCH("sconosciuto",Tabella1[[#This Row],[Cardiopatia ischemica]],1)),0,1)</f>
        <v>0</v>
      </c>
      <c r="AR62" s="7" t="s">
        <v>25</v>
      </c>
      <c r="AS62" s="17">
        <f>IF(ISERROR(SEARCH("nega",Tabella1[[#This Row],[Artimie]],1)),0,1)</f>
        <v>1</v>
      </c>
      <c r="AT62" s="7" t="s">
        <v>25</v>
      </c>
      <c r="AU62" s="17">
        <f>IF(ISERROR(SEARCH("nega",Tabella1[[#This Row],[Ipercolesterolemia]],1)),0,1)</f>
        <v>1</v>
      </c>
      <c r="AV62" s="17">
        <f>IF(ISERROR(SEARCH("boh",Tabella1[[#This Row],[Ipercolesterolemia]],1)),0,1)</f>
        <v>0</v>
      </c>
      <c r="AW62" s="7" t="s">
        <v>8</v>
      </c>
      <c r="AX62" s="17">
        <f>IF(ISERROR(SEARCH("Intolleranza",Tabella1[[#This Row],[Diabete]],1)),0,1)</f>
        <v>0</v>
      </c>
      <c r="AY62" s="17">
        <f>IF(ISERROR(SEARCH("si",Tabella1[[#This Row],[Diabete]],1)),0,1)</f>
        <v>0</v>
      </c>
      <c r="AZ62" s="7" t="s">
        <v>5477</v>
      </c>
      <c r="BA62" s="17">
        <f>IF(ISERROR(SEARCH("NDD",Tabella1[[#This Row],[Patologia Tiroidea]],1)),0,1)</f>
        <v>1</v>
      </c>
      <c r="BB62" s="17">
        <f>IF(ISERROR(SEARCH("TIROIDITE",Tabella1[[#This Row],[Patologia Tiroidea]],1)),0,1)</f>
        <v>0</v>
      </c>
      <c r="BC62" s="17">
        <f>IF(ISERROR(SEARCH("HASHIMOTO",Tabella1[[#This Row],[Patologia Tiroidea]],1)),0,1)</f>
        <v>0</v>
      </c>
      <c r="BD62" s="17">
        <f>IF(ISERROR(SEARCH("BASEDOW",Tabella1[[#This Row],[Patologia Tiroidea]],1)),0,1)</f>
        <v>0</v>
      </c>
      <c r="BE62" s="17">
        <f>IF(ISERROR(SEARCH("NOD",Tabella1[[#This Row],[Patologia Tiroidea]],1)),0,1)</f>
        <v>0</v>
      </c>
      <c r="BF62" s="17">
        <f>IF(ISERROR(SEARCH("GOZ",Tabella1[[#This Row],[Patologia Tiroidea]],1)),0,1)</f>
        <v>0</v>
      </c>
      <c r="BG62" s="7" t="s">
        <v>8</v>
      </c>
      <c r="BH62" s="17">
        <f>IF(Tabella1[[#This Row],[Obesità]]="no",0,1)</f>
        <v>0</v>
      </c>
      <c r="BI62" s="7" t="s">
        <v>28</v>
      </c>
      <c r="BJ62" s="22">
        <f>IF(ISERROR(SEARCH("nega",Tabella1[[#This Row],[Reflusso gastroesofageo]],1)),1,0)</f>
        <v>1</v>
      </c>
      <c r="BK62" s="7" t="s">
        <v>5477</v>
      </c>
      <c r="BL62" s="17">
        <f>IF(ISERROR(SEARCH("NDD",Tabella1[[#This Row],[Patologia respiratoria]],1)),0,1)</f>
        <v>1</v>
      </c>
      <c r="BM62" s="17">
        <f>IF(ISERROR(SEARCH("asma",Tabella1[[#This Row],[Patologia respiratoria]],1)),0,1)</f>
        <v>0</v>
      </c>
      <c r="BN62" s="17">
        <f>IF(ISERROR(SEARCH("BPCO",Tabella1[[#This Row],[Patologia respiratoria]],1)),0,1)</f>
        <v>0</v>
      </c>
      <c r="BO62" s="17">
        <f>IF(ISERROR(SEARCH("BRONCOPOLMONITE",Tabella1[[#This Row],[Patologia respiratoria]],1)),0,1)</f>
        <v>0</v>
      </c>
      <c r="BP62" s="17">
        <f>IF(ISERROR(SEARCH("ASMA, OSAS",Tabella1[[#This Row],[Patologia respiratoria]],1)),0,1)</f>
        <v>0</v>
      </c>
      <c r="BQ62" s="17">
        <f>IF(ISERROR(SEARCH("OSAS e BPCO",Tabella1[[#This Row],[Patologia respiratoria]],1)),0,1)</f>
        <v>0</v>
      </c>
      <c r="BR62" s="17">
        <f>IF(ISERROR(SEARCH("OSAS",Tabella1[[#This Row],[Patologia respiratoria]],1)),0,1)</f>
        <v>0</v>
      </c>
      <c r="BS62" s="7"/>
      <c r="BT62" s="7" t="s">
        <v>872</v>
      </c>
      <c r="BU62" s="7" t="s">
        <v>5477</v>
      </c>
      <c r="BV62" s="17">
        <f>IF(ISERROR(SEARCH("ndd",Tabella1[[#This Row],[O2 terapia]],1)),0,1)</f>
        <v>1</v>
      </c>
      <c r="BW62" s="17"/>
      <c r="BX62" s="7"/>
      <c r="BY62" s="7" t="s">
        <v>25</v>
      </c>
      <c r="BZ62" s="18">
        <v>0</v>
      </c>
      <c r="CA62" s="7" t="s">
        <v>28</v>
      </c>
      <c r="CB62" s="17">
        <v>1</v>
      </c>
      <c r="CC62" s="7" t="s">
        <v>25</v>
      </c>
      <c r="CD62" s="18">
        <v>0</v>
      </c>
      <c r="CE62" s="7" t="s">
        <v>25</v>
      </c>
      <c r="CF62" s="18">
        <v>0</v>
      </c>
      <c r="CG62" s="7" t="s">
        <v>5477</v>
      </c>
      <c r="CH62" s="17"/>
      <c r="CI62" s="7" t="s">
        <v>5477</v>
      </c>
      <c r="CJ62" s="17"/>
      <c r="CK62" s="7" t="s">
        <v>873</v>
      </c>
      <c r="CL62" s="17">
        <v>1</v>
      </c>
      <c r="CM62" s="7" t="s">
        <v>28</v>
      </c>
      <c r="CN62" s="17">
        <v>1</v>
      </c>
      <c r="CO62" s="7" t="s">
        <v>25</v>
      </c>
      <c r="CP62" s="18">
        <v>0</v>
      </c>
      <c r="CQ62" s="7" t="s">
        <v>202</v>
      </c>
      <c r="CR62" s="7" t="s">
        <v>874</v>
      </c>
      <c r="CS62" s="7" t="s">
        <v>153</v>
      </c>
      <c r="CT62" s="7" t="s">
        <v>875</v>
      </c>
      <c r="CU62" s="7" t="s">
        <v>876</v>
      </c>
      <c r="CV62" s="8"/>
    </row>
    <row r="63" spans="1:100" ht="71.25">
      <c r="A63" s="1">
        <f t="shared" si="0"/>
        <v>62</v>
      </c>
      <c r="B63" s="9">
        <v>436</v>
      </c>
      <c r="C63" s="10">
        <v>44693</v>
      </c>
      <c r="D63" s="11" t="s">
        <v>877</v>
      </c>
      <c r="E63" s="10">
        <v>30989</v>
      </c>
      <c r="F63" s="29">
        <f ca="1">_xlfn.DAYS(NOW(),Tabella1[[#This Row],[Data di Nascita]])/365.25</f>
        <v>40.750171115674199</v>
      </c>
      <c r="G63" s="11" t="s">
        <v>878</v>
      </c>
      <c r="H63" s="11" t="s">
        <v>879</v>
      </c>
      <c r="I63" s="11" t="s">
        <v>880</v>
      </c>
      <c r="J63" s="11" t="s">
        <v>618</v>
      </c>
      <c r="K63" s="11" t="s">
        <v>881</v>
      </c>
      <c r="L63" s="18">
        <f>IF(ISERROR(SEARCH("EX",Tabella1[[#This Row],[Attività lavorativa]],1)),0,1)</f>
        <v>0</v>
      </c>
      <c r="M63" s="18"/>
      <c r="N63" s="18"/>
      <c r="O63" s="18"/>
      <c r="P63" s="18"/>
      <c r="Q63" s="18"/>
      <c r="R63" s="18"/>
      <c r="S63" s="18"/>
      <c r="T63" s="17">
        <f>IF(ISERROR(SEARCH("NDD",Tabella1[[#This Row],[Attività lavorativa]],1)),0,1)</f>
        <v>0</v>
      </c>
      <c r="U63" s="11" t="s">
        <v>882</v>
      </c>
      <c r="V63" s="22">
        <v>20</v>
      </c>
      <c r="W63" s="22">
        <f>IF(ISERROR(SEARCH("ex",Tabella1[[#This Row],[Fumo]],1)),0,1)</f>
        <v>0</v>
      </c>
      <c r="X63" s="22">
        <f>IF(ISERROR(SEARCH("no",Tabella1[[#This Row],[Fumo]],1)),0,1)</f>
        <v>0</v>
      </c>
      <c r="Y63" s="11" t="s">
        <v>25</v>
      </c>
      <c r="Z63" s="18">
        <f>IF(ISERROR(SEARCH("NDD",Tabella1[[#This Row],[Bevitore alcolici]],1)),0,1)</f>
        <v>0</v>
      </c>
      <c r="AA63" s="17">
        <f>IF(ISERROR(SEARCH("raro",Tabella1[[#This Row],[Bevitore alcolici]],1)),0,1)</f>
        <v>0</v>
      </c>
      <c r="AB63" s="17">
        <f>IF(ISERROR(SEARCH("saltuariamente",Tabella1[[#This Row],[Bevitore alcolici]],1)),0,1)</f>
        <v>0</v>
      </c>
      <c r="AC63" s="17">
        <f>IF(ISERROR(SEARCH("nega",Tabella1[[#This Row],[Bevitore alcolici]],1)),0,1)</f>
        <v>1</v>
      </c>
      <c r="AD63" s="17">
        <f>IF(ISERROR(SEARCH("potus",Tabella1[[#This Row],[Bevitore alcolici]],1)),0,1)</f>
        <v>0</v>
      </c>
      <c r="AE63" s="11" t="s">
        <v>883</v>
      </c>
      <c r="AF63" s="18"/>
      <c r="AG63" s="18"/>
      <c r="AH63" s="18">
        <v>1</v>
      </c>
      <c r="AI63" s="18"/>
      <c r="AJ63" s="18"/>
      <c r="AK63" s="11" t="s">
        <v>28</v>
      </c>
      <c r="AL63" s="18">
        <f>IF(ISERROR(SEARCH("si",Tabella1[[#This Row],[Patente di guida]],1)),0,1)</f>
        <v>1</v>
      </c>
      <c r="AM63" s="11" t="s">
        <v>8</v>
      </c>
      <c r="AN63" s="18">
        <f>IF(ISERROR(SEARCH("no",Tabella1[[#This Row],[Ipertensione]],1)),0,1)</f>
        <v>1</v>
      </c>
      <c r="AO63" s="11" t="s">
        <v>382</v>
      </c>
      <c r="AP63" s="18">
        <f>IF(ISERROR(SEARCH("NO",Tabella1[[#This Row],[Cardiopatia ischemica]],1)),1,0)</f>
        <v>0</v>
      </c>
      <c r="AQ63" s="17">
        <f>IF(ISERROR(SEARCH("sconosciuto",Tabella1[[#This Row],[Cardiopatia ischemica]],1)),0,1)</f>
        <v>0</v>
      </c>
      <c r="AR63" s="11" t="s">
        <v>25</v>
      </c>
      <c r="AS63" s="22">
        <f>IF(ISERROR(SEARCH("nega",Tabella1[[#This Row],[Artimie]],1)),0,1)</f>
        <v>1</v>
      </c>
      <c r="AT63" s="11" t="s">
        <v>25</v>
      </c>
      <c r="AU63" s="22">
        <f>IF(ISERROR(SEARCH("nega",Tabella1[[#This Row],[Ipercolesterolemia]],1)),0,1)</f>
        <v>1</v>
      </c>
      <c r="AV63" s="22">
        <f>IF(ISERROR(SEARCH("boh",Tabella1[[#This Row],[Ipercolesterolemia]],1)),0,1)</f>
        <v>0</v>
      </c>
      <c r="AW63" s="11" t="s">
        <v>8</v>
      </c>
      <c r="AX63" s="22">
        <f>IF(ISERROR(SEARCH("Intolleranza",Tabella1[[#This Row],[Diabete]],1)),0,1)</f>
        <v>0</v>
      </c>
      <c r="AY63" s="22">
        <f>IF(ISERROR(SEARCH("si",Tabella1[[#This Row],[Diabete]],1)),0,1)</f>
        <v>0</v>
      </c>
      <c r="AZ63" s="7" t="s">
        <v>5477</v>
      </c>
      <c r="BA63" s="17">
        <f>IF(ISERROR(SEARCH("NDD",Tabella1[[#This Row],[Patologia Tiroidea]],1)),0,1)</f>
        <v>1</v>
      </c>
      <c r="BB63" s="22">
        <f>IF(ISERROR(SEARCH("TIROIDITE",Tabella1[[#This Row],[Patologia Tiroidea]],1)),0,1)</f>
        <v>0</v>
      </c>
      <c r="BC63" s="22">
        <f>IF(ISERROR(SEARCH("HASHIMOTO",Tabella1[[#This Row],[Patologia Tiroidea]],1)),0,1)</f>
        <v>0</v>
      </c>
      <c r="BD63" s="22">
        <f>IF(ISERROR(SEARCH("BASEDOW",Tabella1[[#This Row],[Patologia Tiroidea]],1)),0,1)</f>
        <v>0</v>
      </c>
      <c r="BE63" s="22">
        <f>IF(ISERROR(SEARCH("NOD",Tabella1[[#This Row],[Patologia Tiroidea]],1)),0,1)</f>
        <v>0</v>
      </c>
      <c r="BF63" s="22">
        <f>IF(ISERROR(SEARCH("GOZ",Tabella1[[#This Row],[Patologia Tiroidea]],1)),0,1)</f>
        <v>0</v>
      </c>
      <c r="BG63" s="11" t="s">
        <v>8</v>
      </c>
      <c r="BH63" s="18">
        <f>IF(Tabella1[[#This Row],[Obesità]]="no",0,1)</f>
        <v>0</v>
      </c>
      <c r="BI63" s="11" t="s">
        <v>25</v>
      </c>
      <c r="BJ63" s="22">
        <f>IF(ISERROR(SEARCH("nega",Tabella1[[#This Row],[Reflusso gastroesofageo]],1)),1,0)</f>
        <v>0</v>
      </c>
      <c r="BK63" s="11" t="s">
        <v>5477</v>
      </c>
      <c r="BL63" s="18">
        <f>IF(ISERROR(SEARCH("NDD",Tabella1[[#This Row],[Patologia respiratoria]],1)),0,1)</f>
        <v>1</v>
      </c>
      <c r="BM63" s="18">
        <f>IF(ISERROR(SEARCH("asma",Tabella1[[#This Row],[Patologia respiratoria]],1)),0,1)</f>
        <v>0</v>
      </c>
      <c r="BN63" s="18">
        <f>IF(ISERROR(SEARCH("BPCO",Tabella1[[#This Row],[Patologia respiratoria]],1)),0,1)</f>
        <v>0</v>
      </c>
      <c r="BO63" s="18">
        <f>IF(ISERROR(SEARCH("BRONCOPOLMONITE",Tabella1[[#This Row],[Patologia respiratoria]],1)),0,1)</f>
        <v>0</v>
      </c>
      <c r="BP63" s="18">
        <f>IF(ISERROR(SEARCH("ASMA, OSAS",Tabella1[[#This Row],[Patologia respiratoria]],1)),0,1)</f>
        <v>0</v>
      </c>
      <c r="BQ63" s="18">
        <f>IF(ISERROR(SEARCH("OSAS e BPCO",Tabella1[[#This Row],[Patologia respiratoria]],1)),0,1)</f>
        <v>0</v>
      </c>
      <c r="BR63" s="18">
        <f>IF(ISERROR(SEARCH("OSAS",Tabella1[[#This Row],[Patologia respiratoria]],1)),0,1)</f>
        <v>0</v>
      </c>
      <c r="BS63" s="11" t="s">
        <v>8</v>
      </c>
      <c r="BT63" s="11" t="s">
        <v>884</v>
      </c>
      <c r="BU63" s="11" t="s">
        <v>25</v>
      </c>
      <c r="BV63" s="18">
        <f>IF(ISERROR(SEARCH("ndd",Tabella1[[#This Row],[O2 terapia]],1)),0,1)</f>
        <v>0</v>
      </c>
      <c r="BW63" s="17">
        <v>0</v>
      </c>
      <c r="BX63" s="11"/>
      <c r="BY63" s="11" t="s">
        <v>885</v>
      </c>
      <c r="BZ63" s="17">
        <v>1</v>
      </c>
      <c r="CA63" s="11" t="s">
        <v>28</v>
      </c>
      <c r="CB63" s="17">
        <v>1</v>
      </c>
      <c r="CC63" s="11" t="s">
        <v>28</v>
      </c>
      <c r="CD63" s="17">
        <v>1</v>
      </c>
      <c r="CE63" s="11" t="s">
        <v>28</v>
      </c>
      <c r="CF63" s="17">
        <v>1</v>
      </c>
      <c r="CG63" s="7" t="s">
        <v>5477</v>
      </c>
      <c r="CH63" s="18"/>
      <c r="CI63" s="7" t="s">
        <v>5477</v>
      </c>
      <c r="CJ63" s="18"/>
      <c r="CK63" s="11" t="s">
        <v>28</v>
      </c>
      <c r="CL63" s="17">
        <v>1</v>
      </c>
      <c r="CM63" s="11" t="s">
        <v>28</v>
      </c>
      <c r="CN63" s="17">
        <v>1</v>
      </c>
      <c r="CO63" s="11" t="s">
        <v>886</v>
      </c>
      <c r="CP63" s="17">
        <v>1</v>
      </c>
      <c r="CQ63" s="11" t="s">
        <v>85</v>
      </c>
      <c r="CR63" s="11" t="s">
        <v>183</v>
      </c>
      <c r="CS63" s="11" t="s">
        <v>389</v>
      </c>
      <c r="CT63" s="11" t="s">
        <v>355</v>
      </c>
      <c r="CU63" s="11"/>
      <c r="CV63" s="12" t="s">
        <v>887</v>
      </c>
    </row>
    <row r="64" spans="1:100" ht="185.25">
      <c r="A64" s="1">
        <f t="shared" si="0"/>
        <v>63</v>
      </c>
      <c r="B64" s="5">
        <v>446</v>
      </c>
      <c r="C64" s="6">
        <v>44699</v>
      </c>
      <c r="D64" s="7" t="s">
        <v>888</v>
      </c>
      <c r="E64" s="6">
        <v>27292</v>
      </c>
      <c r="F64" s="29">
        <f ca="1">_xlfn.DAYS(NOW(),Tabella1[[#This Row],[Data di Nascita]])/365.25</f>
        <v>50.872005475701577</v>
      </c>
      <c r="G64" s="7" t="s">
        <v>889</v>
      </c>
      <c r="H64" s="7" t="s">
        <v>890</v>
      </c>
      <c r="I64" s="7" t="s">
        <v>891</v>
      </c>
      <c r="J64" s="7" t="s">
        <v>618</v>
      </c>
      <c r="K64" s="7" t="s">
        <v>94</v>
      </c>
      <c r="L64" s="17">
        <f>IF(ISERROR(SEARCH("EX",Tabella1[[#This Row],[Attività lavorativa]],1)),0,1)</f>
        <v>0</v>
      </c>
      <c r="M64" s="17"/>
      <c r="N64" s="17"/>
      <c r="O64" s="17"/>
      <c r="P64" s="17"/>
      <c r="Q64" s="17"/>
      <c r="R64" s="17"/>
      <c r="S64" s="17"/>
      <c r="T64" s="17">
        <f>IF(ISERROR(SEARCH("NDD",Tabella1[[#This Row],[Attività lavorativa]],1)),0,1)</f>
        <v>0</v>
      </c>
      <c r="U64" s="7" t="s">
        <v>892</v>
      </c>
      <c r="V64" s="22">
        <v>15</v>
      </c>
      <c r="W64" s="22">
        <f>IF(ISERROR(SEARCH("ex",Tabella1[[#This Row],[Fumo]],1)),0,1)</f>
        <v>0</v>
      </c>
      <c r="X64" s="22">
        <f>IF(ISERROR(SEARCH("no",Tabella1[[#This Row],[Fumo]],1)),0,1)</f>
        <v>0</v>
      </c>
      <c r="Y64" s="7" t="s">
        <v>26</v>
      </c>
      <c r="Z64" s="17">
        <f>IF(ISERROR(SEARCH("NDD",Tabella1[[#This Row],[Bevitore alcolici]],1)),0,1)</f>
        <v>0</v>
      </c>
      <c r="AA64" s="17">
        <f>IF(ISERROR(SEARCH("raro",Tabella1[[#This Row],[Bevitore alcolici]],1)),0,1)</f>
        <v>0</v>
      </c>
      <c r="AB64" s="17">
        <f>IF(ISERROR(SEARCH("saltuariamente",Tabella1[[#This Row],[Bevitore alcolici]],1)),0,1)</f>
        <v>1</v>
      </c>
      <c r="AC64" s="17">
        <f>IF(ISERROR(SEARCH("nega",Tabella1[[#This Row],[Bevitore alcolici]],1)),0,1)</f>
        <v>0</v>
      </c>
      <c r="AD64" s="17">
        <f>IF(ISERROR(SEARCH("potus",Tabella1[[#This Row],[Bevitore alcolici]],1)),0,1)</f>
        <v>0</v>
      </c>
      <c r="AE64" s="7" t="s">
        <v>893</v>
      </c>
      <c r="AF64" s="17"/>
      <c r="AG64" s="17"/>
      <c r="AH64" s="18">
        <v>1</v>
      </c>
      <c r="AI64" s="18"/>
      <c r="AJ64" s="18"/>
      <c r="AK64" s="7" t="s">
        <v>8</v>
      </c>
      <c r="AL64" s="17">
        <f>IF(ISERROR(SEARCH("si",Tabella1[[#This Row],[Patente di guida]],1)),0,1)</f>
        <v>0</v>
      </c>
      <c r="AM64" s="7" t="s">
        <v>3722</v>
      </c>
      <c r="AN64" s="17">
        <f>IF(ISERROR(SEARCH("no",Tabella1[[#This Row],[Ipertensione]],1)),0,1)</f>
        <v>0</v>
      </c>
      <c r="AO64" s="7" t="s">
        <v>382</v>
      </c>
      <c r="AP64" s="18">
        <f>IF(ISERROR(SEARCH("NO",Tabella1[[#This Row],[Cardiopatia ischemica]],1)),1,0)</f>
        <v>0</v>
      </c>
      <c r="AQ64" s="17">
        <f>IF(ISERROR(SEARCH("sconosciuto",Tabella1[[#This Row],[Cardiopatia ischemica]],1)),0,1)</f>
        <v>0</v>
      </c>
      <c r="AR64" s="7" t="s">
        <v>25</v>
      </c>
      <c r="AS64" s="22">
        <f>IF(ISERROR(SEARCH("nega",Tabella1[[#This Row],[Artimie]],1)),0,1)</f>
        <v>1</v>
      </c>
      <c r="AT64" s="7" t="s">
        <v>25</v>
      </c>
      <c r="AU64" s="22">
        <f>IF(ISERROR(SEARCH("nega",Tabella1[[#This Row],[Ipercolesterolemia]],1)),0,1)</f>
        <v>1</v>
      </c>
      <c r="AV64" s="22">
        <f>IF(ISERROR(SEARCH("boh",Tabella1[[#This Row],[Ipercolesterolemia]],1)),0,1)</f>
        <v>0</v>
      </c>
      <c r="AW64" s="7" t="s">
        <v>8</v>
      </c>
      <c r="AX64" s="22">
        <f>IF(ISERROR(SEARCH("Intolleranza",Tabella1[[#This Row],[Diabete]],1)),0,1)</f>
        <v>0</v>
      </c>
      <c r="AY64" s="22">
        <f>IF(ISERROR(SEARCH("si",Tabella1[[#This Row],[Diabete]],1)),0,1)</f>
        <v>0</v>
      </c>
      <c r="AZ64" s="7" t="s">
        <v>8</v>
      </c>
      <c r="BA64" s="17">
        <f>IF(ISERROR(SEARCH("NDD",Tabella1[[#This Row],[Patologia Tiroidea]],1)),0,1)</f>
        <v>0</v>
      </c>
      <c r="BB64" s="22">
        <f>IF(ISERROR(SEARCH("TIROIDITE",Tabella1[[#This Row],[Patologia Tiroidea]],1)),0,1)</f>
        <v>0</v>
      </c>
      <c r="BC64" s="22">
        <f>IF(ISERROR(SEARCH("HASHIMOTO",Tabella1[[#This Row],[Patologia Tiroidea]],1)),0,1)</f>
        <v>0</v>
      </c>
      <c r="BD64" s="22">
        <f>IF(ISERROR(SEARCH("BASEDOW",Tabella1[[#This Row],[Patologia Tiroidea]],1)),0,1)</f>
        <v>0</v>
      </c>
      <c r="BE64" s="22">
        <f>IF(ISERROR(SEARCH("NOD",Tabella1[[#This Row],[Patologia Tiroidea]],1)),0,1)</f>
        <v>0</v>
      </c>
      <c r="BF64" s="22">
        <f>IF(ISERROR(SEARCH("GOZ",Tabella1[[#This Row],[Patologia Tiroidea]],1)),0,1)</f>
        <v>0</v>
      </c>
      <c r="BG64" s="7" t="s">
        <v>7</v>
      </c>
      <c r="BH64" s="17">
        <f>IF(Tabella1[[#This Row],[Obesità]]="no",0,1)</f>
        <v>1</v>
      </c>
      <c r="BI64" s="7" t="s">
        <v>25</v>
      </c>
      <c r="BJ64" s="22">
        <f>IF(ISERROR(SEARCH("nega",Tabella1[[#This Row],[Reflusso gastroesofageo]],1)),1,0)</f>
        <v>0</v>
      </c>
      <c r="BK64" s="7" t="s">
        <v>5477</v>
      </c>
      <c r="BL64" s="17">
        <f>IF(ISERROR(SEARCH("NDD",Tabella1[[#This Row],[Patologia respiratoria]],1)),0,1)</f>
        <v>1</v>
      </c>
      <c r="BM64" s="17">
        <f>IF(ISERROR(SEARCH("asma",Tabella1[[#This Row],[Patologia respiratoria]],1)),0,1)</f>
        <v>0</v>
      </c>
      <c r="BN64" s="17">
        <f>IF(ISERROR(SEARCH("BPCO",Tabella1[[#This Row],[Patologia respiratoria]],1)),0,1)</f>
        <v>0</v>
      </c>
      <c r="BO64" s="17">
        <f>IF(ISERROR(SEARCH("BRONCOPOLMONITE",Tabella1[[#This Row],[Patologia respiratoria]],1)),0,1)</f>
        <v>0</v>
      </c>
      <c r="BP64" s="17">
        <f>IF(ISERROR(SEARCH("ASMA, OSAS",Tabella1[[#This Row],[Patologia respiratoria]],1)),0,1)</f>
        <v>0</v>
      </c>
      <c r="BQ64" s="17">
        <f>IF(ISERROR(SEARCH("OSAS e BPCO",Tabella1[[#This Row],[Patologia respiratoria]],1)),0,1)</f>
        <v>0</v>
      </c>
      <c r="BR64" s="17">
        <f>IF(ISERROR(SEARCH("OSAS",Tabella1[[#This Row],[Patologia respiratoria]],1)),0,1)</f>
        <v>0</v>
      </c>
      <c r="BS64" s="7" t="s">
        <v>895</v>
      </c>
      <c r="BT64" s="7" t="s">
        <v>896</v>
      </c>
      <c r="BU64" s="7" t="s">
        <v>8</v>
      </c>
      <c r="BV64" s="17">
        <f>IF(ISERROR(SEARCH("ndd",Tabella1[[#This Row],[O2 terapia]],1)),0,1)</f>
        <v>0</v>
      </c>
      <c r="BW64" s="17">
        <v>0</v>
      </c>
      <c r="BX64" s="7"/>
      <c r="BY64" s="7" t="s">
        <v>8</v>
      </c>
      <c r="BZ64" s="18">
        <v>0</v>
      </c>
      <c r="CA64" s="7" t="s">
        <v>8</v>
      </c>
      <c r="CB64" s="17">
        <v>0</v>
      </c>
      <c r="CC64" s="7" t="s">
        <v>755</v>
      </c>
      <c r="CD64" s="17">
        <v>1</v>
      </c>
      <c r="CE64" s="7" t="s">
        <v>8</v>
      </c>
      <c r="CF64" s="18">
        <v>0</v>
      </c>
      <c r="CG64" s="7" t="s">
        <v>8</v>
      </c>
      <c r="CH64" s="17">
        <v>0</v>
      </c>
      <c r="CI64" s="7" t="s">
        <v>8</v>
      </c>
      <c r="CJ64" s="18">
        <v>0</v>
      </c>
      <c r="CK64" s="7" t="s">
        <v>897</v>
      </c>
      <c r="CL64" s="17">
        <v>1</v>
      </c>
      <c r="CM64" s="7" t="s">
        <v>898</v>
      </c>
      <c r="CN64" s="17">
        <v>1</v>
      </c>
      <c r="CO64" s="7" t="s">
        <v>8</v>
      </c>
      <c r="CP64" s="18">
        <v>0</v>
      </c>
      <c r="CQ64" s="7" t="s">
        <v>35</v>
      </c>
      <c r="CR64" s="7" t="s">
        <v>899</v>
      </c>
      <c r="CS64" s="7" t="s">
        <v>404</v>
      </c>
      <c r="CT64" s="7" t="s">
        <v>248</v>
      </c>
      <c r="CU64" s="7" t="s">
        <v>900</v>
      </c>
      <c r="CV64" s="8"/>
    </row>
    <row r="65" spans="1:100" ht="114">
      <c r="A65" s="1">
        <f t="shared" si="0"/>
        <v>64</v>
      </c>
      <c r="B65" s="9">
        <v>448</v>
      </c>
      <c r="C65" s="10">
        <v>44700</v>
      </c>
      <c r="D65" s="11" t="s">
        <v>901</v>
      </c>
      <c r="E65" s="10">
        <v>19826</v>
      </c>
      <c r="F65" s="29">
        <f ca="1">_xlfn.DAYS(NOW(),Tabella1[[#This Row],[Data di Nascita]])/365.25</f>
        <v>71.312799452429843</v>
      </c>
      <c r="G65" s="11" t="s">
        <v>902</v>
      </c>
      <c r="H65" s="11" t="s">
        <v>903</v>
      </c>
      <c r="I65" s="11" t="s">
        <v>880</v>
      </c>
      <c r="J65" s="11" t="s">
        <v>618</v>
      </c>
      <c r="K65" s="11" t="s">
        <v>904</v>
      </c>
      <c r="L65" s="18">
        <f>IF(ISERROR(SEARCH("EX",Tabella1[[#This Row],[Attività lavorativa]],1)),0,1)</f>
        <v>0</v>
      </c>
      <c r="M65" s="18"/>
      <c r="N65" s="18"/>
      <c r="O65" s="18"/>
      <c r="P65" s="18">
        <v>1</v>
      </c>
      <c r="Q65" s="18"/>
      <c r="R65" s="18"/>
      <c r="S65" s="18"/>
      <c r="T65" s="17">
        <f>IF(ISERROR(SEARCH("NDD",Tabella1[[#This Row],[Attività lavorativa]],1)),0,1)</f>
        <v>0</v>
      </c>
      <c r="U65" s="11" t="s">
        <v>8</v>
      </c>
      <c r="V65" s="22"/>
      <c r="W65" s="22">
        <f>IF(ISERROR(SEARCH("ex",Tabella1[[#This Row],[Fumo]],1)),0,1)</f>
        <v>0</v>
      </c>
      <c r="X65" s="22">
        <f>IF(ISERROR(SEARCH("no",Tabella1[[#This Row],[Fumo]],1)),0,1)</f>
        <v>1</v>
      </c>
      <c r="Y65" s="11" t="s">
        <v>25</v>
      </c>
      <c r="Z65" s="18">
        <f>IF(ISERROR(SEARCH("NDD",Tabella1[[#This Row],[Bevitore alcolici]],1)),0,1)</f>
        <v>0</v>
      </c>
      <c r="AA65" s="17">
        <f>IF(ISERROR(SEARCH("raro",Tabella1[[#This Row],[Bevitore alcolici]],1)),0,1)</f>
        <v>0</v>
      </c>
      <c r="AB65" s="17">
        <f>IF(ISERROR(SEARCH("saltuariamente",Tabella1[[#This Row],[Bevitore alcolici]],1)),0,1)</f>
        <v>0</v>
      </c>
      <c r="AC65" s="17">
        <f>IF(ISERROR(SEARCH("nega",Tabella1[[#This Row],[Bevitore alcolici]],1)),0,1)</f>
        <v>1</v>
      </c>
      <c r="AD65" s="17">
        <f>IF(ISERROR(SEARCH("potus",Tabella1[[#This Row],[Bevitore alcolici]],1)),0,1)</f>
        <v>0</v>
      </c>
      <c r="AE65" s="11" t="s">
        <v>905</v>
      </c>
      <c r="AF65" s="18"/>
      <c r="AG65" s="18">
        <v>1</v>
      </c>
      <c r="AH65" s="18"/>
      <c r="AI65" s="18"/>
      <c r="AJ65" s="18"/>
      <c r="AK65" s="11" t="s">
        <v>8</v>
      </c>
      <c r="AL65" s="18">
        <f>IF(ISERROR(SEARCH("si",Tabella1[[#This Row],[Patente di guida]],1)),0,1)</f>
        <v>0</v>
      </c>
      <c r="AM65" s="11" t="s">
        <v>28</v>
      </c>
      <c r="AN65" s="18">
        <f>IF(ISERROR(SEARCH("no",Tabella1[[#This Row],[Ipertensione]],1)),0,1)</f>
        <v>0</v>
      </c>
      <c r="AO65" s="11" t="s">
        <v>382</v>
      </c>
      <c r="AP65" s="18">
        <f>IF(ISERROR(SEARCH("NO",Tabella1[[#This Row],[Cardiopatia ischemica]],1)),1,0)</f>
        <v>0</v>
      </c>
      <c r="AQ65" s="17">
        <f>IF(ISERROR(SEARCH("sconosciuto",Tabella1[[#This Row],[Cardiopatia ischemica]],1)),0,1)</f>
        <v>0</v>
      </c>
      <c r="AR65" s="11" t="s">
        <v>906</v>
      </c>
      <c r="AS65" s="22">
        <f>IF(ISERROR(SEARCH("nega",Tabella1[[#This Row],[Artimie]],1)),0,1)</f>
        <v>0</v>
      </c>
      <c r="AT65" s="11" t="s">
        <v>25</v>
      </c>
      <c r="AU65" s="22">
        <f>IF(ISERROR(SEARCH("nega",Tabella1[[#This Row],[Ipercolesterolemia]],1)),0,1)</f>
        <v>1</v>
      </c>
      <c r="AV65" s="22">
        <f>IF(ISERROR(SEARCH("boh",Tabella1[[#This Row],[Ipercolesterolemia]],1)),0,1)</f>
        <v>0</v>
      </c>
      <c r="AW65" s="11" t="s">
        <v>8</v>
      </c>
      <c r="AX65" s="22">
        <f>IF(ISERROR(SEARCH("Intolleranza",Tabella1[[#This Row],[Diabete]],1)),0,1)</f>
        <v>0</v>
      </c>
      <c r="AY65" s="22">
        <f>IF(ISERROR(SEARCH("si",Tabella1[[#This Row],[Diabete]],1)),0,1)</f>
        <v>0</v>
      </c>
      <c r="AZ65" s="7" t="s">
        <v>5477</v>
      </c>
      <c r="BA65" s="17">
        <f>IF(ISERROR(SEARCH("NDD",Tabella1[[#This Row],[Patologia Tiroidea]],1)),0,1)</f>
        <v>1</v>
      </c>
      <c r="BB65" s="22">
        <f>IF(ISERROR(SEARCH("TIROIDITE",Tabella1[[#This Row],[Patologia Tiroidea]],1)),0,1)</f>
        <v>0</v>
      </c>
      <c r="BC65" s="22">
        <f>IF(ISERROR(SEARCH("HASHIMOTO",Tabella1[[#This Row],[Patologia Tiroidea]],1)),0,1)</f>
        <v>0</v>
      </c>
      <c r="BD65" s="22">
        <f>IF(ISERROR(SEARCH("BASEDOW",Tabella1[[#This Row],[Patologia Tiroidea]],1)),0,1)</f>
        <v>0</v>
      </c>
      <c r="BE65" s="22">
        <f>IF(ISERROR(SEARCH("NOD",Tabella1[[#This Row],[Patologia Tiroidea]],1)),0,1)</f>
        <v>0</v>
      </c>
      <c r="BF65" s="22">
        <f>IF(ISERROR(SEARCH("GOZ",Tabella1[[#This Row],[Patologia Tiroidea]],1)),0,1)</f>
        <v>0</v>
      </c>
      <c r="BG65" s="11" t="s">
        <v>28</v>
      </c>
      <c r="BH65" s="18">
        <f>IF(Tabella1[[#This Row],[Obesità]]="no",0,1)</f>
        <v>1</v>
      </c>
      <c r="BI65" s="11" t="s">
        <v>28</v>
      </c>
      <c r="BJ65" s="22">
        <f>IF(ISERROR(SEARCH("nega",Tabella1[[#This Row],[Reflusso gastroesofageo]],1)),1,0)</f>
        <v>1</v>
      </c>
      <c r="BK65" s="11" t="s">
        <v>5477</v>
      </c>
      <c r="BL65" s="18">
        <f>IF(ISERROR(SEARCH("NDD",Tabella1[[#This Row],[Patologia respiratoria]],1)),0,1)</f>
        <v>1</v>
      </c>
      <c r="BM65" s="18">
        <f>IF(ISERROR(SEARCH("asma",Tabella1[[#This Row],[Patologia respiratoria]],1)),0,1)</f>
        <v>0</v>
      </c>
      <c r="BN65" s="18">
        <f>IF(ISERROR(SEARCH("BPCO",Tabella1[[#This Row],[Patologia respiratoria]],1)),0,1)</f>
        <v>0</v>
      </c>
      <c r="BO65" s="18">
        <f>IF(ISERROR(SEARCH("BRONCOPOLMONITE",Tabella1[[#This Row],[Patologia respiratoria]],1)),0,1)</f>
        <v>0</v>
      </c>
      <c r="BP65" s="18">
        <f>IF(ISERROR(SEARCH("ASMA, OSAS",Tabella1[[#This Row],[Patologia respiratoria]],1)),0,1)</f>
        <v>0</v>
      </c>
      <c r="BQ65" s="18">
        <f>IF(ISERROR(SEARCH("OSAS e BPCO",Tabella1[[#This Row],[Patologia respiratoria]],1)),0,1)</f>
        <v>0</v>
      </c>
      <c r="BR65" s="18">
        <f>IF(ISERROR(SEARCH("OSAS",Tabella1[[#This Row],[Patologia respiratoria]],1)),0,1)</f>
        <v>0</v>
      </c>
      <c r="BS65" s="11"/>
      <c r="BT65" s="11" t="s">
        <v>907</v>
      </c>
      <c r="BU65" s="11" t="s">
        <v>8</v>
      </c>
      <c r="BV65" s="18">
        <f>IF(ISERROR(SEARCH("ndd",Tabella1[[#This Row],[O2 terapia]],1)),0,1)</f>
        <v>0</v>
      </c>
      <c r="BW65" s="17">
        <v>0</v>
      </c>
      <c r="BX65" s="11"/>
      <c r="BY65" s="11" t="s">
        <v>8</v>
      </c>
      <c r="BZ65" s="18">
        <v>0</v>
      </c>
      <c r="CA65" s="11" t="s">
        <v>28</v>
      </c>
      <c r="CB65" s="17">
        <v>1</v>
      </c>
      <c r="CC65" s="11" t="s">
        <v>908</v>
      </c>
      <c r="CD65" s="17">
        <v>1</v>
      </c>
      <c r="CE65" s="11" t="s">
        <v>5705</v>
      </c>
      <c r="CF65" s="17">
        <v>1</v>
      </c>
      <c r="CG65" s="7" t="s">
        <v>5477</v>
      </c>
      <c r="CH65" s="18"/>
      <c r="CI65" s="7" t="s">
        <v>5477</v>
      </c>
      <c r="CJ65" s="18"/>
      <c r="CK65" s="11" t="s">
        <v>909</v>
      </c>
      <c r="CL65" s="17">
        <v>1</v>
      </c>
      <c r="CM65" s="11" t="s">
        <v>910</v>
      </c>
      <c r="CN65" s="17">
        <v>1</v>
      </c>
      <c r="CO65" s="11" t="s">
        <v>28</v>
      </c>
      <c r="CP65" s="17">
        <v>1</v>
      </c>
      <c r="CQ65" s="11" t="s">
        <v>202</v>
      </c>
      <c r="CR65" s="11" t="s">
        <v>911</v>
      </c>
      <c r="CS65" s="11" t="s">
        <v>71</v>
      </c>
      <c r="CT65" s="11" t="s">
        <v>87</v>
      </c>
      <c r="CU65" s="11"/>
      <c r="CV65" s="12" t="s">
        <v>912</v>
      </c>
    </row>
    <row r="66" spans="1:100" ht="57">
      <c r="A66" s="1">
        <f t="shared" si="0"/>
        <v>65</v>
      </c>
      <c r="B66" s="5">
        <v>459</v>
      </c>
      <c r="C66" s="6">
        <v>44711</v>
      </c>
      <c r="D66" s="7" t="s">
        <v>913</v>
      </c>
      <c r="E66" s="6">
        <v>19464</v>
      </c>
      <c r="F66" s="29">
        <f ca="1">_xlfn.DAYS(NOW(),Tabella1[[#This Row],[Data di Nascita]])/365.25</f>
        <v>72.303901437371664</v>
      </c>
      <c r="G66" s="7" t="s">
        <v>914</v>
      </c>
      <c r="H66" s="7" t="s">
        <v>915</v>
      </c>
      <c r="I66" s="7" t="s">
        <v>916</v>
      </c>
      <c r="J66" s="7" t="s">
        <v>618</v>
      </c>
      <c r="K66" s="7" t="s">
        <v>917</v>
      </c>
      <c r="L66" s="18">
        <f>IF(ISERROR(SEARCH("EX",Tabella1[[#This Row],[Attività lavorativa]],1)),0,1)</f>
        <v>1</v>
      </c>
      <c r="M66" s="17"/>
      <c r="N66" s="17"/>
      <c r="O66" s="17"/>
      <c r="P66" s="17"/>
      <c r="Q66" s="17"/>
      <c r="R66" s="17"/>
      <c r="S66" s="17"/>
      <c r="T66" s="17">
        <f>IF(ISERROR(SEARCH("NDD",Tabella1[[#This Row],[Attività lavorativa]],1)),0,1)</f>
        <v>0</v>
      </c>
      <c r="U66" s="7" t="s">
        <v>8</v>
      </c>
      <c r="V66" s="22"/>
      <c r="W66" s="22">
        <f>IF(ISERROR(SEARCH("ex",Tabella1[[#This Row],[Fumo]],1)),0,1)</f>
        <v>0</v>
      </c>
      <c r="X66" s="22">
        <f>IF(ISERROR(SEARCH("no",Tabella1[[#This Row],[Fumo]],1)),0,1)</f>
        <v>1</v>
      </c>
      <c r="Y66" s="7" t="s">
        <v>26</v>
      </c>
      <c r="Z66" s="17">
        <f>IF(ISERROR(SEARCH("NDD",Tabella1[[#This Row],[Bevitore alcolici]],1)),0,1)</f>
        <v>0</v>
      </c>
      <c r="AA66" s="17">
        <f>IF(ISERROR(SEARCH("raro",Tabella1[[#This Row],[Bevitore alcolici]],1)),0,1)</f>
        <v>0</v>
      </c>
      <c r="AB66" s="17">
        <f>IF(ISERROR(SEARCH("saltuariamente",Tabella1[[#This Row],[Bevitore alcolici]],1)),0,1)</f>
        <v>1</v>
      </c>
      <c r="AC66" s="17">
        <f>IF(ISERROR(SEARCH("nega",Tabella1[[#This Row],[Bevitore alcolici]],1)),0,1)</f>
        <v>0</v>
      </c>
      <c r="AD66" s="17">
        <f>IF(ISERROR(SEARCH("potus",Tabella1[[#This Row],[Bevitore alcolici]],1)),0,1)</f>
        <v>0</v>
      </c>
      <c r="AE66" s="7" t="s">
        <v>657</v>
      </c>
      <c r="AF66" s="17"/>
      <c r="AG66" s="17"/>
      <c r="AH66" s="17"/>
      <c r="AI66" s="17"/>
      <c r="AJ66" s="17"/>
      <c r="AK66" s="7" t="s">
        <v>28</v>
      </c>
      <c r="AL66" s="17">
        <f>IF(ISERROR(SEARCH("si",Tabella1[[#This Row],[Patente di guida]],1)),0,1)</f>
        <v>1</v>
      </c>
      <c r="AM66" s="7" t="s">
        <v>3722</v>
      </c>
      <c r="AN66" s="17">
        <f>IF(ISERROR(SEARCH("no",Tabella1[[#This Row],[Ipertensione]],1)),0,1)</f>
        <v>0</v>
      </c>
      <c r="AO66" s="7" t="s">
        <v>3726</v>
      </c>
      <c r="AP66" s="18">
        <f>IF(ISERROR(SEARCH("NO",Tabella1[[#This Row],[Cardiopatia ischemica]],1)),1,0)</f>
        <v>0</v>
      </c>
      <c r="AQ66" s="17">
        <f>IF(ISERROR(SEARCH("sconosciuto",Tabella1[[#This Row],[Cardiopatia ischemica]],1)),0,1)</f>
        <v>1</v>
      </c>
      <c r="AR66" s="7" t="s">
        <v>25</v>
      </c>
      <c r="AS66" s="22">
        <f>IF(ISERROR(SEARCH("nega",Tabella1[[#This Row],[Artimie]],1)),0,1)</f>
        <v>1</v>
      </c>
      <c r="AT66" s="7" t="s">
        <v>25</v>
      </c>
      <c r="AU66" s="22">
        <f>IF(ISERROR(SEARCH("nega",Tabella1[[#This Row],[Ipercolesterolemia]],1)),0,1)</f>
        <v>1</v>
      </c>
      <c r="AV66" s="22">
        <f>IF(ISERROR(SEARCH("boh",Tabella1[[#This Row],[Ipercolesterolemia]],1)),0,1)</f>
        <v>0</v>
      </c>
      <c r="AW66" s="7" t="s">
        <v>8</v>
      </c>
      <c r="AX66" s="22">
        <f>IF(ISERROR(SEARCH("Intolleranza",Tabella1[[#This Row],[Diabete]],1)),0,1)</f>
        <v>0</v>
      </c>
      <c r="AY66" s="22">
        <f>IF(ISERROR(SEARCH("si",Tabella1[[#This Row],[Diabete]],1)),0,1)</f>
        <v>0</v>
      </c>
      <c r="AZ66" s="7" t="s">
        <v>3726</v>
      </c>
      <c r="BA66" s="17">
        <f>IF(ISERROR(SEARCH("NDD",Tabella1[[#This Row],[Patologia Tiroidea]],1)),0,1)</f>
        <v>0</v>
      </c>
      <c r="BB66" s="22">
        <f>IF(ISERROR(SEARCH("TIROIDITE",Tabella1[[#This Row],[Patologia Tiroidea]],1)),0,1)</f>
        <v>0</v>
      </c>
      <c r="BC66" s="22">
        <f>IF(ISERROR(SEARCH("HASHIMOTO",Tabella1[[#This Row],[Patologia Tiroidea]],1)),0,1)</f>
        <v>0</v>
      </c>
      <c r="BD66" s="22">
        <f>IF(ISERROR(SEARCH("BASEDOW",Tabella1[[#This Row],[Patologia Tiroidea]],1)),0,1)</f>
        <v>0</v>
      </c>
      <c r="BE66" s="22">
        <f>IF(ISERROR(SEARCH("NOD",Tabella1[[#This Row],[Patologia Tiroidea]],1)),0,1)</f>
        <v>0</v>
      </c>
      <c r="BF66" s="22">
        <f>IF(ISERROR(SEARCH("GOZ",Tabella1[[#This Row],[Patologia Tiroidea]],1)),0,1)</f>
        <v>0</v>
      </c>
      <c r="BG66" s="7" t="s">
        <v>7</v>
      </c>
      <c r="BH66" s="17">
        <f>IF(Tabella1[[#This Row],[Obesità]]="no",0,1)</f>
        <v>1</v>
      </c>
      <c r="BI66" s="7" t="s">
        <v>894</v>
      </c>
      <c r="BJ66" s="22">
        <f>IF(ISERROR(SEARCH("nega",Tabella1[[#This Row],[Reflusso gastroesofageo]],1)),1,0)</f>
        <v>1</v>
      </c>
      <c r="BK66" s="7" t="s">
        <v>5477</v>
      </c>
      <c r="BL66" s="17">
        <f>IF(ISERROR(SEARCH("NDD",Tabella1[[#This Row],[Patologia respiratoria]],1)),0,1)</f>
        <v>1</v>
      </c>
      <c r="BM66" s="17">
        <f>IF(ISERROR(SEARCH("asma",Tabella1[[#This Row],[Patologia respiratoria]],1)),0,1)</f>
        <v>0</v>
      </c>
      <c r="BN66" s="17">
        <f>IF(ISERROR(SEARCH("BPCO",Tabella1[[#This Row],[Patologia respiratoria]],1)),0,1)</f>
        <v>0</v>
      </c>
      <c r="BO66" s="17">
        <f>IF(ISERROR(SEARCH("BRONCOPOLMONITE",Tabella1[[#This Row],[Patologia respiratoria]],1)),0,1)</f>
        <v>0</v>
      </c>
      <c r="BP66" s="17">
        <f>IF(ISERROR(SEARCH("ASMA, OSAS",Tabella1[[#This Row],[Patologia respiratoria]],1)),0,1)</f>
        <v>0</v>
      </c>
      <c r="BQ66" s="17">
        <f>IF(ISERROR(SEARCH("OSAS e BPCO",Tabella1[[#This Row],[Patologia respiratoria]],1)),0,1)</f>
        <v>0</v>
      </c>
      <c r="BR66" s="17">
        <f>IF(ISERROR(SEARCH("OSAS",Tabella1[[#This Row],[Patologia respiratoria]],1)),0,1)</f>
        <v>0</v>
      </c>
      <c r="BS66" s="7" t="s">
        <v>918</v>
      </c>
      <c r="BT66" s="7" t="s">
        <v>919</v>
      </c>
      <c r="BU66" s="7" t="s">
        <v>8</v>
      </c>
      <c r="BV66" s="17">
        <f>IF(ISERROR(SEARCH("ndd",Tabella1[[#This Row],[O2 terapia]],1)),0,1)</f>
        <v>0</v>
      </c>
      <c r="BW66" s="17">
        <v>0</v>
      </c>
      <c r="BX66" s="7"/>
      <c r="BY66" s="7" t="s">
        <v>920</v>
      </c>
      <c r="BZ66" s="17">
        <v>1</v>
      </c>
      <c r="CA66" s="7" t="s">
        <v>8</v>
      </c>
      <c r="CB66" s="17">
        <v>0</v>
      </c>
      <c r="CC66" s="7" t="s">
        <v>921</v>
      </c>
      <c r="CD66" s="17">
        <v>1</v>
      </c>
      <c r="CE66" s="7" t="s">
        <v>47</v>
      </c>
      <c r="CF66" s="17">
        <v>1</v>
      </c>
      <c r="CG66" s="7" t="s">
        <v>8</v>
      </c>
      <c r="CH66" s="17">
        <v>0</v>
      </c>
      <c r="CI66" s="7" t="s">
        <v>7</v>
      </c>
      <c r="CJ66" s="17">
        <v>1</v>
      </c>
      <c r="CK66" s="7" t="s">
        <v>8</v>
      </c>
      <c r="CL66" s="17">
        <v>0</v>
      </c>
      <c r="CM66" s="7" t="s">
        <v>8</v>
      </c>
      <c r="CN66" s="17">
        <v>0</v>
      </c>
      <c r="CO66" s="7" t="s">
        <v>8</v>
      </c>
      <c r="CP66" s="18">
        <v>0</v>
      </c>
      <c r="CQ66" s="7" t="s">
        <v>85</v>
      </c>
      <c r="CR66" s="7" t="s">
        <v>922</v>
      </c>
      <c r="CS66" s="7"/>
      <c r="CT66" s="7"/>
      <c r="CU66" s="7" t="s">
        <v>923</v>
      </c>
      <c r="CV66" s="8" t="s">
        <v>924</v>
      </c>
    </row>
    <row r="67" spans="1:100" ht="285">
      <c r="A67" s="1">
        <f t="shared" ref="A67:A130" si="1">A66+1</f>
        <v>66</v>
      </c>
      <c r="B67" s="9">
        <v>477</v>
      </c>
      <c r="C67" s="10">
        <v>44727</v>
      </c>
      <c r="D67" s="11" t="s">
        <v>925</v>
      </c>
      <c r="E67" s="10">
        <v>25031</v>
      </c>
      <c r="F67" s="29">
        <f ca="1">_xlfn.DAYS(NOW(),Tabella1[[#This Row],[Data di Nascita]])/365.25</f>
        <v>57.062286105407253</v>
      </c>
      <c r="G67" s="11" t="s">
        <v>926</v>
      </c>
      <c r="H67" s="11" t="s">
        <v>927</v>
      </c>
      <c r="I67" s="11" t="s">
        <v>928</v>
      </c>
      <c r="J67" s="11" t="s">
        <v>618</v>
      </c>
      <c r="K67" s="11" t="s">
        <v>929</v>
      </c>
      <c r="L67" s="18">
        <f>IF(ISERROR(SEARCH("EX",Tabella1[[#This Row],[Attività lavorativa]],1)),0,1)</f>
        <v>0</v>
      </c>
      <c r="M67" s="18"/>
      <c r="N67" s="18"/>
      <c r="O67" s="18"/>
      <c r="P67" s="18"/>
      <c r="Q67" s="18"/>
      <c r="R67" s="18"/>
      <c r="S67" s="18"/>
      <c r="T67" s="17">
        <f>IF(ISERROR(SEARCH("NDD",Tabella1[[#This Row],[Attività lavorativa]],1)),0,1)</f>
        <v>0</v>
      </c>
      <c r="U67" s="11" t="s">
        <v>8</v>
      </c>
      <c r="V67" s="22"/>
      <c r="W67" s="22">
        <f>IF(ISERROR(SEARCH("ex",Tabella1[[#This Row],[Fumo]],1)),0,1)</f>
        <v>0</v>
      </c>
      <c r="X67" s="22">
        <f>IF(ISERROR(SEARCH("no",Tabella1[[#This Row],[Fumo]],1)),0,1)</f>
        <v>1</v>
      </c>
      <c r="Y67" s="11" t="s">
        <v>3705</v>
      </c>
      <c r="Z67" s="18">
        <f>IF(ISERROR(SEARCH("NDD",Tabella1[[#This Row],[Bevitore alcolici]],1)),0,1)</f>
        <v>0</v>
      </c>
      <c r="AA67" s="17">
        <f>IF(ISERROR(SEARCH("raro",Tabella1[[#This Row],[Bevitore alcolici]],1)),0,1)</f>
        <v>0</v>
      </c>
      <c r="AB67" s="17">
        <f>IF(ISERROR(SEARCH("saltuariamente",Tabella1[[#This Row],[Bevitore alcolici]],1)),0,1)</f>
        <v>1</v>
      </c>
      <c r="AC67" s="17">
        <f>IF(ISERROR(SEARCH("nega",Tabella1[[#This Row],[Bevitore alcolici]],1)),0,1)</f>
        <v>0</v>
      </c>
      <c r="AD67" s="17">
        <f>IF(ISERROR(SEARCH("potus",Tabella1[[#This Row],[Bevitore alcolici]],1)),0,1)</f>
        <v>0</v>
      </c>
      <c r="AE67" s="11" t="s">
        <v>657</v>
      </c>
      <c r="AF67" s="18"/>
      <c r="AG67" s="18"/>
      <c r="AH67" s="18"/>
      <c r="AI67" s="18"/>
      <c r="AJ67" s="18"/>
      <c r="AK67" s="11" t="s">
        <v>28</v>
      </c>
      <c r="AL67" s="18">
        <f>IF(ISERROR(SEARCH("si",Tabella1[[#This Row],[Patente di guida]],1)),0,1)</f>
        <v>1</v>
      </c>
      <c r="AM67" s="11" t="s">
        <v>8</v>
      </c>
      <c r="AN67" s="18">
        <f>IF(ISERROR(SEARCH("no",Tabella1[[#This Row],[Ipertensione]],1)),0,1)</f>
        <v>1</v>
      </c>
      <c r="AO67" s="11" t="s">
        <v>382</v>
      </c>
      <c r="AP67" s="18">
        <f>IF(ISERROR(SEARCH("NO",Tabella1[[#This Row],[Cardiopatia ischemica]],1)),1,0)</f>
        <v>0</v>
      </c>
      <c r="AQ67" s="17">
        <f>IF(ISERROR(SEARCH("sconosciuto",Tabella1[[#This Row],[Cardiopatia ischemica]],1)),0,1)</f>
        <v>0</v>
      </c>
      <c r="AR67" s="11" t="s">
        <v>25</v>
      </c>
      <c r="AS67" s="22">
        <f>IF(ISERROR(SEARCH("nega",Tabella1[[#This Row],[Artimie]],1)),0,1)</f>
        <v>1</v>
      </c>
      <c r="AT67" s="11" t="s">
        <v>25</v>
      </c>
      <c r="AU67" s="22">
        <f>IF(ISERROR(SEARCH("nega",Tabella1[[#This Row],[Ipercolesterolemia]],1)),0,1)</f>
        <v>1</v>
      </c>
      <c r="AV67" s="22">
        <f>IF(ISERROR(SEARCH("boh",Tabella1[[#This Row],[Ipercolesterolemia]],1)),0,1)</f>
        <v>0</v>
      </c>
      <c r="AW67" s="11" t="s">
        <v>8</v>
      </c>
      <c r="AX67" s="22">
        <f>IF(ISERROR(SEARCH("Intolleranza",Tabella1[[#This Row],[Diabete]],1)),0,1)</f>
        <v>0</v>
      </c>
      <c r="AY67" s="22">
        <f>IF(ISERROR(SEARCH("si",Tabella1[[#This Row],[Diabete]],1)),0,1)</f>
        <v>0</v>
      </c>
      <c r="AZ67" s="11" t="s">
        <v>3778</v>
      </c>
      <c r="BA67" s="18">
        <f>IF(ISERROR(SEARCH("NDD",Tabella1[[#This Row],[Patologia Tiroidea]],1)),0,1)</f>
        <v>0</v>
      </c>
      <c r="BB67" s="22">
        <f>IF(ISERROR(SEARCH("TIROIDITE",Tabella1[[#This Row],[Patologia Tiroidea]],1)),0,1)</f>
        <v>1</v>
      </c>
      <c r="BC67" s="22">
        <f>IF(ISERROR(SEARCH("HASHIMOTO",Tabella1[[#This Row],[Patologia Tiroidea]],1)),0,1)</f>
        <v>1</v>
      </c>
      <c r="BD67" s="22">
        <f>IF(ISERROR(SEARCH("BASEDOW",Tabella1[[#This Row],[Patologia Tiroidea]],1)),0,1)</f>
        <v>0</v>
      </c>
      <c r="BE67" s="22">
        <f>IF(ISERROR(SEARCH("NOD",Tabella1[[#This Row],[Patologia Tiroidea]],1)),0,1)</f>
        <v>0</v>
      </c>
      <c r="BF67" s="22">
        <f>IF(ISERROR(SEARCH("GOZ",Tabella1[[#This Row],[Patologia Tiroidea]],1)),0,1)</f>
        <v>0</v>
      </c>
      <c r="BG67" s="11" t="s">
        <v>930</v>
      </c>
      <c r="BH67" s="18">
        <f>IF(Tabella1[[#This Row],[Obesità]]="no",0,1)</f>
        <v>1</v>
      </c>
      <c r="BI67" s="11" t="s">
        <v>931</v>
      </c>
      <c r="BJ67" s="22">
        <f>IF(ISERROR(SEARCH("nega",Tabella1[[#This Row],[Reflusso gastroesofageo]],1)),1,0)</f>
        <v>1</v>
      </c>
      <c r="BK67" s="11" t="s">
        <v>5477</v>
      </c>
      <c r="BL67" s="18">
        <f>IF(ISERROR(SEARCH("NDD",Tabella1[[#This Row],[Patologia respiratoria]],1)),0,1)</f>
        <v>1</v>
      </c>
      <c r="BM67" s="18">
        <f>IF(ISERROR(SEARCH("asma",Tabella1[[#This Row],[Patologia respiratoria]],1)),0,1)</f>
        <v>0</v>
      </c>
      <c r="BN67" s="18">
        <f>IF(ISERROR(SEARCH("BPCO",Tabella1[[#This Row],[Patologia respiratoria]],1)),0,1)</f>
        <v>0</v>
      </c>
      <c r="BO67" s="18">
        <f>IF(ISERROR(SEARCH("BRONCOPOLMONITE",Tabella1[[#This Row],[Patologia respiratoria]],1)),0,1)</f>
        <v>0</v>
      </c>
      <c r="BP67" s="18">
        <f>IF(ISERROR(SEARCH("ASMA, OSAS",Tabella1[[#This Row],[Patologia respiratoria]],1)),0,1)</f>
        <v>0</v>
      </c>
      <c r="BQ67" s="18">
        <f>IF(ISERROR(SEARCH("OSAS e BPCO",Tabella1[[#This Row],[Patologia respiratoria]],1)),0,1)</f>
        <v>0</v>
      </c>
      <c r="BR67" s="18">
        <f>IF(ISERROR(SEARCH("OSAS",Tabella1[[#This Row],[Patologia respiratoria]],1)),0,1)</f>
        <v>0</v>
      </c>
      <c r="BS67" s="11"/>
      <c r="BT67" s="11" t="s">
        <v>932</v>
      </c>
      <c r="BU67" s="11" t="s">
        <v>8</v>
      </c>
      <c r="BV67" s="18">
        <f>IF(ISERROR(SEARCH("ndd",Tabella1[[#This Row],[O2 terapia]],1)),0,1)</f>
        <v>0</v>
      </c>
      <c r="BW67" s="17">
        <v>0</v>
      </c>
      <c r="BX67" s="11"/>
      <c r="BY67" s="11" t="s">
        <v>25</v>
      </c>
      <c r="BZ67" s="18">
        <v>0</v>
      </c>
      <c r="CA67" s="11" t="s">
        <v>28</v>
      </c>
      <c r="CB67" s="17">
        <v>1</v>
      </c>
      <c r="CC67" s="11" t="s">
        <v>31</v>
      </c>
      <c r="CD67" s="17">
        <v>1</v>
      </c>
      <c r="CE67" s="11" t="s">
        <v>933</v>
      </c>
      <c r="CF67" s="17">
        <v>1</v>
      </c>
      <c r="CG67" s="11" t="s">
        <v>934</v>
      </c>
      <c r="CH67" s="17">
        <v>1</v>
      </c>
      <c r="CI67" s="7" t="s">
        <v>5477</v>
      </c>
      <c r="CJ67" s="18"/>
      <c r="CK67" s="11" t="s">
        <v>935</v>
      </c>
      <c r="CL67" s="17">
        <v>1</v>
      </c>
      <c r="CM67" s="11" t="s">
        <v>936</v>
      </c>
      <c r="CN67" s="17">
        <v>1</v>
      </c>
      <c r="CO67" s="11" t="s">
        <v>8</v>
      </c>
      <c r="CP67" s="18">
        <v>0</v>
      </c>
      <c r="CQ67" s="11" t="s">
        <v>937</v>
      </c>
      <c r="CR67" s="11" t="s">
        <v>55</v>
      </c>
      <c r="CS67" s="11" t="s">
        <v>71</v>
      </c>
      <c r="CT67" s="11" t="s">
        <v>122</v>
      </c>
      <c r="CU67" s="11" t="s">
        <v>938</v>
      </c>
      <c r="CV67" s="12" t="s">
        <v>939</v>
      </c>
    </row>
    <row r="68" spans="1:100" ht="199.5">
      <c r="A68" s="1">
        <f t="shared" si="1"/>
        <v>67</v>
      </c>
      <c r="B68" s="5">
        <v>534</v>
      </c>
      <c r="C68" s="6">
        <v>44795</v>
      </c>
      <c r="D68" s="7" t="s">
        <v>940</v>
      </c>
      <c r="E68" s="6">
        <v>21709</v>
      </c>
      <c r="F68" s="29">
        <f ca="1">_xlfn.DAYS(NOW(),Tabella1[[#This Row],[Data di Nascita]])/365.25</f>
        <v>66.157426420260094</v>
      </c>
      <c r="G68" s="7" t="s">
        <v>941</v>
      </c>
      <c r="H68" s="7"/>
      <c r="I68" s="7" t="s">
        <v>942</v>
      </c>
      <c r="J68" s="7" t="s">
        <v>618</v>
      </c>
      <c r="K68" s="7" t="s">
        <v>943</v>
      </c>
      <c r="L68" s="17">
        <f>IF(ISERROR(SEARCH("EX",Tabella1[[#This Row],[Attività lavorativa]],1)),0,1)</f>
        <v>0</v>
      </c>
      <c r="M68" s="17"/>
      <c r="N68" s="17"/>
      <c r="O68" s="17"/>
      <c r="P68" s="17"/>
      <c r="Q68" s="17"/>
      <c r="R68" s="17"/>
      <c r="S68" s="17"/>
      <c r="T68" s="17">
        <f>IF(ISERROR(SEARCH("NDD",Tabella1[[#This Row],[Attività lavorativa]],1)),0,1)</f>
        <v>0</v>
      </c>
      <c r="U68" s="7" t="s">
        <v>944</v>
      </c>
      <c r="V68" s="22">
        <v>16</v>
      </c>
      <c r="W68" s="22">
        <f>IF(ISERROR(SEARCH("ex",Tabella1[[#This Row],[Fumo]],1)),0,1)</f>
        <v>1</v>
      </c>
      <c r="X68" s="22">
        <f>IF(ISERROR(SEARCH("no",Tabella1[[#This Row],[Fumo]],1)),0,1)</f>
        <v>0</v>
      </c>
      <c r="Y68" s="7" t="s">
        <v>26</v>
      </c>
      <c r="Z68" s="17">
        <f>IF(ISERROR(SEARCH("NDD",Tabella1[[#This Row],[Bevitore alcolici]],1)),0,1)</f>
        <v>0</v>
      </c>
      <c r="AA68" s="17">
        <f>IF(ISERROR(SEARCH("raro",Tabella1[[#This Row],[Bevitore alcolici]],1)),0,1)</f>
        <v>0</v>
      </c>
      <c r="AB68" s="17">
        <f>IF(ISERROR(SEARCH("saltuariamente",Tabella1[[#This Row],[Bevitore alcolici]],1)),0,1)</f>
        <v>1</v>
      </c>
      <c r="AC68" s="17">
        <f>IF(ISERROR(SEARCH("nega",Tabella1[[#This Row],[Bevitore alcolici]],1)),0,1)</f>
        <v>0</v>
      </c>
      <c r="AD68" s="17">
        <f>IF(ISERROR(SEARCH("potus",Tabella1[[#This Row],[Bevitore alcolici]],1)),0,1)</f>
        <v>0</v>
      </c>
      <c r="AE68" s="7" t="s">
        <v>945</v>
      </c>
      <c r="AF68" s="17"/>
      <c r="AG68" s="18">
        <v>1</v>
      </c>
      <c r="AH68" s="18"/>
      <c r="AI68" s="18"/>
      <c r="AJ68" s="18"/>
      <c r="AK68" s="7" t="s">
        <v>28</v>
      </c>
      <c r="AL68" s="17">
        <f>IF(ISERROR(SEARCH("si",Tabella1[[#This Row],[Patente di guida]],1)),0,1)</f>
        <v>1</v>
      </c>
      <c r="AM68" s="7" t="s">
        <v>8</v>
      </c>
      <c r="AN68" s="17">
        <f>IF(ISERROR(SEARCH("no",Tabella1[[#This Row],[Ipertensione]],1)),0,1)</f>
        <v>1</v>
      </c>
      <c r="AO68" s="7" t="s">
        <v>382</v>
      </c>
      <c r="AP68" s="18">
        <f>IF(ISERROR(SEARCH("NO",Tabella1[[#This Row],[Cardiopatia ischemica]],1)),1,0)</f>
        <v>0</v>
      </c>
      <c r="AQ68" s="17">
        <f>IF(ISERROR(SEARCH("sconosciuto",Tabella1[[#This Row],[Cardiopatia ischemica]],1)),0,1)</f>
        <v>0</v>
      </c>
      <c r="AR68" s="7" t="s">
        <v>25</v>
      </c>
      <c r="AS68" s="22">
        <f>IF(ISERROR(SEARCH("nega",Tabella1[[#This Row],[Artimie]],1)),0,1)</f>
        <v>1</v>
      </c>
      <c r="AT68" s="7" t="s">
        <v>461</v>
      </c>
      <c r="AU68" s="22">
        <f>IF(ISERROR(SEARCH("nega",Tabella1[[#This Row],[Ipercolesterolemia]],1)),0,1)</f>
        <v>0</v>
      </c>
      <c r="AV68" s="22">
        <f>IF(ISERROR(SEARCH("boh",Tabella1[[#This Row],[Ipercolesterolemia]],1)),0,1)</f>
        <v>0</v>
      </c>
      <c r="AW68" s="7" t="s">
        <v>25</v>
      </c>
      <c r="AX68" s="22">
        <f>IF(ISERROR(SEARCH("Intolleranza",Tabella1[[#This Row],[Diabete]],1)),0,1)</f>
        <v>0</v>
      </c>
      <c r="AY68" s="22">
        <f>IF(ISERROR(SEARCH("si",Tabella1[[#This Row],[Diabete]],1)),0,1)</f>
        <v>0</v>
      </c>
      <c r="AZ68" s="7" t="s">
        <v>5477</v>
      </c>
      <c r="BA68" s="17">
        <f>IF(ISERROR(SEARCH("NDD",Tabella1[[#This Row],[Patologia Tiroidea]],1)),0,1)</f>
        <v>1</v>
      </c>
      <c r="BB68" s="22">
        <f>IF(ISERROR(SEARCH("TIROIDITE",Tabella1[[#This Row],[Patologia Tiroidea]],1)),0,1)</f>
        <v>0</v>
      </c>
      <c r="BC68" s="22">
        <f>IF(ISERROR(SEARCH("HASHIMOTO",Tabella1[[#This Row],[Patologia Tiroidea]],1)),0,1)</f>
        <v>0</v>
      </c>
      <c r="BD68" s="22">
        <f>IF(ISERROR(SEARCH("BASEDOW",Tabella1[[#This Row],[Patologia Tiroidea]],1)),0,1)</f>
        <v>0</v>
      </c>
      <c r="BE68" s="22">
        <f>IF(ISERROR(SEARCH("NOD",Tabella1[[#This Row],[Patologia Tiroidea]],1)),0,1)</f>
        <v>0</v>
      </c>
      <c r="BF68" s="22">
        <f>IF(ISERROR(SEARCH("GOZ",Tabella1[[#This Row],[Patologia Tiroidea]],1)),0,1)</f>
        <v>0</v>
      </c>
      <c r="BG68" s="7" t="s">
        <v>946</v>
      </c>
      <c r="BH68" s="17">
        <f>IF(Tabella1[[#This Row],[Obesità]]="no",0,1)</f>
        <v>1</v>
      </c>
      <c r="BI68" s="7" t="s">
        <v>461</v>
      </c>
      <c r="BJ68" s="22">
        <f>IF(ISERROR(SEARCH("nega",Tabella1[[#This Row],[Reflusso gastroesofageo]],1)),1,0)</f>
        <v>1</v>
      </c>
      <c r="BK68" s="7" t="s">
        <v>5477</v>
      </c>
      <c r="BL68" s="17">
        <f>IF(ISERROR(SEARCH("NDD",Tabella1[[#This Row],[Patologia respiratoria]],1)),0,1)</f>
        <v>1</v>
      </c>
      <c r="BM68" s="17">
        <f>IF(ISERROR(SEARCH("asma",Tabella1[[#This Row],[Patologia respiratoria]],1)),0,1)</f>
        <v>0</v>
      </c>
      <c r="BN68" s="17">
        <f>IF(ISERROR(SEARCH("BPCO",Tabella1[[#This Row],[Patologia respiratoria]],1)),0,1)</f>
        <v>0</v>
      </c>
      <c r="BO68" s="17">
        <f>IF(ISERROR(SEARCH("BRONCOPOLMONITE",Tabella1[[#This Row],[Patologia respiratoria]],1)),0,1)</f>
        <v>0</v>
      </c>
      <c r="BP68" s="17">
        <f>IF(ISERROR(SEARCH("ASMA, OSAS",Tabella1[[#This Row],[Patologia respiratoria]],1)),0,1)</f>
        <v>0</v>
      </c>
      <c r="BQ68" s="17">
        <f>IF(ISERROR(SEARCH("OSAS e BPCO",Tabella1[[#This Row],[Patologia respiratoria]],1)),0,1)</f>
        <v>0</v>
      </c>
      <c r="BR68" s="17">
        <f>IF(ISERROR(SEARCH("OSAS",Tabella1[[#This Row],[Patologia respiratoria]],1)),0,1)</f>
        <v>0</v>
      </c>
      <c r="BS68" s="7"/>
      <c r="BT68" s="7" t="s">
        <v>947</v>
      </c>
      <c r="BU68" s="7" t="s">
        <v>8</v>
      </c>
      <c r="BV68" s="17">
        <f>IF(ISERROR(SEARCH("ndd",Tabella1[[#This Row],[O2 terapia]],1)),0,1)</f>
        <v>0</v>
      </c>
      <c r="BW68" s="17">
        <v>0</v>
      </c>
      <c r="BX68" s="7" t="s">
        <v>948</v>
      </c>
      <c r="BY68" s="7" t="s">
        <v>25</v>
      </c>
      <c r="BZ68" s="18">
        <v>0</v>
      </c>
      <c r="CA68" s="7" t="s">
        <v>25</v>
      </c>
      <c r="CB68" s="17">
        <v>0</v>
      </c>
      <c r="CC68" s="7" t="s">
        <v>25</v>
      </c>
      <c r="CD68" s="18">
        <v>0</v>
      </c>
      <c r="CE68" s="7" t="s">
        <v>25</v>
      </c>
      <c r="CF68" s="18">
        <v>0</v>
      </c>
      <c r="CG68" s="7" t="s">
        <v>949</v>
      </c>
      <c r="CH68" s="17">
        <v>1</v>
      </c>
      <c r="CI68" s="7" t="s">
        <v>5477</v>
      </c>
      <c r="CJ68" s="17"/>
      <c r="CK68" s="7" t="s">
        <v>25</v>
      </c>
      <c r="CL68" s="17">
        <v>0</v>
      </c>
      <c r="CM68" s="7" t="s">
        <v>950</v>
      </c>
      <c r="CN68" s="17">
        <v>1</v>
      </c>
      <c r="CO68" s="7" t="s">
        <v>25</v>
      </c>
      <c r="CP68" s="18">
        <v>0</v>
      </c>
      <c r="CQ68" s="7" t="s">
        <v>69</v>
      </c>
      <c r="CR68" s="7" t="s">
        <v>183</v>
      </c>
      <c r="CS68" s="7" t="s">
        <v>105</v>
      </c>
      <c r="CT68" s="7" t="s">
        <v>234</v>
      </c>
      <c r="CU68" s="7" t="s">
        <v>951</v>
      </c>
      <c r="CV68" s="8"/>
    </row>
    <row r="69" spans="1:100" ht="85.5">
      <c r="A69" s="1">
        <f t="shared" si="1"/>
        <v>68</v>
      </c>
      <c r="B69" s="9">
        <v>553</v>
      </c>
      <c r="C69" s="10">
        <v>44818</v>
      </c>
      <c r="D69" s="11" t="s">
        <v>952</v>
      </c>
      <c r="E69" s="10">
        <v>27934</v>
      </c>
      <c r="F69" s="29">
        <f ca="1">_xlfn.DAYS(NOW(),Tabella1[[#This Row],[Data di Nascita]])/365.25</f>
        <v>49.114305270362763</v>
      </c>
      <c r="G69" s="11" t="s">
        <v>953</v>
      </c>
      <c r="H69" s="11" t="s">
        <v>954</v>
      </c>
      <c r="I69" s="11" t="s">
        <v>955</v>
      </c>
      <c r="J69" s="11" t="s">
        <v>956</v>
      </c>
      <c r="K69" s="11" t="s">
        <v>297</v>
      </c>
      <c r="L69" s="18">
        <f>IF(ISERROR(SEARCH("EX",Tabella1[[#This Row],[Attività lavorativa]],1)),0,1)</f>
        <v>0</v>
      </c>
      <c r="M69" s="18"/>
      <c r="N69" s="18"/>
      <c r="O69" s="18"/>
      <c r="P69" s="18"/>
      <c r="Q69" s="18"/>
      <c r="R69" s="18"/>
      <c r="S69" s="18"/>
      <c r="T69" s="17">
        <f>IF(ISERROR(SEARCH("NDD",Tabella1[[#This Row],[Attività lavorativa]],1)),0,1)</f>
        <v>0</v>
      </c>
      <c r="U69" s="11" t="s">
        <v>957</v>
      </c>
      <c r="V69" s="22">
        <v>40</v>
      </c>
      <c r="W69" s="22">
        <f>IF(ISERROR(SEARCH("ex",Tabella1[[#This Row],[Fumo]],1)),0,1)</f>
        <v>0</v>
      </c>
      <c r="X69" s="22">
        <f>IF(ISERROR(SEARCH("no",Tabella1[[#This Row],[Fumo]],1)),0,1)</f>
        <v>0</v>
      </c>
      <c r="Y69" s="11" t="s">
        <v>26</v>
      </c>
      <c r="Z69" s="18">
        <f>IF(ISERROR(SEARCH("NDD",Tabella1[[#This Row],[Bevitore alcolici]],1)),0,1)</f>
        <v>0</v>
      </c>
      <c r="AA69" s="17">
        <f>IF(ISERROR(SEARCH("raro",Tabella1[[#This Row],[Bevitore alcolici]],1)),0,1)</f>
        <v>0</v>
      </c>
      <c r="AB69" s="17">
        <f>IF(ISERROR(SEARCH("saltuariamente",Tabella1[[#This Row],[Bevitore alcolici]],1)),0,1)</f>
        <v>1</v>
      </c>
      <c r="AC69" s="17">
        <f>IF(ISERROR(SEARCH("nega",Tabella1[[#This Row],[Bevitore alcolici]],1)),0,1)</f>
        <v>0</v>
      </c>
      <c r="AD69" s="17">
        <f>IF(ISERROR(SEARCH("potus",Tabella1[[#This Row],[Bevitore alcolici]],1)),0,1)</f>
        <v>0</v>
      </c>
      <c r="AE69" s="11" t="s">
        <v>657</v>
      </c>
      <c r="AF69" s="18"/>
      <c r="AG69" s="18"/>
      <c r="AH69" s="18"/>
      <c r="AI69" s="18"/>
      <c r="AJ69" s="18"/>
      <c r="AK69" s="11" t="s">
        <v>28</v>
      </c>
      <c r="AL69" s="18">
        <f>IF(ISERROR(SEARCH("si",Tabella1[[#This Row],[Patente di guida]],1)),0,1)</f>
        <v>1</v>
      </c>
      <c r="AM69" s="11" t="s">
        <v>28</v>
      </c>
      <c r="AN69" s="18">
        <f>IF(ISERROR(SEARCH("no",Tabella1[[#This Row],[Ipertensione]],1)),0,1)</f>
        <v>0</v>
      </c>
      <c r="AO69" s="11" t="s">
        <v>382</v>
      </c>
      <c r="AP69" s="18">
        <f>IF(ISERROR(SEARCH("NO",Tabella1[[#This Row],[Cardiopatia ischemica]],1)),1,0)</f>
        <v>0</v>
      </c>
      <c r="AQ69" s="17">
        <f>IF(ISERROR(SEARCH("sconosciuto",Tabella1[[#This Row],[Cardiopatia ischemica]],1)),0,1)</f>
        <v>0</v>
      </c>
      <c r="AR69" s="11" t="s">
        <v>25</v>
      </c>
      <c r="AS69" s="22">
        <f>IF(ISERROR(SEARCH("nega",Tabella1[[#This Row],[Artimie]],1)),0,1)</f>
        <v>1</v>
      </c>
      <c r="AT69" s="11" t="s">
        <v>958</v>
      </c>
      <c r="AU69" s="22">
        <f>IF(ISERROR(SEARCH("nega",Tabella1[[#This Row],[Ipercolesterolemia]],1)),0,1)</f>
        <v>0</v>
      </c>
      <c r="AV69" s="22">
        <f>IF(ISERROR(SEARCH("boh",Tabella1[[#This Row],[Ipercolesterolemia]],1)),0,1)</f>
        <v>0</v>
      </c>
      <c r="AW69" s="11" t="s">
        <v>8</v>
      </c>
      <c r="AX69" s="22">
        <f>IF(ISERROR(SEARCH("Intolleranza",Tabella1[[#This Row],[Diabete]],1)),0,1)</f>
        <v>0</v>
      </c>
      <c r="AY69" s="22">
        <f>IF(ISERROR(SEARCH("si",Tabella1[[#This Row],[Diabete]],1)),0,1)</f>
        <v>0</v>
      </c>
      <c r="AZ69" s="11" t="s">
        <v>8</v>
      </c>
      <c r="BA69" s="18">
        <f>IF(ISERROR(SEARCH("NDD",Tabella1[[#This Row],[Patologia Tiroidea]],1)),0,1)</f>
        <v>0</v>
      </c>
      <c r="BB69" s="22">
        <f>IF(ISERROR(SEARCH("TIROIDITE",Tabella1[[#This Row],[Patologia Tiroidea]],1)),0,1)</f>
        <v>0</v>
      </c>
      <c r="BC69" s="22">
        <f>IF(ISERROR(SEARCH("HASHIMOTO",Tabella1[[#This Row],[Patologia Tiroidea]],1)),0,1)</f>
        <v>0</v>
      </c>
      <c r="BD69" s="22">
        <f>IF(ISERROR(SEARCH("BASEDOW",Tabella1[[#This Row],[Patologia Tiroidea]],1)),0,1)</f>
        <v>0</v>
      </c>
      <c r="BE69" s="22">
        <f>IF(ISERROR(SEARCH("NOD",Tabella1[[#This Row],[Patologia Tiroidea]],1)),0,1)</f>
        <v>0</v>
      </c>
      <c r="BF69" s="22">
        <f>IF(ISERROR(SEARCH("GOZ",Tabella1[[#This Row],[Patologia Tiroidea]],1)),0,1)</f>
        <v>0</v>
      </c>
      <c r="BG69" s="11" t="s">
        <v>47</v>
      </c>
      <c r="BH69" s="18">
        <f>IF(Tabella1[[#This Row],[Obesità]]="no",0,1)</f>
        <v>1</v>
      </c>
      <c r="BI69" s="11" t="s">
        <v>28</v>
      </c>
      <c r="BJ69" s="22">
        <f>IF(ISERROR(SEARCH("nega",Tabella1[[#This Row],[Reflusso gastroesofageo]],1)),1,0)</f>
        <v>1</v>
      </c>
      <c r="BK69" s="11" t="s">
        <v>959</v>
      </c>
      <c r="BL69" s="18">
        <f>IF(ISERROR(SEARCH("NDD",Tabella1[[#This Row],[Patologia respiratoria]],1)),0,1)</f>
        <v>0</v>
      </c>
      <c r="BM69" s="18">
        <f>IF(ISERROR(SEARCH("asma",Tabella1[[#This Row],[Patologia respiratoria]],1)),0,1)</f>
        <v>0</v>
      </c>
      <c r="BN69" s="18">
        <f>IF(ISERROR(SEARCH("BPCO",Tabella1[[#This Row],[Patologia respiratoria]],1)),0,1)</f>
        <v>1</v>
      </c>
      <c r="BO69" s="18">
        <f>IF(ISERROR(SEARCH("BRONCOPOLMONITE",Tabella1[[#This Row],[Patologia respiratoria]],1)),0,1)</f>
        <v>0</v>
      </c>
      <c r="BP69" s="18">
        <f>IF(ISERROR(SEARCH("ASMA, OSAS",Tabella1[[#This Row],[Patologia respiratoria]],1)),0,1)</f>
        <v>0</v>
      </c>
      <c r="BQ69" s="18">
        <f>IF(ISERROR(SEARCH("OSAS e BPCO",Tabella1[[#This Row],[Patologia respiratoria]],1)),0,1)</f>
        <v>0</v>
      </c>
      <c r="BR69" s="18">
        <f>IF(ISERROR(SEARCH("OSAS",Tabella1[[#This Row],[Patologia respiratoria]],1)),0,1)</f>
        <v>0</v>
      </c>
      <c r="BS69" s="11" t="s">
        <v>960</v>
      </c>
      <c r="BT69" s="11" t="s">
        <v>961</v>
      </c>
      <c r="BU69" s="11" t="s">
        <v>8</v>
      </c>
      <c r="BV69" s="18">
        <f>IF(ISERROR(SEARCH("ndd",Tabella1[[#This Row],[O2 terapia]],1)),0,1)</f>
        <v>0</v>
      </c>
      <c r="BW69" s="17">
        <v>0</v>
      </c>
      <c r="BX69" s="11"/>
      <c r="BY69" s="11" t="s">
        <v>962</v>
      </c>
      <c r="BZ69" s="17">
        <v>1</v>
      </c>
      <c r="CA69" s="11" t="s">
        <v>8</v>
      </c>
      <c r="CB69" s="17">
        <v>0</v>
      </c>
      <c r="CC69" s="11" t="s">
        <v>908</v>
      </c>
      <c r="CD69" s="17">
        <v>1</v>
      </c>
      <c r="CE69" s="11" t="s">
        <v>8</v>
      </c>
      <c r="CF69" s="18">
        <v>0</v>
      </c>
      <c r="CG69" s="11" t="s">
        <v>8</v>
      </c>
      <c r="CH69" s="17">
        <v>0</v>
      </c>
      <c r="CI69" s="7" t="s">
        <v>5477</v>
      </c>
      <c r="CJ69" s="18"/>
      <c r="CK69" s="11" t="s">
        <v>28</v>
      </c>
      <c r="CL69" s="17">
        <v>1</v>
      </c>
      <c r="CM69" s="11" t="s">
        <v>8</v>
      </c>
      <c r="CN69" s="17">
        <v>0</v>
      </c>
      <c r="CO69" s="11" t="s">
        <v>28</v>
      </c>
      <c r="CP69" s="17">
        <v>1</v>
      </c>
      <c r="CQ69" s="11" t="s">
        <v>13</v>
      </c>
      <c r="CR69" s="11" t="s">
        <v>495</v>
      </c>
      <c r="CS69" s="11" t="s">
        <v>963</v>
      </c>
      <c r="CT69" s="11" t="s">
        <v>122</v>
      </c>
      <c r="CU69" s="11" t="s">
        <v>964</v>
      </c>
      <c r="CV69" s="12" t="s">
        <v>965</v>
      </c>
    </row>
    <row r="70" spans="1:100" ht="99.75">
      <c r="A70" s="1">
        <f t="shared" si="1"/>
        <v>69</v>
      </c>
      <c r="B70" s="5">
        <v>564</v>
      </c>
      <c r="C70" s="6">
        <v>44830</v>
      </c>
      <c r="D70" s="7" t="s">
        <v>966</v>
      </c>
      <c r="E70" s="6">
        <v>15516</v>
      </c>
      <c r="F70" s="29">
        <f ca="1">_xlfn.DAYS(NOW(),Tabella1[[#This Row],[Data di Nascita]])/365.25</f>
        <v>83.112936344969199</v>
      </c>
      <c r="G70" s="7" t="s">
        <v>967</v>
      </c>
      <c r="H70" s="7" t="s">
        <v>968</v>
      </c>
      <c r="I70" s="7" t="s">
        <v>969</v>
      </c>
      <c r="J70" s="7"/>
      <c r="K70" s="11" t="s">
        <v>5477</v>
      </c>
      <c r="L70" s="17">
        <f>IF(ISERROR(SEARCH("EX",Tabella1[[#This Row],[Attività lavorativa]],1)),0,1)</f>
        <v>0</v>
      </c>
      <c r="M70" s="17"/>
      <c r="N70" s="17"/>
      <c r="O70" s="17"/>
      <c r="P70" s="17"/>
      <c r="Q70" s="17"/>
      <c r="R70" s="17"/>
      <c r="S70" s="17"/>
      <c r="T70" s="17">
        <f>IF(ISERROR(SEARCH("NDD",Tabella1[[#This Row],[Attività lavorativa]],1)),0,1)</f>
        <v>1</v>
      </c>
      <c r="U70" s="7" t="s">
        <v>970</v>
      </c>
      <c r="V70" s="22">
        <v>50</v>
      </c>
      <c r="W70" s="22">
        <f>IF(ISERROR(SEARCH("ex",Tabella1[[#This Row],[Fumo]],1)),0,1)</f>
        <v>0</v>
      </c>
      <c r="X70" s="22">
        <f>IF(ISERROR(SEARCH("no",Tabella1[[#This Row],[Fumo]],1)),0,1)</f>
        <v>0</v>
      </c>
      <c r="Y70" s="11" t="s">
        <v>5477</v>
      </c>
      <c r="Z70" s="18">
        <f>IF(ISERROR(SEARCH("NDD",Tabella1[[#This Row],[Bevitore alcolici]],1)),0,1)</f>
        <v>1</v>
      </c>
      <c r="AA70" s="17">
        <f>IF(ISERROR(SEARCH("raro",Tabella1[[#This Row],[Bevitore alcolici]],1)),0,1)</f>
        <v>0</v>
      </c>
      <c r="AB70" s="17">
        <f>IF(ISERROR(SEARCH("saltuariamente",Tabella1[[#This Row],[Bevitore alcolici]],1)),0,1)</f>
        <v>0</v>
      </c>
      <c r="AC70" s="17">
        <f>IF(ISERROR(SEARCH("nega",Tabella1[[#This Row],[Bevitore alcolici]],1)),0,1)</f>
        <v>0</v>
      </c>
      <c r="AD70" s="17">
        <f>IF(ISERROR(SEARCH("potus",Tabella1[[#This Row],[Bevitore alcolici]],1)),0,1)</f>
        <v>0</v>
      </c>
      <c r="AE70" s="7" t="s">
        <v>657</v>
      </c>
      <c r="AF70" s="17"/>
      <c r="AG70" s="17"/>
      <c r="AH70" s="17"/>
      <c r="AI70" s="17"/>
      <c r="AJ70" s="17"/>
      <c r="AK70" s="7" t="s">
        <v>8</v>
      </c>
      <c r="AL70" s="17">
        <f>IF(ISERROR(SEARCH("si",Tabella1[[#This Row],[Patente di guida]],1)),0,1)</f>
        <v>0</v>
      </c>
      <c r="AM70" s="7" t="s">
        <v>28</v>
      </c>
      <c r="AN70" s="17">
        <f>IF(ISERROR(SEARCH("no",Tabella1[[#This Row],[Ipertensione]],1)),0,1)</f>
        <v>0</v>
      </c>
      <c r="AO70" s="7" t="s">
        <v>382</v>
      </c>
      <c r="AP70" s="18">
        <f>IF(ISERROR(SEARCH("NO",Tabella1[[#This Row],[Cardiopatia ischemica]],1)),1,0)</f>
        <v>0</v>
      </c>
      <c r="AQ70" s="17">
        <f>IF(ISERROR(SEARCH("sconosciuto",Tabella1[[#This Row],[Cardiopatia ischemica]],1)),0,1)</f>
        <v>0</v>
      </c>
      <c r="AR70" s="7" t="s">
        <v>25</v>
      </c>
      <c r="AS70" s="17">
        <f>IF(ISERROR(SEARCH("nega",Tabella1[[#This Row],[Artimie]],1)),0,1)</f>
        <v>1</v>
      </c>
      <c r="AT70" s="7" t="s">
        <v>25</v>
      </c>
      <c r="AU70" s="17">
        <f>IF(ISERROR(SEARCH("nega",Tabella1[[#This Row],[Ipercolesterolemia]],1)),0,1)</f>
        <v>1</v>
      </c>
      <c r="AV70" s="17">
        <f>IF(ISERROR(SEARCH("boh",Tabella1[[#This Row],[Ipercolesterolemia]],1)),0,1)</f>
        <v>0</v>
      </c>
      <c r="AW70" s="7" t="s">
        <v>8</v>
      </c>
      <c r="AX70" s="17">
        <f>IF(ISERROR(SEARCH("Intolleranza",Tabella1[[#This Row],[Diabete]],1)),0,1)</f>
        <v>0</v>
      </c>
      <c r="AY70" s="17">
        <f>IF(ISERROR(SEARCH("si",Tabella1[[#This Row],[Diabete]],1)),0,1)</f>
        <v>0</v>
      </c>
      <c r="AZ70" s="7" t="s">
        <v>8</v>
      </c>
      <c r="BA70" s="17">
        <f>IF(ISERROR(SEARCH("NDD",Tabella1[[#This Row],[Patologia Tiroidea]],1)),0,1)</f>
        <v>0</v>
      </c>
      <c r="BB70" s="17">
        <f>IF(ISERROR(SEARCH("TIROIDITE",Tabella1[[#This Row],[Patologia Tiroidea]],1)),0,1)</f>
        <v>0</v>
      </c>
      <c r="BC70" s="17">
        <f>IF(ISERROR(SEARCH("HASHIMOTO",Tabella1[[#This Row],[Patologia Tiroidea]],1)),0,1)</f>
        <v>0</v>
      </c>
      <c r="BD70" s="17">
        <f>IF(ISERROR(SEARCH("BASEDOW",Tabella1[[#This Row],[Patologia Tiroidea]],1)),0,1)</f>
        <v>0</v>
      </c>
      <c r="BE70" s="17">
        <f>IF(ISERROR(SEARCH("NOD",Tabella1[[#This Row],[Patologia Tiroidea]],1)),0,1)</f>
        <v>0</v>
      </c>
      <c r="BF70" s="17">
        <f>IF(ISERROR(SEARCH("GOZ",Tabella1[[#This Row],[Patologia Tiroidea]],1)),0,1)</f>
        <v>0</v>
      </c>
      <c r="BG70" s="7" t="s">
        <v>47</v>
      </c>
      <c r="BH70" s="17">
        <f>IF(Tabella1[[#This Row],[Obesità]]="no",0,1)</f>
        <v>1</v>
      </c>
      <c r="BI70" s="7" t="s">
        <v>25</v>
      </c>
      <c r="BJ70" s="22">
        <f>IF(ISERROR(SEARCH("nega",Tabella1[[#This Row],[Reflusso gastroesofageo]],1)),1,0)</f>
        <v>0</v>
      </c>
      <c r="BK70" s="7" t="s">
        <v>8</v>
      </c>
      <c r="BL70" s="17">
        <f>IF(ISERROR(SEARCH("NDD",Tabella1[[#This Row],[Patologia respiratoria]],1)),0,1)</f>
        <v>0</v>
      </c>
      <c r="BM70" s="17">
        <f>IF(ISERROR(SEARCH("asma",Tabella1[[#This Row],[Patologia respiratoria]],1)),0,1)</f>
        <v>0</v>
      </c>
      <c r="BN70" s="17">
        <f>IF(ISERROR(SEARCH("BPCO",Tabella1[[#This Row],[Patologia respiratoria]],1)),0,1)</f>
        <v>0</v>
      </c>
      <c r="BO70" s="17">
        <f>IF(ISERROR(SEARCH("BRONCOPOLMONITE",Tabella1[[#This Row],[Patologia respiratoria]],1)),0,1)</f>
        <v>0</v>
      </c>
      <c r="BP70" s="17">
        <f>IF(ISERROR(SEARCH("ASMA, OSAS",Tabella1[[#This Row],[Patologia respiratoria]],1)),0,1)</f>
        <v>0</v>
      </c>
      <c r="BQ70" s="17">
        <f>IF(ISERROR(SEARCH("OSAS e BPCO",Tabella1[[#This Row],[Patologia respiratoria]],1)),0,1)</f>
        <v>0</v>
      </c>
      <c r="BR70" s="17">
        <f>IF(ISERROR(SEARCH("OSAS",Tabella1[[#This Row],[Patologia respiratoria]],1)),0,1)</f>
        <v>0</v>
      </c>
      <c r="BS70" s="7" t="s">
        <v>8</v>
      </c>
      <c r="BT70" s="7"/>
      <c r="BU70" s="7" t="s">
        <v>971</v>
      </c>
      <c r="BV70" s="17">
        <f>IF(ISERROR(SEARCH("ndd",Tabella1[[#This Row],[O2 terapia]],1)),0,1)</f>
        <v>0</v>
      </c>
      <c r="BW70" s="22">
        <v>1</v>
      </c>
      <c r="BX70" s="7"/>
      <c r="BY70" s="7" t="s">
        <v>972</v>
      </c>
      <c r="BZ70" s="17">
        <v>1</v>
      </c>
      <c r="CA70" s="7" t="s">
        <v>973</v>
      </c>
      <c r="CB70" s="17">
        <v>1</v>
      </c>
      <c r="CC70" s="7" t="s">
        <v>974</v>
      </c>
      <c r="CD70" s="17">
        <v>1</v>
      </c>
      <c r="CE70" s="7" t="s">
        <v>28</v>
      </c>
      <c r="CF70" s="17">
        <v>1</v>
      </c>
      <c r="CG70" s="7" t="s">
        <v>8</v>
      </c>
      <c r="CH70" s="17">
        <v>0</v>
      </c>
      <c r="CI70" s="7" t="s">
        <v>8</v>
      </c>
      <c r="CJ70" s="18">
        <v>0</v>
      </c>
      <c r="CK70" s="7" t="s">
        <v>28</v>
      </c>
      <c r="CL70" s="17">
        <v>1</v>
      </c>
      <c r="CM70" s="7" t="s">
        <v>28</v>
      </c>
      <c r="CN70" s="17">
        <v>1</v>
      </c>
      <c r="CO70" s="7" t="s">
        <v>975</v>
      </c>
      <c r="CP70" s="17">
        <v>1</v>
      </c>
      <c r="CQ70" s="7" t="s">
        <v>54</v>
      </c>
      <c r="CR70" s="7" t="s">
        <v>495</v>
      </c>
      <c r="CS70" s="7" t="s">
        <v>71</v>
      </c>
      <c r="CT70" s="7" t="s">
        <v>976</v>
      </c>
      <c r="CU70" s="7" t="s">
        <v>977</v>
      </c>
      <c r="CV70" s="8" t="s">
        <v>978</v>
      </c>
    </row>
    <row r="71" spans="1:100" ht="285">
      <c r="A71" s="1">
        <f t="shared" si="1"/>
        <v>70</v>
      </c>
      <c r="B71" s="9">
        <v>576</v>
      </c>
      <c r="C71" s="10">
        <v>44844</v>
      </c>
      <c r="D71" s="11" t="s">
        <v>979</v>
      </c>
      <c r="E71" s="10">
        <v>22299</v>
      </c>
      <c r="F71" s="29">
        <f ca="1">_xlfn.DAYS(NOW(),Tabella1[[#This Row],[Data di Nascita]])/365.25</f>
        <v>64.542094455852151</v>
      </c>
      <c r="G71" s="11" t="s">
        <v>980</v>
      </c>
      <c r="H71" s="11" t="s">
        <v>981</v>
      </c>
      <c r="I71" s="11" t="s">
        <v>210</v>
      </c>
      <c r="J71" s="11" t="s">
        <v>618</v>
      </c>
      <c r="K71" s="11" t="s">
        <v>982</v>
      </c>
      <c r="L71" s="18">
        <f>IF(ISERROR(SEARCH("EX",Tabella1[[#This Row],[Attività lavorativa]],1)),0,1)</f>
        <v>1</v>
      </c>
      <c r="M71" s="18"/>
      <c r="N71" s="18"/>
      <c r="O71" s="18"/>
      <c r="P71" s="18"/>
      <c r="Q71" s="18"/>
      <c r="R71" s="18"/>
      <c r="S71" s="18"/>
      <c r="T71" s="17">
        <f>IF(ISERROR(SEARCH("NDD",Tabella1[[#This Row],[Attività lavorativa]],1)),0,1)</f>
        <v>0</v>
      </c>
      <c r="U71" s="11" t="s">
        <v>8</v>
      </c>
      <c r="V71" s="22"/>
      <c r="W71" s="22">
        <f>IF(ISERROR(SEARCH("ex",Tabella1[[#This Row],[Fumo]],1)),0,1)</f>
        <v>0</v>
      </c>
      <c r="X71" s="22">
        <f>IF(ISERROR(SEARCH("no",Tabella1[[#This Row],[Fumo]],1)),0,1)</f>
        <v>1</v>
      </c>
      <c r="Y71" s="11" t="s">
        <v>25</v>
      </c>
      <c r="Z71" s="18">
        <f>IF(ISERROR(SEARCH("NDD",Tabella1[[#This Row],[Bevitore alcolici]],1)),0,1)</f>
        <v>0</v>
      </c>
      <c r="AA71" s="17">
        <f>IF(ISERROR(SEARCH("raro",Tabella1[[#This Row],[Bevitore alcolici]],1)),0,1)</f>
        <v>0</v>
      </c>
      <c r="AB71" s="17">
        <f>IF(ISERROR(SEARCH("saltuariamente",Tabella1[[#This Row],[Bevitore alcolici]],1)),0,1)</f>
        <v>0</v>
      </c>
      <c r="AC71" s="17">
        <f>IF(ISERROR(SEARCH("nega",Tabella1[[#This Row],[Bevitore alcolici]],1)),0,1)</f>
        <v>1</v>
      </c>
      <c r="AD71" s="17">
        <f>IF(ISERROR(SEARCH("potus",Tabella1[[#This Row],[Bevitore alcolici]],1)),0,1)</f>
        <v>0</v>
      </c>
      <c r="AE71" s="11" t="s">
        <v>983</v>
      </c>
      <c r="AF71" s="18"/>
      <c r="AG71" s="18">
        <v>1</v>
      </c>
      <c r="AH71" s="18">
        <v>1</v>
      </c>
      <c r="AI71" s="18"/>
      <c r="AJ71" s="18"/>
      <c r="AK71" s="11" t="s">
        <v>8</v>
      </c>
      <c r="AL71" s="18">
        <f>IF(ISERROR(SEARCH("si",Tabella1[[#This Row],[Patente di guida]],1)),0,1)</f>
        <v>0</v>
      </c>
      <c r="AM71" s="11" t="s">
        <v>28</v>
      </c>
      <c r="AN71" s="18">
        <f>IF(ISERROR(SEARCH("no",Tabella1[[#This Row],[Ipertensione]],1)),0,1)</f>
        <v>0</v>
      </c>
      <c r="AO71" s="11" t="s">
        <v>382</v>
      </c>
      <c r="AP71" s="18">
        <f>IF(ISERROR(SEARCH("NO",Tabella1[[#This Row],[Cardiopatia ischemica]],1)),1,0)</f>
        <v>0</v>
      </c>
      <c r="AQ71" s="17">
        <f>IF(ISERROR(SEARCH("sconosciuto",Tabella1[[#This Row],[Cardiopatia ischemica]],1)),0,1)</f>
        <v>0</v>
      </c>
      <c r="AR71" s="11" t="s">
        <v>25</v>
      </c>
      <c r="AS71" s="22">
        <f>IF(ISERROR(SEARCH("nega",Tabella1[[#This Row],[Artimie]],1)),0,1)</f>
        <v>1</v>
      </c>
      <c r="AT71" s="11" t="s">
        <v>25</v>
      </c>
      <c r="AU71" s="22">
        <f>IF(ISERROR(SEARCH("nega",Tabella1[[#This Row],[Ipercolesterolemia]],1)),0,1)</f>
        <v>1</v>
      </c>
      <c r="AV71" s="22">
        <f>IF(ISERROR(SEARCH("boh",Tabella1[[#This Row],[Ipercolesterolemia]],1)),0,1)</f>
        <v>0</v>
      </c>
      <c r="AW71" s="11" t="s">
        <v>8</v>
      </c>
      <c r="AX71" s="22">
        <f>IF(ISERROR(SEARCH("Intolleranza",Tabella1[[#This Row],[Diabete]],1)),0,1)</f>
        <v>0</v>
      </c>
      <c r="AY71" s="22">
        <f>IF(ISERROR(SEARCH("si",Tabella1[[#This Row],[Diabete]],1)),0,1)</f>
        <v>0</v>
      </c>
      <c r="AZ71" s="11" t="s">
        <v>25</v>
      </c>
      <c r="BA71" s="18">
        <f>IF(ISERROR(SEARCH("NDD",Tabella1[[#This Row],[Patologia Tiroidea]],1)),0,1)</f>
        <v>0</v>
      </c>
      <c r="BB71" s="22">
        <f>IF(ISERROR(SEARCH("TIROIDITE",Tabella1[[#This Row],[Patologia Tiroidea]],1)),0,1)</f>
        <v>0</v>
      </c>
      <c r="BC71" s="22">
        <f>IF(ISERROR(SEARCH("HASHIMOTO",Tabella1[[#This Row],[Patologia Tiroidea]],1)),0,1)</f>
        <v>0</v>
      </c>
      <c r="BD71" s="22">
        <f>IF(ISERROR(SEARCH("BASEDOW",Tabella1[[#This Row],[Patologia Tiroidea]],1)),0,1)</f>
        <v>0</v>
      </c>
      <c r="BE71" s="22">
        <f>IF(ISERROR(SEARCH("NOD",Tabella1[[#This Row],[Patologia Tiroidea]],1)),0,1)</f>
        <v>0</v>
      </c>
      <c r="BF71" s="22">
        <f>IF(ISERROR(SEARCH("GOZ",Tabella1[[#This Row],[Patologia Tiroidea]],1)),0,1)</f>
        <v>0</v>
      </c>
      <c r="BG71" s="11" t="s">
        <v>517</v>
      </c>
      <c r="BH71" s="18">
        <f>IF(Tabella1[[#This Row],[Obesità]]="no",0,1)</f>
        <v>1</v>
      </c>
      <c r="BI71" s="11" t="s">
        <v>25</v>
      </c>
      <c r="BJ71" s="22">
        <f>IF(ISERROR(SEARCH("nega",Tabella1[[#This Row],[Reflusso gastroesofageo]],1)),1,0)</f>
        <v>0</v>
      </c>
      <c r="BK71" s="11" t="s">
        <v>25</v>
      </c>
      <c r="BL71" s="18">
        <f>IF(ISERROR(SEARCH("NDD",Tabella1[[#This Row],[Patologia respiratoria]],1)),0,1)</f>
        <v>0</v>
      </c>
      <c r="BM71" s="18">
        <f>IF(ISERROR(SEARCH("asma",Tabella1[[#This Row],[Patologia respiratoria]],1)),0,1)</f>
        <v>0</v>
      </c>
      <c r="BN71" s="18">
        <f>IF(ISERROR(SEARCH("BPCO",Tabella1[[#This Row],[Patologia respiratoria]],1)),0,1)</f>
        <v>0</v>
      </c>
      <c r="BO71" s="18">
        <f>IF(ISERROR(SEARCH("BRONCOPOLMONITE",Tabella1[[#This Row],[Patologia respiratoria]],1)),0,1)</f>
        <v>0</v>
      </c>
      <c r="BP71" s="18">
        <f>IF(ISERROR(SEARCH("ASMA, OSAS",Tabella1[[#This Row],[Patologia respiratoria]],1)),0,1)</f>
        <v>0</v>
      </c>
      <c r="BQ71" s="18">
        <f>IF(ISERROR(SEARCH("OSAS e BPCO",Tabella1[[#This Row],[Patologia respiratoria]],1)),0,1)</f>
        <v>0</v>
      </c>
      <c r="BR71" s="18">
        <f>IF(ISERROR(SEARCH("OSAS",Tabella1[[#This Row],[Patologia respiratoria]],1)),0,1)</f>
        <v>0</v>
      </c>
      <c r="BS71" s="11"/>
      <c r="BT71" s="11" t="s">
        <v>984</v>
      </c>
      <c r="BU71" s="11" t="s">
        <v>8</v>
      </c>
      <c r="BV71" s="18">
        <f>IF(ISERROR(SEARCH("ndd",Tabella1[[#This Row],[O2 terapia]],1)),0,1)</f>
        <v>0</v>
      </c>
      <c r="BW71" s="17">
        <v>0</v>
      </c>
      <c r="BX71" s="11"/>
      <c r="BY71" s="11" t="s">
        <v>566</v>
      </c>
      <c r="BZ71" s="17">
        <v>1</v>
      </c>
      <c r="CA71" s="11" t="s">
        <v>351</v>
      </c>
      <c r="CB71" s="17">
        <v>1</v>
      </c>
      <c r="CC71" s="11" t="s">
        <v>985</v>
      </c>
      <c r="CD71" s="17">
        <v>1</v>
      </c>
      <c r="CE71" s="11" t="s">
        <v>25</v>
      </c>
      <c r="CF71" s="18">
        <v>0</v>
      </c>
      <c r="CG71" s="11" t="s">
        <v>986</v>
      </c>
      <c r="CH71" s="17">
        <v>1</v>
      </c>
      <c r="CI71" s="11" t="s">
        <v>25</v>
      </c>
      <c r="CJ71" s="18">
        <v>0</v>
      </c>
      <c r="CK71" s="11" t="s">
        <v>987</v>
      </c>
      <c r="CL71" s="17">
        <v>1</v>
      </c>
      <c r="CM71" s="11" t="s">
        <v>25</v>
      </c>
      <c r="CN71" s="17">
        <v>0</v>
      </c>
      <c r="CO71" s="11" t="s">
        <v>988</v>
      </c>
      <c r="CP71" s="18">
        <v>0</v>
      </c>
      <c r="CQ71" s="11" t="s">
        <v>85</v>
      </c>
      <c r="CR71" s="11" t="s">
        <v>55</v>
      </c>
      <c r="CS71" s="11" t="s">
        <v>37</v>
      </c>
      <c r="CT71" s="11" t="s">
        <v>248</v>
      </c>
      <c r="CU71" s="11" t="s">
        <v>989</v>
      </c>
      <c r="CV71" s="12" t="s">
        <v>990</v>
      </c>
    </row>
    <row r="72" spans="1:100" ht="99.75">
      <c r="A72" s="1">
        <f t="shared" si="1"/>
        <v>71</v>
      </c>
      <c r="B72" s="5">
        <v>588</v>
      </c>
      <c r="C72" s="6">
        <v>44851</v>
      </c>
      <c r="D72" s="7" t="s">
        <v>991</v>
      </c>
      <c r="E72" s="6">
        <v>20868</v>
      </c>
      <c r="F72" s="29">
        <f ca="1">_xlfn.DAYS(NOW(),Tabella1[[#This Row],[Data di Nascita]])/365.25</f>
        <v>68.459958932238195</v>
      </c>
      <c r="G72" s="7" t="s">
        <v>992</v>
      </c>
      <c r="H72" s="7" t="s">
        <v>993</v>
      </c>
      <c r="I72" s="7" t="s">
        <v>994</v>
      </c>
      <c r="J72" s="7"/>
      <c r="K72" s="7" t="s">
        <v>241</v>
      </c>
      <c r="L72" s="17">
        <f>IF(ISERROR(SEARCH("EX",Tabella1[[#This Row],[Attività lavorativa]],1)),0,1)</f>
        <v>0</v>
      </c>
      <c r="M72" s="17"/>
      <c r="N72" s="17"/>
      <c r="O72" s="17"/>
      <c r="P72" s="18">
        <v>1</v>
      </c>
      <c r="Q72" s="17"/>
      <c r="R72" s="17"/>
      <c r="S72" s="17"/>
      <c r="T72" s="17">
        <f>IF(ISERROR(SEARCH("NDD",Tabella1[[#This Row],[Attività lavorativa]],1)),0,1)</f>
        <v>0</v>
      </c>
      <c r="U72" s="7" t="s">
        <v>995</v>
      </c>
      <c r="V72" s="22"/>
      <c r="W72" s="22">
        <f>IF(ISERROR(SEARCH("ex",Tabella1[[#This Row],[Fumo]],1)),0,1)</f>
        <v>1</v>
      </c>
      <c r="X72" s="22">
        <f>IF(ISERROR(SEARCH("no",Tabella1[[#This Row],[Fumo]],1)),0,1)</f>
        <v>0</v>
      </c>
      <c r="Y72" s="7" t="s">
        <v>25</v>
      </c>
      <c r="Z72" s="17">
        <f>IF(ISERROR(SEARCH("NDD",Tabella1[[#This Row],[Bevitore alcolici]],1)),0,1)</f>
        <v>0</v>
      </c>
      <c r="AA72" s="17">
        <f>IF(ISERROR(SEARCH("raro",Tabella1[[#This Row],[Bevitore alcolici]],1)),0,1)</f>
        <v>0</v>
      </c>
      <c r="AB72" s="17">
        <f>IF(ISERROR(SEARCH("saltuariamente",Tabella1[[#This Row],[Bevitore alcolici]],1)),0,1)</f>
        <v>0</v>
      </c>
      <c r="AC72" s="17">
        <f>IF(ISERROR(SEARCH("nega",Tabella1[[#This Row],[Bevitore alcolici]],1)),0,1)</f>
        <v>1</v>
      </c>
      <c r="AD72" s="17">
        <f>IF(ISERROR(SEARCH("potus",Tabella1[[#This Row],[Bevitore alcolici]],1)),0,1)</f>
        <v>0</v>
      </c>
      <c r="AE72" s="7" t="s">
        <v>657</v>
      </c>
      <c r="AF72" s="17"/>
      <c r="AG72" s="17"/>
      <c r="AH72" s="17"/>
      <c r="AI72" s="17"/>
      <c r="AJ72" s="17"/>
      <c r="AK72" s="7" t="s">
        <v>8</v>
      </c>
      <c r="AL72" s="17">
        <f>IF(ISERROR(SEARCH("si",Tabella1[[#This Row],[Patente di guida]],1)),0,1)</f>
        <v>0</v>
      </c>
      <c r="AM72" s="7" t="s">
        <v>28</v>
      </c>
      <c r="AN72" s="17">
        <f>IF(ISERROR(SEARCH("no",Tabella1[[#This Row],[Ipertensione]],1)),0,1)</f>
        <v>0</v>
      </c>
      <c r="AO72" s="7" t="s">
        <v>382</v>
      </c>
      <c r="AP72" s="18">
        <f>IF(ISERROR(SEARCH("NO",Tabella1[[#This Row],[Cardiopatia ischemica]],1)),1,0)</f>
        <v>0</v>
      </c>
      <c r="AQ72" s="17">
        <f>IF(ISERROR(SEARCH("sconosciuto",Tabella1[[#This Row],[Cardiopatia ischemica]],1)),0,1)</f>
        <v>0</v>
      </c>
      <c r="AR72" s="7" t="s">
        <v>25</v>
      </c>
      <c r="AS72" s="22">
        <f>IF(ISERROR(SEARCH("nega",Tabella1[[#This Row],[Artimie]],1)),0,1)</f>
        <v>1</v>
      </c>
      <c r="AT72" s="7" t="s">
        <v>25</v>
      </c>
      <c r="AU72" s="22">
        <f>IF(ISERROR(SEARCH("nega",Tabella1[[#This Row],[Ipercolesterolemia]],1)),0,1)</f>
        <v>1</v>
      </c>
      <c r="AV72" s="22">
        <f>IF(ISERROR(SEARCH("boh",Tabella1[[#This Row],[Ipercolesterolemia]],1)),0,1)</f>
        <v>0</v>
      </c>
      <c r="AW72" s="7" t="s">
        <v>28</v>
      </c>
      <c r="AX72" s="22">
        <f>IF(ISERROR(SEARCH("Intolleranza",Tabella1[[#This Row],[Diabete]],1)),0,1)</f>
        <v>0</v>
      </c>
      <c r="AY72" s="22">
        <f>IF(ISERROR(SEARCH("si",Tabella1[[#This Row],[Diabete]],1)),0,1)</f>
        <v>1</v>
      </c>
      <c r="AZ72" s="7" t="s">
        <v>3770</v>
      </c>
      <c r="BA72" s="17">
        <f>IF(ISERROR(SEARCH("NDD",Tabella1[[#This Row],[Patologia Tiroidea]],1)),0,1)</f>
        <v>0</v>
      </c>
      <c r="BB72" s="22">
        <f>IF(ISERROR(SEARCH("TIROIDITE",Tabella1[[#This Row],[Patologia Tiroidea]],1)),0,1)</f>
        <v>0</v>
      </c>
      <c r="BC72" s="22">
        <f>IF(ISERROR(SEARCH("HASHIMOTO",Tabella1[[#This Row],[Patologia Tiroidea]],1)),0,1)</f>
        <v>0</v>
      </c>
      <c r="BD72" s="22">
        <f>IF(ISERROR(SEARCH("BASEDOW",Tabella1[[#This Row],[Patologia Tiroidea]],1)),0,1)</f>
        <v>0</v>
      </c>
      <c r="BE72" s="22">
        <f>IF(ISERROR(SEARCH("NOD",Tabella1[[#This Row],[Patologia Tiroidea]],1)),0,1)</f>
        <v>0</v>
      </c>
      <c r="BF72" s="22">
        <f>IF(ISERROR(SEARCH("GOZ",Tabella1[[#This Row],[Patologia Tiroidea]],1)),0,1)</f>
        <v>0</v>
      </c>
      <c r="BG72" s="7" t="s">
        <v>745</v>
      </c>
      <c r="BH72" s="17">
        <f>IF(Tabella1[[#This Row],[Obesità]]="no",0,1)</f>
        <v>1</v>
      </c>
      <c r="BI72" s="7" t="s">
        <v>25</v>
      </c>
      <c r="BJ72" s="22">
        <f>IF(ISERROR(SEARCH("nega",Tabella1[[#This Row],[Reflusso gastroesofageo]],1)),1,0)</f>
        <v>0</v>
      </c>
      <c r="BK72" s="7" t="s">
        <v>8</v>
      </c>
      <c r="BL72" s="17">
        <f>IF(ISERROR(SEARCH("NDD",Tabella1[[#This Row],[Patologia respiratoria]],1)),0,1)</f>
        <v>0</v>
      </c>
      <c r="BM72" s="17">
        <f>IF(ISERROR(SEARCH("asma",Tabella1[[#This Row],[Patologia respiratoria]],1)),0,1)</f>
        <v>0</v>
      </c>
      <c r="BN72" s="17">
        <f>IF(ISERROR(SEARCH("BPCO",Tabella1[[#This Row],[Patologia respiratoria]],1)),0,1)</f>
        <v>0</v>
      </c>
      <c r="BO72" s="17">
        <f>IF(ISERROR(SEARCH("BRONCOPOLMONITE",Tabella1[[#This Row],[Patologia respiratoria]],1)),0,1)</f>
        <v>0</v>
      </c>
      <c r="BP72" s="17">
        <f>IF(ISERROR(SEARCH("ASMA, OSAS",Tabella1[[#This Row],[Patologia respiratoria]],1)),0,1)</f>
        <v>0</v>
      </c>
      <c r="BQ72" s="17">
        <f>IF(ISERROR(SEARCH("OSAS e BPCO",Tabella1[[#This Row],[Patologia respiratoria]],1)),0,1)</f>
        <v>0</v>
      </c>
      <c r="BR72" s="17">
        <f>IF(ISERROR(SEARCH("OSAS",Tabella1[[#This Row],[Patologia respiratoria]],1)),0,1)</f>
        <v>0</v>
      </c>
      <c r="BS72" s="7" t="s">
        <v>996</v>
      </c>
      <c r="BT72" s="7" t="s">
        <v>997</v>
      </c>
      <c r="BU72" s="7" t="s">
        <v>8</v>
      </c>
      <c r="BV72" s="17">
        <f>IF(ISERROR(SEARCH("ndd",Tabella1[[#This Row],[O2 terapia]],1)),0,1)</f>
        <v>0</v>
      </c>
      <c r="BW72" s="17">
        <v>0</v>
      </c>
      <c r="BX72" s="7"/>
      <c r="BY72" s="7" t="s">
        <v>8</v>
      </c>
      <c r="BZ72" s="18">
        <v>0</v>
      </c>
      <c r="CA72" s="7" t="s">
        <v>8</v>
      </c>
      <c r="CB72" s="17">
        <v>0</v>
      </c>
      <c r="CC72" s="7" t="s">
        <v>8</v>
      </c>
      <c r="CD72" s="18">
        <v>0</v>
      </c>
      <c r="CE72" s="7" t="s">
        <v>8</v>
      </c>
      <c r="CF72" s="18">
        <v>0</v>
      </c>
      <c r="CG72" s="7" t="s">
        <v>8</v>
      </c>
      <c r="CH72" s="17">
        <v>0</v>
      </c>
      <c r="CI72" s="7" t="s">
        <v>8</v>
      </c>
      <c r="CJ72" s="18">
        <v>0</v>
      </c>
      <c r="CK72" s="7" t="s">
        <v>28</v>
      </c>
      <c r="CL72" s="17">
        <v>1</v>
      </c>
      <c r="CM72" s="7" t="s">
        <v>8</v>
      </c>
      <c r="CN72" s="17">
        <v>0</v>
      </c>
      <c r="CO72" s="7" t="s">
        <v>28</v>
      </c>
      <c r="CP72" s="17">
        <v>1</v>
      </c>
      <c r="CQ72" s="7" t="s">
        <v>54</v>
      </c>
      <c r="CR72" s="7" t="s">
        <v>203</v>
      </c>
      <c r="CS72" s="7" t="s">
        <v>998</v>
      </c>
      <c r="CT72" s="7" t="s">
        <v>121</v>
      </c>
      <c r="CU72" s="7" t="s">
        <v>999</v>
      </c>
      <c r="CV72" s="8" t="s">
        <v>1000</v>
      </c>
    </row>
    <row r="73" spans="1:100" ht="128.25">
      <c r="A73" s="1">
        <f t="shared" si="1"/>
        <v>72</v>
      </c>
      <c r="B73" s="9">
        <v>591</v>
      </c>
      <c r="C73" s="10">
        <v>44852</v>
      </c>
      <c r="D73" s="11" t="s">
        <v>1001</v>
      </c>
      <c r="E73" s="10">
        <v>24337</v>
      </c>
      <c r="F73" s="29">
        <f ca="1">_xlfn.DAYS(NOW(),Tabella1[[#This Row],[Data di Nascita]])/365.25</f>
        <v>58.962354551676931</v>
      </c>
      <c r="G73" s="11" t="s">
        <v>1002</v>
      </c>
      <c r="H73" s="11" t="s">
        <v>1003</v>
      </c>
      <c r="I73" s="11" t="s">
        <v>955</v>
      </c>
      <c r="J73" s="11" t="s">
        <v>618</v>
      </c>
      <c r="K73" s="11" t="s">
        <v>881</v>
      </c>
      <c r="L73" s="18">
        <f>IF(ISERROR(SEARCH("EX",Tabella1[[#This Row],[Attività lavorativa]],1)),0,1)</f>
        <v>0</v>
      </c>
      <c r="M73" s="18"/>
      <c r="N73" s="18"/>
      <c r="O73" s="18"/>
      <c r="P73" s="18"/>
      <c r="Q73" s="18"/>
      <c r="R73" s="18"/>
      <c r="S73" s="18"/>
      <c r="T73" s="17">
        <f>IF(ISERROR(SEARCH("NDD",Tabella1[[#This Row],[Attività lavorativa]],1)),0,1)</f>
        <v>0</v>
      </c>
      <c r="U73" s="11" t="s">
        <v>1004</v>
      </c>
      <c r="V73" s="22">
        <v>20</v>
      </c>
      <c r="W73" s="22">
        <f>IF(ISERROR(SEARCH("ex",Tabella1[[#This Row],[Fumo]],1)),0,1)</f>
        <v>0</v>
      </c>
      <c r="X73" s="22">
        <f>IF(ISERROR(SEARCH("no",Tabella1[[#This Row],[Fumo]],1)),0,1)</f>
        <v>0</v>
      </c>
      <c r="Y73" s="11" t="s">
        <v>25</v>
      </c>
      <c r="Z73" s="18">
        <f>IF(ISERROR(SEARCH("NDD",Tabella1[[#This Row],[Bevitore alcolici]],1)),0,1)</f>
        <v>0</v>
      </c>
      <c r="AA73" s="17">
        <f>IF(ISERROR(SEARCH("raro",Tabella1[[#This Row],[Bevitore alcolici]],1)),0,1)</f>
        <v>0</v>
      </c>
      <c r="AB73" s="17">
        <f>IF(ISERROR(SEARCH("saltuariamente",Tabella1[[#This Row],[Bevitore alcolici]],1)),0,1)</f>
        <v>0</v>
      </c>
      <c r="AC73" s="17">
        <f>IF(ISERROR(SEARCH("nega",Tabella1[[#This Row],[Bevitore alcolici]],1)),0,1)</f>
        <v>1</v>
      </c>
      <c r="AD73" s="17">
        <f>IF(ISERROR(SEARCH("potus",Tabella1[[#This Row],[Bevitore alcolici]],1)),0,1)</f>
        <v>0</v>
      </c>
      <c r="AE73" s="11" t="s">
        <v>657</v>
      </c>
      <c r="AF73" s="18"/>
      <c r="AG73" s="18"/>
      <c r="AH73" s="18"/>
      <c r="AI73" s="18"/>
      <c r="AJ73" s="18"/>
      <c r="AK73" s="11" t="s">
        <v>28</v>
      </c>
      <c r="AL73" s="18">
        <f>IF(ISERROR(SEARCH("si",Tabella1[[#This Row],[Patente di guida]],1)),0,1)</f>
        <v>1</v>
      </c>
      <c r="AM73" s="11" t="s">
        <v>8</v>
      </c>
      <c r="AN73" s="18">
        <f>IF(ISERROR(SEARCH("no",Tabella1[[#This Row],[Ipertensione]],1)),0,1)</f>
        <v>1</v>
      </c>
      <c r="AO73" s="11" t="s">
        <v>382</v>
      </c>
      <c r="AP73" s="18">
        <f>IF(ISERROR(SEARCH("NO",Tabella1[[#This Row],[Cardiopatia ischemica]],1)),1,0)</f>
        <v>0</v>
      </c>
      <c r="AQ73" s="17">
        <f>IF(ISERROR(SEARCH("sconosciuto",Tabella1[[#This Row],[Cardiopatia ischemica]],1)),0,1)</f>
        <v>0</v>
      </c>
      <c r="AR73" s="11" t="s">
        <v>25</v>
      </c>
      <c r="AS73" s="22">
        <f>IF(ISERROR(SEARCH("nega",Tabella1[[#This Row],[Artimie]],1)),0,1)</f>
        <v>1</v>
      </c>
      <c r="AT73" s="11" t="s">
        <v>25</v>
      </c>
      <c r="AU73" s="22">
        <f>IF(ISERROR(SEARCH("nega",Tabella1[[#This Row],[Ipercolesterolemia]],1)),0,1)</f>
        <v>1</v>
      </c>
      <c r="AV73" s="22">
        <f>IF(ISERROR(SEARCH("boh",Tabella1[[#This Row],[Ipercolesterolemia]],1)),0,1)</f>
        <v>0</v>
      </c>
      <c r="AW73" s="11" t="s">
        <v>8</v>
      </c>
      <c r="AX73" s="22">
        <f>IF(ISERROR(SEARCH("Intolleranza",Tabella1[[#This Row],[Diabete]],1)),0,1)</f>
        <v>0</v>
      </c>
      <c r="AY73" s="22">
        <f>IF(ISERROR(SEARCH("si",Tabella1[[#This Row],[Diabete]],1)),0,1)</f>
        <v>0</v>
      </c>
      <c r="AZ73" s="11" t="s">
        <v>8</v>
      </c>
      <c r="BA73" s="18">
        <f>IF(ISERROR(SEARCH("NDD",Tabella1[[#This Row],[Patologia Tiroidea]],1)),0,1)</f>
        <v>0</v>
      </c>
      <c r="BB73" s="22">
        <f>IF(ISERROR(SEARCH("TIROIDITE",Tabella1[[#This Row],[Patologia Tiroidea]],1)),0,1)</f>
        <v>0</v>
      </c>
      <c r="BC73" s="22">
        <f>IF(ISERROR(SEARCH("HASHIMOTO",Tabella1[[#This Row],[Patologia Tiroidea]],1)),0,1)</f>
        <v>0</v>
      </c>
      <c r="BD73" s="22">
        <f>IF(ISERROR(SEARCH("BASEDOW",Tabella1[[#This Row],[Patologia Tiroidea]],1)),0,1)</f>
        <v>0</v>
      </c>
      <c r="BE73" s="22">
        <f>IF(ISERROR(SEARCH("NOD",Tabella1[[#This Row],[Patologia Tiroidea]],1)),0,1)</f>
        <v>0</v>
      </c>
      <c r="BF73" s="22">
        <f>IF(ISERROR(SEARCH("GOZ",Tabella1[[#This Row],[Patologia Tiroidea]],1)),0,1)</f>
        <v>0</v>
      </c>
      <c r="BG73" s="11" t="s">
        <v>8</v>
      </c>
      <c r="BH73" s="18">
        <f>IF(Tabella1[[#This Row],[Obesità]]="no",0,1)</f>
        <v>0</v>
      </c>
      <c r="BI73" s="11" t="s">
        <v>25</v>
      </c>
      <c r="BJ73" s="22">
        <f>IF(ISERROR(SEARCH("nega",Tabella1[[#This Row],[Reflusso gastroesofageo]],1)),1,0)</f>
        <v>0</v>
      </c>
      <c r="BK73" s="11" t="s">
        <v>8</v>
      </c>
      <c r="BL73" s="18">
        <f>IF(ISERROR(SEARCH("NDD",Tabella1[[#This Row],[Patologia respiratoria]],1)),0,1)</f>
        <v>0</v>
      </c>
      <c r="BM73" s="18">
        <f>IF(ISERROR(SEARCH("asma",Tabella1[[#This Row],[Patologia respiratoria]],1)),0,1)</f>
        <v>0</v>
      </c>
      <c r="BN73" s="18">
        <f>IF(ISERROR(SEARCH("BPCO",Tabella1[[#This Row],[Patologia respiratoria]],1)),0,1)</f>
        <v>0</v>
      </c>
      <c r="BO73" s="18">
        <f>IF(ISERROR(SEARCH("BRONCOPOLMONITE",Tabella1[[#This Row],[Patologia respiratoria]],1)),0,1)</f>
        <v>0</v>
      </c>
      <c r="BP73" s="18">
        <f>IF(ISERROR(SEARCH("ASMA, OSAS",Tabella1[[#This Row],[Patologia respiratoria]],1)),0,1)</f>
        <v>0</v>
      </c>
      <c r="BQ73" s="18">
        <f>IF(ISERROR(SEARCH("OSAS e BPCO",Tabella1[[#This Row],[Patologia respiratoria]],1)),0,1)</f>
        <v>0</v>
      </c>
      <c r="BR73" s="18">
        <f>IF(ISERROR(SEARCH("OSAS",Tabella1[[#This Row],[Patologia respiratoria]],1)),0,1)</f>
        <v>0</v>
      </c>
      <c r="BS73" s="11" t="s">
        <v>8</v>
      </c>
      <c r="BT73" s="11" t="s">
        <v>132</v>
      </c>
      <c r="BU73" s="11" t="s">
        <v>8</v>
      </c>
      <c r="BV73" s="18">
        <f>IF(ISERROR(SEARCH("ndd",Tabella1[[#This Row],[O2 terapia]],1)),0,1)</f>
        <v>0</v>
      </c>
      <c r="BW73" s="17">
        <v>0</v>
      </c>
      <c r="BX73" s="11" t="s">
        <v>8</v>
      </c>
      <c r="BY73" s="11" t="s">
        <v>8</v>
      </c>
      <c r="BZ73" s="18">
        <v>0</v>
      </c>
      <c r="CA73" s="11" t="s">
        <v>1005</v>
      </c>
      <c r="CB73" s="17">
        <v>1</v>
      </c>
      <c r="CC73" s="11" t="s">
        <v>8</v>
      </c>
      <c r="CD73" s="18">
        <v>0</v>
      </c>
      <c r="CE73" s="11" t="s">
        <v>8</v>
      </c>
      <c r="CF73" s="18">
        <v>0</v>
      </c>
      <c r="CG73" s="11" t="s">
        <v>8</v>
      </c>
      <c r="CH73" s="17">
        <v>0</v>
      </c>
      <c r="CI73" s="11" t="s">
        <v>8</v>
      </c>
      <c r="CJ73" s="18">
        <v>0</v>
      </c>
      <c r="CK73" s="11" t="s">
        <v>1006</v>
      </c>
      <c r="CL73" s="17">
        <v>1</v>
      </c>
      <c r="CM73" s="11" t="s">
        <v>28</v>
      </c>
      <c r="CN73" s="17">
        <v>1</v>
      </c>
      <c r="CO73" s="11" t="s">
        <v>28</v>
      </c>
      <c r="CP73" s="17">
        <v>1</v>
      </c>
      <c r="CQ73" s="11" t="s">
        <v>54</v>
      </c>
      <c r="CR73" s="11" t="s">
        <v>850</v>
      </c>
      <c r="CS73" s="11" t="s">
        <v>153</v>
      </c>
      <c r="CT73" s="11" t="s">
        <v>184</v>
      </c>
      <c r="CU73" s="11" t="s">
        <v>1007</v>
      </c>
      <c r="CV73" s="12" t="s">
        <v>1008</v>
      </c>
    </row>
    <row r="74" spans="1:100" ht="384.75">
      <c r="A74" s="1">
        <f t="shared" si="1"/>
        <v>73</v>
      </c>
      <c r="B74" s="5">
        <v>593</v>
      </c>
      <c r="C74" s="6">
        <v>44852</v>
      </c>
      <c r="D74" s="7" t="s">
        <v>1009</v>
      </c>
      <c r="E74" s="6">
        <v>26509</v>
      </c>
      <c r="F74" s="29">
        <f ca="1">_xlfn.DAYS(NOW(),Tabella1[[#This Row],[Data di Nascita]])/365.25</f>
        <v>53.015742642026012</v>
      </c>
      <c r="G74" s="7" t="s">
        <v>1010</v>
      </c>
      <c r="H74" s="7" t="s">
        <v>1011</v>
      </c>
      <c r="I74" s="7" t="s">
        <v>1012</v>
      </c>
      <c r="J74" s="7" t="s">
        <v>1013</v>
      </c>
      <c r="K74" s="7" t="s">
        <v>1014</v>
      </c>
      <c r="L74" s="17">
        <f>IF(ISERROR(SEARCH("EX",Tabella1[[#This Row],[Attività lavorativa]],1)),0,1)</f>
        <v>0</v>
      </c>
      <c r="M74" s="17"/>
      <c r="N74" s="17"/>
      <c r="O74" s="17"/>
      <c r="P74" s="17"/>
      <c r="Q74" s="17"/>
      <c r="R74" s="17"/>
      <c r="S74" s="17"/>
      <c r="T74" s="17">
        <f>IF(ISERROR(SEARCH("NDD",Tabella1[[#This Row],[Attività lavorativa]],1)),0,1)</f>
        <v>0</v>
      </c>
      <c r="U74" s="7" t="s">
        <v>8</v>
      </c>
      <c r="V74" s="22"/>
      <c r="W74" s="22">
        <f>IF(ISERROR(SEARCH("ex",Tabella1[[#This Row],[Fumo]],1)),0,1)</f>
        <v>0</v>
      </c>
      <c r="X74" s="22">
        <f>IF(ISERROR(SEARCH("no",Tabella1[[#This Row],[Fumo]],1)),0,1)</f>
        <v>1</v>
      </c>
      <c r="Y74" s="7" t="s">
        <v>26</v>
      </c>
      <c r="Z74" s="17">
        <f>IF(ISERROR(SEARCH("NDD",Tabella1[[#This Row],[Bevitore alcolici]],1)),0,1)</f>
        <v>0</v>
      </c>
      <c r="AA74" s="17">
        <f>IF(ISERROR(SEARCH("raro",Tabella1[[#This Row],[Bevitore alcolici]],1)),0,1)</f>
        <v>0</v>
      </c>
      <c r="AB74" s="17">
        <f>IF(ISERROR(SEARCH("saltuariamente",Tabella1[[#This Row],[Bevitore alcolici]],1)),0,1)</f>
        <v>1</v>
      </c>
      <c r="AC74" s="17">
        <f>IF(ISERROR(SEARCH("nega",Tabella1[[#This Row],[Bevitore alcolici]],1)),0,1)</f>
        <v>0</v>
      </c>
      <c r="AD74" s="17">
        <f>IF(ISERROR(SEARCH("potus",Tabella1[[#This Row],[Bevitore alcolici]],1)),0,1)</f>
        <v>0</v>
      </c>
      <c r="AE74" s="7" t="s">
        <v>1015</v>
      </c>
      <c r="AF74" s="17"/>
      <c r="AG74" s="17"/>
      <c r="AH74" s="17"/>
      <c r="AI74" s="17"/>
      <c r="AJ74" s="17"/>
      <c r="AK74" s="7" t="s">
        <v>381</v>
      </c>
      <c r="AL74" s="17">
        <f>IF(ISERROR(SEARCH("si",Tabella1[[#This Row],[Patente di guida]],1)),0,1)</f>
        <v>1</v>
      </c>
      <c r="AM74" s="7" t="s">
        <v>195</v>
      </c>
      <c r="AN74" s="17">
        <f>IF(ISERROR(SEARCH("no",Tabella1[[#This Row],[Ipertensione]],1)),0,1)</f>
        <v>1</v>
      </c>
      <c r="AO74" s="7" t="s">
        <v>3729</v>
      </c>
      <c r="AP74" s="18">
        <f>IF(ISERROR(SEARCH("NO",Tabella1[[#This Row],[Cardiopatia ischemica]],1)),1,0)</f>
        <v>0</v>
      </c>
      <c r="AQ74" s="17">
        <f>IF(ISERROR(SEARCH("sconosciuto",Tabella1[[#This Row],[Cardiopatia ischemica]],1)),0,1)</f>
        <v>0</v>
      </c>
      <c r="AR74" s="7" t="s">
        <v>25</v>
      </c>
      <c r="AS74" s="22">
        <f>IF(ISERROR(SEARCH("nega",Tabella1[[#This Row],[Artimie]],1)),0,1)</f>
        <v>1</v>
      </c>
      <c r="AT74" s="7" t="s">
        <v>25</v>
      </c>
      <c r="AU74" s="22">
        <f>IF(ISERROR(SEARCH("nega",Tabella1[[#This Row],[Ipercolesterolemia]],1)),0,1)</f>
        <v>1</v>
      </c>
      <c r="AV74" s="22">
        <f>IF(ISERROR(SEARCH("boh",Tabella1[[#This Row],[Ipercolesterolemia]],1)),0,1)</f>
        <v>0</v>
      </c>
      <c r="AW74" s="7" t="s">
        <v>195</v>
      </c>
      <c r="AX74" s="22">
        <f>IF(ISERROR(SEARCH("Intolleranza",Tabella1[[#This Row],[Diabete]],1)),0,1)</f>
        <v>0</v>
      </c>
      <c r="AY74" s="22">
        <f>IF(ISERROR(SEARCH("si",Tabella1[[#This Row],[Diabete]],1)),0,1)</f>
        <v>0</v>
      </c>
      <c r="AZ74" s="7" t="s">
        <v>195</v>
      </c>
      <c r="BA74" s="17">
        <f>IF(ISERROR(SEARCH("NDD",Tabella1[[#This Row],[Patologia Tiroidea]],1)),0,1)</f>
        <v>0</v>
      </c>
      <c r="BB74" s="22">
        <f>IF(ISERROR(SEARCH("TIROIDITE",Tabella1[[#This Row],[Patologia Tiroidea]],1)),0,1)</f>
        <v>0</v>
      </c>
      <c r="BC74" s="22">
        <f>IF(ISERROR(SEARCH("HASHIMOTO",Tabella1[[#This Row],[Patologia Tiroidea]],1)),0,1)</f>
        <v>0</v>
      </c>
      <c r="BD74" s="22">
        <f>IF(ISERROR(SEARCH("BASEDOW",Tabella1[[#This Row],[Patologia Tiroidea]],1)),0,1)</f>
        <v>0</v>
      </c>
      <c r="BE74" s="22">
        <f>IF(ISERROR(SEARCH("NOD",Tabella1[[#This Row],[Patologia Tiroidea]],1)),0,1)</f>
        <v>0</v>
      </c>
      <c r="BF74" s="22">
        <f>IF(ISERROR(SEARCH("GOZ",Tabella1[[#This Row],[Patologia Tiroidea]],1)),0,1)</f>
        <v>0</v>
      </c>
      <c r="BG74" s="7" t="s">
        <v>8</v>
      </c>
      <c r="BH74" s="17">
        <f>IF(Tabella1[[#This Row],[Obesità]]="no",0,1)</f>
        <v>0</v>
      </c>
      <c r="BI74" s="7" t="s">
        <v>1016</v>
      </c>
      <c r="BJ74" s="22">
        <f>IF(ISERROR(SEARCH("nega",Tabella1[[#This Row],[Reflusso gastroesofageo]],1)),1,0)</f>
        <v>1</v>
      </c>
      <c r="BK74" s="7" t="s">
        <v>1017</v>
      </c>
      <c r="BL74" s="17">
        <f>IF(ISERROR(SEARCH("NDD",Tabella1[[#This Row],[Patologia respiratoria]],1)),0,1)</f>
        <v>0</v>
      </c>
      <c r="BM74" s="17">
        <f>IF(ISERROR(SEARCH("asma",Tabella1[[#This Row],[Patologia respiratoria]],1)),0,1)</f>
        <v>0</v>
      </c>
      <c r="BN74" s="17">
        <f>IF(ISERROR(SEARCH("BPCO",Tabella1[[#This Row],[Patologia respiratoria]],1)),0,1)</f>
        <v>0</v>
      </c>
      <c r="BO74" s="17">
        <f>IF(ISERROR(SEARCH("BRONCOPOLMONITE",Tabella1[[#This Row],[Patologia respiratoria]],1)),0,1)</f>
        <v>1</v>
      </c>
      <c r="BP74" s="17">
        <f>IF(ISERROR(SEARCH("ASMA, OSAS",Tabella1[[#This Row],[Patologia respiratoria]],1)),0,1)</f>
        <v>0</v>
      </c>
      <c r="BQ74" s="17">
        <f>IF(ISERROR(SEARCH("OSAS e BPCO",Tabella1[[#This Row],[Patologia respiratoria]],1)),0,1)</f>
        <v>0</v>
      </c>
      <c r="BR74" s="17">
        <f>IF(ISERROR(SEARCH("OSAS",Tabella1[[#This Row],[Patologia respiratoria]],1)),0,1)</f>
        <v>0</v>
      </c>
      <c r="BS74" s="7" t="s">
        <v>1018</v>
      </c>
      <c r="BT74" s="7" t="s">
        <v>1019</v>
      </c>
      <c r="BU74" s="7" t="s">
        <v>195</v>
      </c>
      <c r="BV74" s="17">
        <f>IF(ISERROR(SEARCH("ndd",Tabella1[[#This Row],[O2 terapia]],1)),0,1)</f>
        <v>0</v>
      </c>
      <c r="BW74" s="17">
        <v>0</v>
      </c>
      <c r="BX74" s="7" t="s">
        <v>1020</v>
      </c>
      <c r="BY74" s="7" t="s">
        <v>1021</v>
      </c>
      <c r="BZ74" s="17">
        <v>1</v>
      </c>
      <c r="CA74" s="7" t="s">
        <v>1022</v>
      </c>
      <c r="CB74" s="17">
        <v>1</v>
      </c>
      <c r="CC74" s="7" t="s">
        <v>1023</v>
      </c>
      <c r="CD74" s="17">
        <v>1</v>
      </c>
      <c r="CE74" s="7" t="s">
        <v>195</v>
      </c>
      <c r="CF74" s="18">
        <v>0</v>
      </c>
      <c r="CG74" s="7" t="s">
        <v>1024</v>
      </c>
      <c r="CH74" s="17">
        <v>1</v>
      </c>
      <c r="CI74" s="7" t="s">
        <v>194</v>
      </c>
      <c r="CJ74" s="17">
        <v>1</v>
      </c>
      <c r="CK74" s="7" t="s">
        <v>312</v>
      </c>
      <c r="CL74" s="17">
        <v>1</v>
      </c>
      <c r="CM74" s="7" t="s">
        <v>194</v>
      </c>
      <c r="CN74" s="17">
        <v>1</v>
      </c>
      <c r="CO74" s="7" t="s">
        <v>1025</v>
      </c>
      <c r="CP74" s="18">
        <v>0</v>
      </c>
      <c r="CQ74" s="7" t="s">
        <v>35</v>
      </c>
      <c r="CR74" s="7" t="s">
        <v>1026</v>
      </c>
      <c r="CS74" s="7" t="s">
        <v>86</v>
      </c>
      <c r="CT74" s="7" t="s">
        <v>1027</v>
      </c>
      <c r="CU74" s="7" t="s">
        <v>1028</v>
      </c>
      <c r="CV74" s="8" t="s">
        <v>1029</v>
      </c>
    </row>
    <row r="75" spans="1:100" ht="71.25">
      <c r="A75" s="1">
        <f t="shared" si="1"/>
        <v>74</v>
      </c>
      <c r="B75" s="9">
        <v>596</v>
      </c>
      <c r="C75" s="10">
        <v>44853</v>
      </c>
      <c r="D75" s="11" t="s">
        <v>1030</v>
      </c>
      <c r="E75" s="10">
        <v>20335</v>
      </c>
      <c r="F75" s="29">
        <f ca="1">_xlfn.DAYS(NOW(),Tabella1[[#This Row],[Data di Nascita]])/365.25</f>
        <v>69.919233401779607</v>
      </c>
      <c r="G75" s="11" t="s">
        <v>1031</v>
      </c>
      <c r="H75" s="11" t="s">
        <v>1032</v>
      </c>
      <c r="I75" s="11" t="s">
        <v>1033</v>
      </c>
      <c r="J75" s="11"/>
      <c r="K75" s="11" t="s">
        <v>1034</v>
      </c>
      <c r="L75" s="18">
        <f>IF(ISERROR(SEARCH("EX",Tabella1[[#This Row],[Attività lavorativa]],1)),0,1)</f>
        <v>0</v>
      </c>
      <c r="M75" s="18"/>
      <c r="N75" s="18"/>
      <c r="O75" s="18"/>
      <c r="P75" s="18"/>
      <c r="Q75" s="18"/>
      <c r="R75" s="18"/>
      <c r="S75" s="18"/>
      <c r="T75" s="17">
        <f>IF(ISERROR(SEARCH("NDD",Tabella1[[#This Row],[Attività lavorativa]],1)),0,1)</f>
        <v>0</v>
      </c>
      <c r="U75" s="11" t="s">
        <v>8</v>
      </c>
      <c r="V75" s="22"/>
      <c r="W75" s="22">
        <f>IF(ISERROR(SEARCH("ex",Tabella1[[#This Row],[Fumo]],1)),0,1)</f>
        <v>0</v>
      </c>
      <c r="X75" s="22">
        <f>IF(ISERROR(SEARCH("no",Tabella1[[#This Row],[Fumo]],1)),0,1)</f>
        <v>1</v>
      </c>
      <c r="Y75" s="11" t="s">
        <v>25</v>
      </c>
      <c r="Z75" s="18">
        <f>IF(ISERROR(SEARCH("NDD",Tabella1[[#This Row],[Bevitore alcolici]],1)),0,1)</f>
        <v>0</v>
      </c>
      <c r="AA75" s="17">
        <f>IF(ISERROR(SEARCH("raro",Tabella1[[#This Row],[Bevitore alcolici]],1)),0,1)</f>
        <v>0</v>
      </c>
      <c r="AB75" s="17">
        <f>IF(ISERROR(SEARCH("saltuariamente",Tabella1[[#This Row],[Bevitore alcolici]],1)),0,1)</f>
        <v>0</v>
      </c>
      <c r="AC75" s="17">
        <f>IF(ISERROR(SEARCH("nega",Tabella1[[#This Row],[Bevitore alcolici]],1)),0,1)</f>
        <v>1</v>
      </c>
      <c r="AD75" s="17">
        <f>IF(ISERROR(SEARCH("potus",Tabella1[[#This Row],[Bevitore alcolici]],1)),0,1)</f>
        <v>0</v>
      </c>
      <c r="AE75" s="11" t="s">
        <v>1035</v>
      </c>
      <c r="AF75" s="18"/>
      <c r="AG75" s="18"/>
      <c r="AH75" s="18"/>
      <c r="AI75" s="18">
        <v>1</v>
      </c>
      <c r="AJ75" s="18"/>
      <c r="AK75" s="11" t="s">
        <v>28</v>
      </c>
      <c r="AL75" s="18">
        <f>IF(ISERROR(SEARCH("si",Tabella1[[#This Row],[Patente di guida]],1)),0,1)</f>
        <v>1</v>
      </c>
      <c r="AM75" s="11" t="s">
        <v>28</v>
      </c>
      <c r="AN75" s="18">
        <f>IF(ISERROR(SEARCH("no",Tabella1[[#This Row],[Ipertensione]],1)),0,1)</f>
        <v>0</v>
      </c>
      <c r="AO75" s="11" t="s">
        <v>382</v>
      </c>
      <c r="AP75" s="18">
        <f>IF(ISERROR(SEARCH("NO",Tabella1[[#This Row],[Cardiopatia ischemica]],1)),1,0)</f>
        <v>0</v>
      </c>
      <c r="AQ75" s="17">
        <f>IF(ISERROR(SEARCH("sconosciuto",Tabella1[[#This Row],[Cardiopatia ischemica]],1)),0,1)</f>
        <v>0</v>
      </c>
      <c r="AR75" s="11" t="s">
        <v>25</v>
      </c>
      <c r="AS75" s="22">
        <f>IF(ISERROR(SEARCH("nega",Tabella1[[#This Row],[Artimie]],1)),0,1)</f>
        <v>1</v>
      </c>
      <c r="AT75" s="11" t="s">
        <v>25</v>
      </c>
      <c r="AU75" s="22">
        <f>IF(ISERROR(SEARCH("nega",Tabella1[[#This Row],[Ipercolesterolemia]],1)),0,1)</f>
        <v>1</v>
      </c>
      <c r="AV75" s="22">
        <f>IF(ISERROR(SEARCH("boh",Tabella1[[#This Row],[Ipercolesterolemia]],1)),0,1)</f>
        <v>0</v>
      </c>
      <c r="AW75" s="11" t="s">
        <v>8</v>
      </c>
      <c r="AX75" s="22">
        <f>IF(ISERROR(SEARCH("Intolleranza",Tabella1[[#This Row],[Diabete]],1)),0,1)</f>
        <v>0</v>
      </c>
      <c r="AY75" s="22">
        <f>IF(ISERROR(SEARCH("si",Tabella1[[#This Row],[Diabete]],1)),0,1)</f>
        <v>0</v>
      </c>
      <c r="AZ75" s="11" t="s">
        <v>8</v>
      </c>
      <c r="BA75" s="18">
        <f>IF(ISERROR(SEARCH("NDD",Tabella1[[#This Row],[Patologia Tiroidea]],1)),0,1)</f>
        <v>0</v>
      </c>
      <c r="BB75" s="22">
        <f>IF(ISERROR(SEARCH("TIROIDITE",Tabella1[[#This Row],[Patologia Tiroidea]],1)),0,1)</f>
        <v>0</v>
      </c>
      <c r="BC75" s="22">
        <f>IF(ISERROR(SEARCH("HASHIMOTO",Tabella1[[#This Row],[Patologia Tiroidea]],1)),0,1)</f>
        <v>0</v>
      </c>
      <c r="BD75" s="22">
        <f>IF(ISERROR(SEARCH("BASEDOW",Tabella1[[#This Row],[Patologia Tiroidea]],1)),0,1)</f>
        <v>0</v>
      </c>
      <c r="BE75" s="22">
        <f>IF(ISERROR(SEARCH("NOD",Tabella1[[#This Row],[Patologia Tiroidea]],1)),0,1)</f>
        <v>0</v>
      </c>
      <c r="BF75" s="22">
        <f>IF(ISERROR(SEARCH("GOZ",Tabella1[[#This Row],[Patologia Tiroidea]],1)),0,1)</f>
        <v>0</v>
      </c>
      <c r="BG75" s="11" t="s">
        <v>8</v>
      </c>
      <c r="BH75" s="18">
        <f>IF(Tabella1[[#This Row],[Obesità]]="no",0,1)</f>
        <v>0</v>
      </c>
      <c r="BI75" s="11" t="s">
        <v>1036</v>
      </c>
      <c r="BJ75" s="22">
        <f>IF(ISERROR(SEARCH("nega",Tabella1[[#This Row],[Reflusso gastroesofageo]],1)),1,0)</f>
        <v>1</v>
      </c>
      <c r="BK75" s="11" t="s">
        <v>8</v>
      </c>
      <c r="BL75" s="18">
        <f>IF(ISERROR(SEARCH("NDD",Tabella1[[#This Row],[Patologia respiratoria]],1)),0,1)</f>
        <v>0</v>
      </c>
      <c r="BM75" s="18">
        <f>IF(ISERROR(SEARCH("asma",Tabella1[[#This Row],[Patologia respiratoria]],1)),0,1)</f>
        <v>0</v>
      </c>
      <c r="BN75" s="18">
        <f>IF(ISERROR(SEARCH("BPCO",Tabella1[[#This Row],[Patologia respiratoria]],1)),0,1)</f>
        <v>0</v>
      </c>
      <c r="BO75" s="18">
        <f>IF(ISERROR(SEARCH("BRONCOPOLMONITE",Tabella1[[#This Row],[Patologia respiratoria]],1)),0,1)</f>
        <v>0</v>
      </c>
      <c r="BP75" s="18">
        <f>IF(ISERROR(SEARCH("ASMA, OSAS",Tabella1[[#This Row],[Patologia respiratoria]],1)),0,1)</f>
        <v>0</v>
      </c>
      <c r="BQ75" s="18">
        <f>IF(ISERROR(SEARCH("OSAS e BPCO",Tabella1[[#This Row],[Patologia respiratoria]],1)),0,1)</f>
        <v>0</v>
      </c>
      <c r="BR75" s="18">
        <f>IF(ISERROR(SEARCH("OSAS",Tabella1[[#This Row],[Patologia respiratoria]],1)),0,1)</f>
        <v>0</v>
      </c>
      <c r="BS75" s="11"/>
      <c r="BT75" s="11" t="s">
        <v>1037</v>
      </c>
      <c r="BU75" s="11" t="s">
        <v>8</v>
      </c>
      <c r="BV75" s="18">
        <f>IF(ISERROR(SEARCH("ndd",Tabella1[[#This Row],[O2 terapia]],1)),0,1)</f>
        <v>0</v>
      </c>
      <c r="BW75" s="17">
        <v>0</v>
      </c>
      <c r="BX75" s="11"/>
      <c r="BY75" s="11" t="s">
        <v>1038</v>
      </c>
      <c r="BZ75" s="17">
        <v>1</v>
      </c>
      <c r="CA75" s="11" t="s">
        <v>1039</v>
      </c>
      <c r="CB75" s="17">
        <v>1</v>
      </c>
      <c r="CC75" s="11" t="s">
        <v>382</v>
      </c>
      <c r="CD75" s="18">
        <v>0</v>
      </c>
      <c r="CE75" s="11" t="s">
        <v>382</v>
      </c>
      <c r="CF75" s="18">
        <v>0</v>
      </c>
      <c r="CG75" s="11" t="s">
        <v>8</v>
      </c>
      <c r="CH75" s="17">
        <v>0</v>
      </c>
      <c r="CI75" s="11" t="s">
        <v>8</v>
      </c>
      <c r="CJ75" s="18">
        <v>0</v>
      </c>
      <c r="CK75" s="11" t="s">
        <v>8</v>
      </c>
      <c r="CL75" s="17">
        <v>0</v>
      </c>
      <c r="CM75" s="11" t="s">
        <v>1040</v>
      </c>
      <c r="CN75" s="17">
        <v>1</v>
      </c>
      <c r="CO75" s="11" t="s">
        <v>8</v>
      </c>
      <c r="CP75" s="18">
        <v>0</v>
      </c>
      <c r="CQ75" s="11" t="s">
        <v>85</v>
      </c>
      <c r="CR75" s="11" t="s">
        <v>318</v>
      </c>
      <c r="CS75" s="11" t="s">
        <v>105</v>
      </c>
      <c r="CT75" s="11" t="s">
        <v>122</v>
      </c>
      <c r="CU75" s="11"/>
      <c r="CV75" s="12"/>
    </row>
    <row r="76" spans="1:100" ht="114">
      <c r="A76" s="1">
        <f t="shared" si="1"/>
        <v>75</v>
      </c>
      <c r="B76" s="5">
        <v>603</v>
      </c>
      <c r="C76" s="6">
        <v>44858</v>
      </c>
      <c r="D76" s="7" t="s">
        <v>1041</v>
      </c>
      <c r="E76" s="6">
        <v>21858</v>
      </c>
      <c r="F76" s="29">
        <f ca="1">_xlfn.DAYS(NOW(),Tabella1[[#This Row],[Data di Nascita]])/365.25</f>
        <v>65.74948665297741</v>
      </c>
      <c r="G76" s="7" t="s">
        <v>1042</v>
      </c>
      <c r="H76" s="7" t="s">
        <v>1043</v>
      </c>
      <c r="I76" s="7" t="s">
        <v>955</v>
      </c>
      <c r="J76" s="7" t="s">
        <v>1044</v>
      </c>
      <c r="K76" s="7" t="s">
        <v>1045</v>
      </c>
      <c r="L76" s="17">
        <f>IF(ISERROR(SEARCH("EX",Tabella1[[#This Row],[Attività lavorativa]],1)),0,1)</f>
        <v>1</v>
      </c>
      <c r="M76" s="17"/>
      <c r="N76" s="17">
        <v>1</v>
      </c>
      <c r="O76" s="17"/>
      <c r="P76" s="17"/>
      <c r="Q76" s="17"/>
      <c r="R76" s="17"/>
      <c r="S76" s="17"/>
      <c r="T76" s="17">
        <f>IF(ISERROR(SEARCH("NDD",Tabella1[[#This Row],[Attività lavorativa]],1)),0,1)</f>
        <v>0</v>
      </c>
      <c r="U76" s="7" t="s">
        <v>1046</v>
      </c>
      <c r="V76" s="22"/>
      <c r="W76" s="22">
        <f>IF(ISERROR(SEARCH("ex",Tabella1[[#This Row],[Fumo]],1)),0,1)</f>
        <v>1</v>
      </c>
      <c r="X76" s="22">
        <f>IF(ISERROR(SEARCH("no",Tabella1[[#This Row],[Fumo]],1)),0,1)</f>
        <v>0</v>
      </c>
      <c r="Y76" s="7" t="s">
        <v>25</v>
      </c>
      <c r="Z76" s="17">
        <f>IF(ISERROR(SEARCH("NDD",Tabella1[[#This Row],[Bevitore alcolici]],1)),0,1)</f>
        <v>0</v>
      </c>
      <c r="AA76" s="17">
        <f>IF(ISERROR(SEARCH("raro",Tabella1[[#This Row],[Bevitore alcolici]],1)),0,1)</f>
        <v>0</v>
      </c>
      <c r="AB76" s="17">
        <f>IF(ISERROR(SEARCH("saltuariamente",Tabella1[[#This Row],[Bevitore alcolici]],1)),0,1)</f>
        <v>0</v>
      </c>
      <c r="AC76" s="17">
        <f>IF(ISERROR(SEARCH("nega",Tabella1[[#This Row],[Bevitore alcolici]],1)),0,1)</f>
        <v>1</v>
      </c>
      <c r="AD76" s="17">
        <f>IF(ISERROR(SEARCH("potus",Tabella1[[#This Row],[Bevitore alcolici]],1)),0,1)</f>
        <v>0</v>
      </c>
      <c r="AE76" s="7" t="s">
        <v>1047</v>
      </c>
      <c r="AF76" s="17"/>
      <c r="AG76" s="18">
        <v>1</v>
      </c>
      <c r="AH76" s="18"/>
      <c r="AI76" s="18"/>
      <c r="AJ76" s="18"/>
      <c r="AK76" s="7" t="s">
        <v>28</v>
      </c>
      <c r="AL76" s="17">
        <f>IF(ISERROR(SEARCH("si",Tabella1[[#This Row],[Patente di guida]],1)),0,1)</f>
        <v>1</v>
      </c>
      <c r="AM76" s="7" t="s">
        <v>28</v>
      </c>
      <c r="AN76" s="17">
        <f>IF(ISERROR(SEARCH("no",Tabella1[[#This Row],[Ipertensione]],1)),0,1)</f>
        <v>0</v>
      </c>
      <c r="AO76" s="7" t="s">
        <v>1048</v>
      </c>
      <c r="AP76" s="18">
        <f>IF(ISERROR(SEARCH("NO",Tabella1[[#This Row],[Cardiopatia ischemica]],1)),1,0)</f>
        <v>1</v>
      </c>
      <c r="AQ76" s="17">
        <f>IF(ISERROR(SEARCH("sconosciuto",Tabella1[[#This Row],[Cardiopatia ischemica]],1)),0,1)</f>
        <v>0</v>
      </c>
      <c r="AR76" s="7" t="s">
        <v>25</v>
      </c>
      <c r="AS76" s="22">
        <f>IF(ISERROR(SEARCH("nega",Tabella1[[#This Row],[Artimie]],1)),0,1)</f>
        <v>1</v>
      </c>
      <c r="AT76" s="7" t="s">
        <v>28</v>
      </c>
      <c r="AU76" s="22">
        <f>IF(ISERROR(SEARCH("nega",Tabella1[[#This Row],[Ipercolesterolemia]],1)),0,1)</f>
        <v>0</v>
      </c>
      <c r="AV76" s="22">
        <f>IF(ISERROR(SEARCH("boh",Tabella1[[#This Row],[Ipercolesterolemia]],1)),0,1)</f>
        <v>0</v>
      </c>
      <c r="AW76" s="7" t="s">
        <v>8</v>
      </c>
      <c r="AX76" s="22">
        <f>IF(ISERROR(SEARCH("Intolleranza",Tabella1[[#This Row],[Diabete]],1)),0,1)</f>
        <v>0</v>
      </c>
      <c r="AY76" s="22">
        <f>IF(ISERROR(SEARCH("si",Tabella1[[#This Row],[Diabete]],1)),0,1)</f>
        <v>0</v>
      </c>
      <c r="AZ76" s="7" t="s">
        <v>8</v>
      </c>
      <c r="BA76" s="17">
        <f>IF(ISERROR(SEARCH("NDD",Tabella1[[#This Row],[Patologia Tiroidea]],1)),0,1)</f>
        <v>0</v>
      </c>
      <c r="BB76" s="22">
        <f>IF(ISERROR(SEARCH("TIROIDITE",Tabella1[[#This Row],[Patologia Tiroidea]],1)),0,1)</f>
        <v>0</v>
      </c>
      <c r="BC76" s="22">
        <f>IF(ISERROR(SEARCH("HASHIMOTO",Tabella1[[#This Row],[Patologia Tiroidea]],1)),0,1)</f>
        <v>0</v>
      </c>
      <c r="BD76" s="22">
        <f>IF(ISERROR(SEARCH("BASEDOW",Tabella1[[#This Row],[Patologia Tiroidea]],1)),0,1)</f>
        <v>0</v>
      </c>
      <c r="BE76" s="22">
        <f>IF(ISERROR(SEARCH("NOD",Tabella1[[#This Row],[Patologia Tiroidea]],1)),0,1)</f>
        <v>0</v>
      </c>
      <c r="BF76" s="22">
        <f>IF(ISERROR(SEARCH("GOZ",Tabella1[[#This Row],[Patologia Tiroidea]],1)),0,1)</f>
        <v>0</v>
      </c>
      <c r="BG76" s="7" t="s">
        <v>28</v>
      </c>
      <c r="BH76" s="17">
        <f>IF(Tabella1[[#This Row],[Obesità]]="no",0,1)</f>
        <v>1</v>
      </c>
      <c r="BI76" s="7" t="s">
        <v>1049</v>
      </c>
      <c r="BJ76" s="22">
        <f>IF(ISERROR(SEARCH("nega",Tabella1[[#This Row],[Reflusso gastroesofageo]],1)),1,0)</f>
        <v>1</v>
      </c>
      <c r="BK76" s="7" t="s">
        <v>8</v>
      </c>
      <c r="BL76" s="17">
        <f>IF(ISERROR(SEARCH("NDD",Tabella1[[#This Row],[Patologia respiratoria]],1)),0,1)</f>
        <v>0</v>
      </c>
      <c r="BM76" s="17">
        <f>IF(ISERROR(SEARCH("asma",Tabella1[[#This Row],[Patologia respiratoria]],1)),0,1)</f>
        <v>0</v>
      </c>
      <c r="BN76" s="17">
        <f>IF(ISERROR(SEARCH("BPCO",Tabella1[[#This Row],[Patologia respiratoria]],1)),0,1)</f>
        <v>0</v>
      </c>
      <c r="BO76" s="17">
        <f>IF(ISERROR(SEARCH("BRONCOPOLMONITE",Tabella1[[#This Row],[Patologia respiratoria]],1)),0,1)</f>
        <v>0</v>
      </c>
      <c r="BP76" s="17">
        <f>IF(ISERROR(SEARCH("ASMA, OSAS",Tabella1[[#This Row],[Patologia respiratoria]],1)),0,1)</f>
        <v>0</v>
      </c>
      <c r="BQ76" s="17">
        <f>IF(ISERROR(SEARCH("OSAS e BPCO",Tabella1[[#This Row],[Patologia respiratoria]],1)),0,1)</f>
        <v>0</v>
      </c>
      <c r="BR76" s="17">
        <f>IF(ISERROR(SEARCH("OSAS",Tabella1[[#This Row],[Patologia respiratoria]],1)),0,1)</f>
        <v>0</v>
      </c>
      <c r="BS76" s="7"/>
      <c r="BT76" s="7" t="s">
        <v>1050</v>
      </c>
      <c r="BU76" s="7" t="s">
        <v>8</v>
      </c>
      <c r="BV76" s="17">
        <f>IF(ISERROR(SEARCH("ndd",Tabella1[[#This Row],[O2 terapia]],1)),0,1)</f>
        <v>0</v>
      </c>
      <c r="BW76" s="17">
        <v>0</v>
      </c>
      <c r="BX76" s="7"/>
      <c r="BY76" s="7" t="s">
        <v>8</v>
      </c>
      <c r="BZ76" s="18">
        <v>0</v>
      </c>
      <c r="CA76" s="7" t="s">
        <v>1051</v>
      </c>
      <c r="CB76" s="17">
        <v>1</v>
      </c>
      <c r="CC76" s="7" t="s">
        <v>1052</v>
      </c>
      <c r="CD76" s="17">
        <v>1</v>
      </c>
      <c r="CE76" s="7" t="s">
        <v>8</v>
      </c>
      <c r="CF76" s="18">
        <v>0</v>
      </c>
      <c r="CG76" s="7" t="s">
        <v>8</v>
      </c>
      <c r="CH76" s="17">
        <v>0</v>
      </c>
      <c r="CI76" s="7" t="s">
        <v>8</v>
      </c>
      <c r="CJ76" s="18">
        <v>0</v>
      </c>
      <c r="CK76" s="7" t="s">
        <v>1053</v>
      </c>
      <c r="CL76" s="17">
        <v>1</v>
      </c>
      <c r="CM76" s="7" t="s">
        <v>8</v>
      </c>
      <c r="CN76" s="17">
        <v>0</v>
      </c>
      <c r="CO76" s="7" t="s">
        <v>8</v>
      </c>
      <c r="CP76" s="18">
        <v>0</v>
      </c>
      <c r="CQ76" s="7" t="s">
        <v>54</v>
      </c>
      <c r="CR76" s="7" t="s">
        <v>369</v>
      </c>
      <c r="CS76" s="7" t="s">
        <v>71</v>
      </c>
      <c r="CT76" s="7" t="s">
        <v>121</v>
      </c>
      <c r="CU76" s="7" t="s">
        <v>1054</v>
      </c>
      <c r="CV76" s="8" t="s">
        <v>1055</v>
      </c>
    </row>
    <row r="77" spans="1:100" ht="171">
      <c r="A77" s="1">
        <f t="shared" si="1"/>
        <v>76</v>
      </c>
      <c r="B77" s="9">
        <v>607</v>
      </c>
      <c r="C77" s="10">
        <v>44859</v>
      </c>
      <c r="D77" s="11" t="s">
        <v>1056</v>
      </c>
      <c r="E77" s="10">
        <v>14617</v>
      </c>
      <c r="F77" s="29">
        <f ca="1">_xlfn.DAYS(NOW(),Tabella1[[#This Row],[Data di Nascita]])/365.25</f>
        <v>85.574264202600958</v>
      </c>
      <c r="G77" s="11" t="s">
        <v>1057</v>
      </c>
      <c r="H77" s="11" t="s">
        <v>1058</v>
      </c>
      <c r="I77" s="11" t="s">
        <v>1059</v>
      </c>
      <c r="J77" s="11" t="s">
        <v>1060</v>
      </c>
      <c r="K77" s="11" t="s">
        <v>1061</v>
      </c>
      <c r="L77" s="18">
        <f>IF(ISERROR(SEARCH("EX",Tabella1[[#This Row],[Attività lavorativa]],1)),0,1)</f>
        <v>1</v>
      </c>
      <c r="M77" s="18"/>
      <c r="N77" s="17">
        <v>1</v>
      </c>
      <c r="O77" s="18"/>
      <c r="P77" s="18"/>
      <c r="Q77" s="18"/>
      <c r="R77" s="18"/>
      <c r="S77" s="18"/>
      <c r="T77" s="17">
        <f>IF(ISERROR(SEARCH("NDD",Tabella1[[#This Row],[Attività lavorativa]],1)),0,1)</f>
        <v>0</v>
      </c>
      <c r="U77" s="11" t="s">
        <v>1062</v>
      </c>
      <c r="V77" s="22"/>
      <c r="W77" s="22">
        <f>IF(ISERROR(SEARCH("ex",Tabella1[[#This Row],[Fumo]],1)),0,1)</f>
        <v>1</v>
      </c>
      <c r="X77" s="22">
        <f>IF(ISERROR(SEARCH("no",Tabella1[[#This Row],[Fumo]],1)),0,1)</f>
        <v>0</v>
      </c>
      <c r="Y77" s="11" t="s">
        <v>25</v>
      </c>
      <c r="Z77" s="18">
        <f>IF(ISERROR(SEARCH("NDD",Tabella1[[#This Row],[Bevitore alcolici]],1)),0,1)</f>
        <v>0</v>
      </c>
      <c r="AA77" s="17">
        <f>IF(ISERROR(SEARCH("raro",Tabella1[[#This Row],[Bevitore alcolici]],1)),0,1)</f>
        <v>0</v>
      </c>
      <c r="AB77" s="17">
        <f>IF(ISERROR(SEARCH("saltuariamente",Tabella1[[#This Row],[Bevitore alcolici]],1)),0,1)</f>
        <v>0</v>
      </c>
      <c r="AC77" s="17">
        <f>IF(ISERROR(SEARCH("nega",Tabella1[[#This Row],[Bevitore alcolici]],1)),0,1)</f>
        <v>1</v>
      </c>
      <c r="AD77" s="17">
        <f>IF(ISERROR(SEARCH("potus",Tabella1[[#This Row],[Bevitore alcolici]],1)),0,1)</f>
        <v>0</v>
      </c>
      <c r="AE77" s="11" t="s">
        <v>657</v>
      </c>
      <c r="AF77" s="18"/>
      <c r="AG77" s="18"/>
      <c r="AH77" s="18"/>
      <c r="AI77" s="18"/>
      <c r="AJ77" s="18"/>
      <c r="AK77" s="11" t="s">
        <v>28</v>
      </c>
      <c r="AL77" s="18">
        <f>IF(ISERROR(SEARCH("si",Tabella1[[#This Row],[Patente di guida]],1)),0,1)</f>
        <v>1</v>
      </c>
      <c r="AM77" s="11" t="s">
        <v>28</v>
      </c>
      <c r="AN77" s="18">
        <f>IF(ISERROR(SEARCH("no",Tabella1[[#This Row],[Ipertensione]],1)),0,1)</f>
        <v>0</v>
      </c>
      <c r="AO77" s="11" t="s">
        <v>382</v>
      </c>
      <c r="AP77" s="18">
        <f>IF(ISERROR(SEARCH("NO",Tabella1[[#This Row],[Cardiopatia ischemica]],1)),1,0)</f>
        <v>0</v>
      </c>
      <c r="AQ77" s="17">
        <f>IF(ISERROR(SEARCH("sconosciuto",Tabella1[[#This Row],[Cardiopatia ischemica]],1)),0,1)</f>
        <v>0</v>
      </c>
      <c r="AR77" s="11" t="s">
        <v>25</v>
      </c>
      <c r="AS77" s="18">
        <f>IF(ISERROR(SEARCH("nega",Tabella1[[#This Row],[Artimie]],1)),0,1)</f>
        <v>1</v>
      </c>
      <c r="AT77" s="11" t="s">
        <v>25</v>
      </c>
      <c r="AU77" s="18">
        <f>IF(ISERROR(SEARCH("nega",Tabella1[[#This Row],[Ipercolesterolemia]],1)),0,1)</f>
        <v>1</v>
      </c>
      <c r="AV77" s="18">
        <f>IF(ISERROR(SEARCH("boh",Tabella1[[#This Row],[Ipercolesterolemia]],1)),0,1)</f>
        <v>0</v>
      </c>
      <c r="AW77" s="11" t="s">
        <v>8</v>
      </c>
      <c r="AX77" s="18">
        <f>IF(ISERROR(SEARCH("Intolleranza",Tabella1[[#This Row],[Diabete]],1)),0,1)</f>
        <v>0</v>
      </c>
      <c r="AY77" s="18">
        <f>IF(ISERROR(SEARCH("si",Tabella1[[#This Row],[Diabete]],1)),0,1)</f>
        <v>0</v>
      </c>
      <c r="AZ77" s="11" t="s">
        <v>8</v>
      </c>
      <c r="BA77" s="18">
        <f>IF(ISERROR(SEARCH("NDD",Tabella1[[#This Row],[Patologia Tiroidea]],1)),0,1)</f>
        <v>0</v>
      </c>
      <c r="BB77" s="18">
        <f>IF(ISERROR(SEARCH("TIROIDITE",Tabella1[[#This Row],[Patologia Tiroidea]],1)),0,1)</f>
        <v>0</v>
      </c>
      <c r="BC77" s="18">
        <f>IF(ISERROR(SEARCH("HASHIMOTO",Tabella1[[#This Row],[Patologia Tiroidea]],1)),0,1)</f>
        <v>0</v>
      </c>
      <c r="BD77" s="18">
        <f>IF(ISERROR(SEARCH("BASEDOW",Tabella1[[#This Row],[Patologia Tiroidea]],1)),0,1)</f>
        <v>0</v>
      </c>
      <c r="BE77" s="18">
        <f>IF(ISERROR(SEARCH("NOD",Tabella1[[#This Row],[Patologia Tiroidea]],1)),0,1)</f>
        <v>0</v>
      </c>
      <c r="BF77" s="18">
        <f>IF(ISERROR(SEARCH("GOZ",Tabella1[[#This Row],[Patologia Tiroidea]],1)),0,1)</f>
        <v>0</v>
      </c>
      <c r="BG77" s="11" t="s">
        <v>47</v>
      </c>
      <c r="BH77" s="18">
        <f>IF(Tabella1[[#This Row],[Obesità]]="no",0,1)</f>
        <v>1</v>
      </c>
      <c r="BI77" s="11" t="s">
        <v>28</v>
      </c>
      <c r="BJ77" s="22">
        <f>IF(ISERROR(SEARCH("nega",Tabella1[[#This Row],[Reflusso gastroesofageo]],1)),1,0)</f>
        <v>1</v>
      </c>
      <c r="BK77" s="11" t="s">
        <v>1063</v>
      </c>
      <c r="BL77" s="18">
        <f>IF(ISERROR(SEARCH("NDD",Tabella1[[#This Row],[Patologia respiratoria]],1)),0,1)</f>
        <v>0</v>
      </c>
      <c r="BM77" s="18">
        <f>IF(ISERROR(SEARCH("asma",Tabella1[[#This Row],[Patologia respiratoria]],1)),0,1)</f>
        <v>0</v>
      </c>
      <c r="BN77" s="18">
        <f>IF(ISERROR(SEARCH("BPCO",Tabella1[[#This Row],[Patologia respiratoria]],1)),0,1)</f>
        <v>1</v>
      </c>
      <c r="BO77" s="18">
        <f>IF(ISERROR(SEARCH("BRONCOPOLMONITE",Tabella1[[#This Row],[Patologia respiratoria]],1)),0,1)</f>
        <v>0</v>
      </c>
      <c r="BP77" s="18">
        <f>IF(ISERROR(SEARCH("ASMA, OSAS",Tabella1[[#This Row],[Patologia respiratoria]],1)),0,1)</f>
        <v>0</v>
      </c>
      <c r="BQ77" s="18">
        <f>IF(ISERROR(SEARCH("OSAS e BPCO",Tabella1[[#This Row],[Patologia respiratoria]],1)),0,1)</f>
        <v>0</v>
      </c>
      <c r="BR77" s="18">
        <f>IF(ISERROR(SEARCH("OSAS",Tabella1[[#This Row],[Patologia respiratoria]],1)),0,1)</f>
        <v>0</v>
      </c>
      <c r="BS77" s="11" t="s">
        <v>1064</v>
      </c>
      <c r="BT77" s="11"/>
      <c r="BU77" s="11" t="s">
        <v>1065</v>
      </c>
      <c r="BV77" s="18">
        <f>IF(ISERROR(SEARCH("ndd",Tabella1[[#This Row],[O2 terapia]],1)),0,1)</f>
        <v>0</v>
      </c>
      <c r="BW77" s="22">
        <v>1</v>
      </c>
      <c r="BX77" s="11"/>
      <c r="BY77" s="11" t="s">
        <v>1066</v>
      </c>
      <c r="BZ77" s="17">
        <v>1</v>
      </c>
      <c r="CA77" s="11" t="s">
        <v>8</v>
      </c>
      <c r="CB77" s="17">
        <v>0</v>
      </c>
      <c r="CC77" s="11" t="s">
        <v>974</v>
      </c>
      <c r="CD77" s="17">
        <v>1</v>
      </c>
      <c r="CE77" s="11" t="s">
        <v>8</v>
      </c>
      <c r="CF77" s="18">
        <v>0</v>
      </c>
      <c r="CG77" s="11" t="s">
        <v>8</v>
      </c>
      <c r="CH77" s="17">
        <v>0</v>
      </c>
      <c r="CI77" s="11" t="s">
        <v>8</v>
      </c>
      <c r="CJ77" s="18">
        <v>0</v>
      </c>
      <c r="CK77" s="11" t="s">
        <v>1067</v>
      </c>
      <c r="CL77" s="17">
        <v>1</v>
      </c>
      <c r="CM77" s="11" t="s">
        <v>8</v>
      </c>
      <c r="CN77" s="17">
        <v>0</v>
      </c>
      <c r="CO77" s="11" t="s">
        <v>8</v>
      </c>
      <c r="CP77" s="18">
        <v>0</v>
      </c>
      <c r="CQ77" s="11" t="s">
        <v>368</v>
      </c>
      <c r="CR77" s="11" t="s">
        <v>279</v>
      </c>
      <c r="CS77" s="11" t="s">
        <v>1068</v>
      </c>
      <c r="CT77" s="11" t="s">
        <v>184</v>
      </c>
      <c r="CU77" s="11" t="s">
        <v>1069</v>
      </c>
      <c r="CV77" s="12" t="s">
        <v>1070</v>
      </c>
    </row>
    <row r="78" spans="1:100" ht="128.25">
      <c r="A78" s="1">
        <f t="shared" si="1"/>
        <v>77</v>
      </c>
      <c r="B78" s="5">
        <v>608</v>
      </c>
      <c r="C78" s="6">
        <v>44859</v>
      </c>
      <c r="D78" s="7" t="s">
        <v>1071</v>
      </c>
      <c r="E78" s="6">
        <v>22662</v>
      </c>
      <c r="F78" s="29">
        <f ca="1">_xlfn.DAYS(NOW(),Tabella1[[#This Row],[Data di Nascita]])/365.25</f>
        <v>63.548254620123203</v>
      </c>
      <c r="G78" s="7" t="s">
        <v>1072</v>
      </c>
      <c r="H78" s="7" t="s">
        <v>1073</v>
      </c>
      <c r="I78" s="7" t="s">
        <v>955</v>
      </c>
      <c r="J78" s="7" t="s">
        <v>618</v>
      </c>
      <c r="K78" s="7" t="s">
        <v>297</v>
      </c>
      <c r="L78" s="17">
        <f>IF(ISERROR(SEARCH("EX",Tabella1[[#This Row],[Attività lavorativa]],1)),0,1)</f>
        <v>0</v>
      </c>
      <c r="M78" s="17"/>
      <c r="N78" s="17"/>
      <c r="O78" s="17"/>
      <c r="P78" s="17"/>
      <c r="Q78" s="17"/>
      <c r="R78" s="17"/>
      <c r="S78" s="17"/>
      <c r="T78" s="17">
        <f>IF(ISERROR(SEARCH("NDD",Tabella1[[#This Row],[Attività lavorativa]],1)),0,1)</f>
        <v>0</v>
      </c>
      <c r="U78" s="7" t="s">
        <v>1074</v>
      </c>
      <c r="V78" s="22"/>
      <c r="W78" s="22">
        <f>IF(ISERROR(SEARCH("ex",Tabella1[[#This Row],[Fumo]],1)),0,1)</f>
        <v>1</v>
      </c>
      <c r="X78" s="22">
        <f>IF(ISERROR(SEARCH("no",Tabella1[[#This Row],[Fumo]],1)),0,1)</f>
        <v>0</v>
      </c>
      <c r="Y78" s="7" t="s">
        <v>25</v>
      </c>
      <c r="Z78" s="17">
        <f>IF(ISERROR(SEARCH("NDD",Tabella1[[#This Row],[Bevitore alcolici]],1)),0,1)</f>
        <v>0</v>
      </c>
      <c r="AA78" s="17">
        <f>IF(ISERROR(SEARCH("raro",Tabella1[[#This Row],[Bevitore alcolici]],1)),0,1)</f>
        <v>0</v>
      </c>
      <c r="AB78" s="17">
        <f>IF(ISERROR(SEARCH("saltuariamente",Tabella1[[#This Row],[Bevitore alcolici]],1)),0,1)</f>
        <v>0</v>
      </c>
      <c r="AC78" s="17">
        <f>IF(ISERROR(SEARCH("nega",Tabella1[[#This Row],[Bevitore alcolici]],1)),0,1)</f>
        <v>1</v>
      </c>
      <c r="AD78" s="17">
        <f>IF(ISERROR(SEARCH("potus",Tabella1[[#This Row],[Bevitore alcolici]],1)),0,1)</f>
        <v>0</v>
      </c>
      <c r="AE78" s="7" t="s">
        <v>657</v>
      </c>
      <c r="AF78" s="17"/>
      <c r="AG78" s="17"/>
      <c r="AH78" s="17"/>
      <c r="AI78" s="17"/>
      <c r="AJ78" s="17"/>
      <c r="AK78" s="7" t="s">
        <v>28</v>
      </c>
      <c r="AL78" s="17">
        <f>IF(ISERROR(SEARCH("si",Tabella1[[#This Row],[Patente di guida]],1)),0,1)</f>
        <v>1</v>
      </c>
      <c r="AM78" s="7" t="s">
        <v>8</v>
      </c>
      <c r="AN78" s="17">
        <f>IF(ISERROR(SEARCH("no",Tabella1[[#This Row],[Ipertensione]],1)),0,1)</f>
        <v>1</v>
      </c>
      <c r="AO78" s="7" t="s">
        <v>382</v>
      </c>
      <c r="AP78" s="18">
        <f>IF(ISERROR(SEARCH("NO",Tabella1[[#This Row],[Cardiopatia ischemica]],1)),1,0)</f>
        <v>0</v>
      </c>
      <c r="AQ78" s="17">
        <f>IF(ISERROR(SEARCH("sconosciuto",Tabella1[[#This Row],[Cardiopatia ischemica]],1)),0,1)</f>
        <v>0</v>
      </c>
      <c r="AR78" s="7" t="s">
        <v>25</v>
      </c>
      <c r="AS78" s="22">
        <f>IF(ISERROR(SEARCH("nega",Tabella1[[#This Row],[Artimie]],1)),0,1)</f>
        <v>1</v>
      </c>
      <c r="AT78" s="7" t="s">
        <v>25</v>
      </c>
      <c r="AU78" s="22">
        <f>IF(ISERROR(SEARCH("nega",Tabella1[[#This Row],[Ipercolesterolemia]],1)),0,1)</f>
        <v>1</v>
      </c>
      <c r="AV78" s="22">
        <f>IF(ISERROR(SEARCH("boh",Tabella1[[#This Row],[Ipercolesterolemia]],1)),0,1)</f>
        <v>0</v>
      </c>
      <c r="AW78" s="7" t="s">
        <v>8</v>
      </c>
      <c r="AX78" s="22">
        <f>IF(ISERROR(SEARCH("Intolleranza",Tabella1[[#This Row],[Diabete]],1)),0,1)</f>
        <v>0</v>
      </c>
      <c r="AY78" s="22">
        <f>IF(ISERROR(SEARCH("si",Tabella1[[#This Row],[Diabete]],1)),0,1)</f>
        <v>0</v>
      </c>
      <c r="AZ78" s="7" t="s">
        <v>8</v>
      </c>
      <c r="BA78" s="17">
        <f>IF(ISERROR(SEARCH("NDD",Tabella1[[#This Row],[Patologia Tiroidea]],1)),0,1)</f>
        <v>0</v>
      </c>
      <c r="BB78" s="22">
        <f>IF(ISERROR(SEARCH("TIROIDITE",Tabella1[[#This Row],[Patologia Tiroidea]],1)),0,1)</f>
        <v>0</v>
      </c>
      <c r="BC78" s="22">
        <f>IF(ISERROR(SEARCH("HASHIMOTO",Tabella1[[#This Row],[Patologia Tiroidea]],1)),0,1)</f>
        <v>0</v>
      </c>
      <c r="BD78" s="22">
        <f>IF(ISERROR(SEARCH("BASEDOW",Tabella1[[#This Row],[Patologia Tiroidea]],1)),0,1)</f>
        <v>0</v>
      </c>
      <c r="BE78" s="22">
        <f>IF(ISERROR(SEARCH("NOD",Tabella1[[#This Row],[Patologia Tiroidea]],1)),0,1)</f>
        <v>0</v>
      </c>
      <c r="BF78" s="22">
        <f>IF(ISERROR(SEARCH("GOZ",Tabella1[[#This Row],[Patologia Tiroidea]],1)),0,1)</f>
        <v>0</v>
      </c>
      <c r="BG78" s="7" t="s">
        <v>8</v>
      </c>
      <c r="BH78" s="17">
        <f>IF(Tabella1[[#This Row],[Obesità]]="no",0,1)</f>
        <v>0</v>
      </c>
      <c r="BI78" s="7" t="s">
        <v>25</v>
      </c>
      <c r="BJ78" s="22">
        <f>IF(ISERROR(SEARCH("nega",Tabella1[[#This Row],[Reflusso gastroesofageo]],1)),1,0)</f>
        <v>0</v>
      </c>
      <c r="BK78" s="7" t="s">
        <v>8</v>
      </c>
      <c r="BL78" s="17">
        <f>IF(ISERROR(SEARCH("NDD",Tabella1[[#This Row],[Patologia respiratoria]],1)),0,1)</f>
        <v>0</v>
      </c>
      <c r="BM78" s="17">
        <f>IF(ISERROR(SEARCH("asma",Tabella1[[#This Row],[Patologia respiratoria]],1)),0,1)</f>
        <v>0</v>
      </c>
      <c r="BN78" s="17">
        <f>IF(ISERROR(SEARCH("BPCO",Tabella1[[#This Row],[Patologia respiratoria]],1)),0,1)</f>
        <v>0</v>
      </c>
      <c r="BO78" s="17">
        <f>IF(ISERROR(SEARCH("BRONCOPOLMONITE",Tabella1[[#This Row],[Patologia respiratoria]],1)),0,1)</f>
        <v>0</v>
      </c>
      <c r="BP78" s="17">
        <f>IF(ISERROR(SEARCH("ASMA, OSAS",Tabella1[[#This Row],[Patologia respiratoria]],1)),0,1)</f>
        <v>0</v>
      </c>
      <c r="BQ78" s="17">
        <f>IF(ISERROR(SEARCH("OSAS e BPCO",Tabella1[[#This Row],[Patologia respiratoria]],1)),0,1)</f>
        <v>0</v>
      </c>
      <c r="BR78" s="17">
        <f>IF(ISERROR(SEARCH("OSAS",Tabella1[[#This Row],[Patologia respiratoria]],1)),0,1)</f>
        <v>0</v>
      </c>
      <c r="BS78" s="7" t="s">
        <v>8</v>
      </c>
      <c r="BT78" s="7"/>
      <c r="BU78" s="7" t="s">
        <v>8</v>
      </c>
      <c r="BV78" s="17">
        <f>IF(ISERROR(SEARCH("ndd",Tabella1[[#This Row],[O2 terapia]],1)),0,1)</f>
        <v>0</v>
      </c>
      <c r="BW78" s="17">
        <v>0</v>
      </c>
      <c r="BX78" s="7"/>
      <c r="BY78" s="7" t="s">
        <v>8</v>
      </c>
      <c r="BZ78" s="18">
        <v>0</v>
      </c>
      <c r="CA78" s="7" t="s">
        <v>8</v>
      </c>
      <c r="CB78" s="17">
        <v>0</v>
      </c>
      <c r="CC78" s="7" t="s">
        <v>1075</v>
      </c>
      <c r="CD78" s="17">
        <v>1</v>
      </c>
      <c r="CE78" s="7" t="s">
        <v>8</v>
      </c>
      <c r="CF78" s="18">
        <v>0</v>
      </c>
      <c r="CG78" s="7" t="s">
        <v>8</v>
      </c>
      <c r="CH78" s="17">
        <v>0</v>
      </c>
      <c r="CI78" s="7" t="s">
        <v>8</v>
      </c>
      <c r="CJ78" s="18">
        <v>0</v>
      </c>
      <c r="CK78" s="7" t="s">
        <v>1051</v>
      </c>
      <c r="CL78" s="17">
        <v>1</v>
      </c>
      <c r="CM78" s="7" t="s">
        <v>8</v>
      </c>
      <c r="CN78" s="17">
        <v>0</v>
      </c>
      <c r="CO78" s="7" t="s">
        <v>8</v>
      </c>
      <c r="CP78" s="18">
        <v>0</v>
      </c>
      <c r="CQ78" s="7" t="s">
        <v>368</v>
      </c>
      <c r="CR78" s="7" t="s">
        <v>70</v>
      </c>
      <c r="CS78" s="7" t="s">
        <v>355</v>
      </c>
      <c r="CT78" s="7" t="s">
        <v>122</v>
      </c>
      <c r="CU78" s="7" t="s">
        <v>1076</v>
      </c>
      <c r="CV78" s="8" t="s">
        <v>1008</v>
      </c>
    </row>
    <row r="79" spans="1:100" ht="142.5">
      <c r="A79" s="1">
        <f t="shared" si="1"/>
        <v>78</v>
      </c>
      <c r="B79" s="9">
        <v>609</v>
      </c>
      <c r="C79" s="10">
        <v>44859</v>
      </c>
      <c r="D79" s="11" t="s">
        <v>1077</v>
      </c>
      <c r="E79" s="10">
        <v>17177</v>
      </c>
      <c r="F79" s="29">
        <f ca="1">_xlfn.DAYS(NOW(),Tabella1[[#This Row],[Data di Nascita]])/365.25</f>
        <v>78.565366187542779</v>
      </c>
      <c r="G79" s="11" t="s">
        <v>1078</v>
      </c>
      <c r="H79" s="11" t="s">
        <v>1079</v>
      </c>
      <c r="I79" s="11" t="s">
        <v>1080</v>
      </c>
      <c r="J79" s="11" t="s">
        <v>1081</v>
      </c>
      <c r="K79" s="11" t="s">
        <v>1082</v>
      </c>
      <c r="L79" s="18">
        <v>1</v>
      </c>
      <c r="M79" s="18"/>
      <c r="N79" s="18"/>
      <c r="O79" s="18"/>
      <c r="P79" s="18"/>
      <c r="Q79" s="18"/>
      <c r="R79" s="18"/>
      <c r="S79" s="18"/>
      <c r="T79" s="17">
        <f>IF(ISERROR(SEARCH("NDD",Tabella1[[#This Row],[Attività lavorativa]],1)),0,1)</f>
        <v>0</v>
      </c>
      <c r="U79" s="11" t="s">
        <v>1083</v>
      </c>
      <c r="V79" s="22">
        <v>60</v>
      </c>
      <c r="W79" s="22">
        <f>IF(ISERROR(SEARCH("ex",Tabella1[[#This Row],[Fumo]],1)),0,1)</f>
        <v>0</v>
      </c>
      <c r="X79" s="22">
        <f>IF(ISERROR(SEARCH("no",Tabella1[[#This Row],[Fumo]],1)),0,1)</f>
        <v>0</v>
      </c>
      <c r="Y79" s="11" t="s">
        <v>25</v>
      </c>
      <c r="Z79" s="18">
        <f>IF(ISERROR(SEARCH("NDD",Tabella1[[#This Row],[Bevitore alcolici]],1)),0,1)</f>
        <v>0</v>
      </c>
      <c r="AA79" s="17">
        <f>IF(ISERROR(SEARCH("raro",Tabella1[[#This Row],[Bevitore alcolici]],1)),0,1)</f>
        <v>0</v>
      </c>
      <c r="AB79" s="17">
        <f>IF(ISERROR(SEARCH("saltuariamente",Tabella1[[#This Row],[Bevitore alcolici]],1)),0,1)</f>
        <v>0</v>
      </c>
      <c r="AC79" s="17">
        <f>IF(ISERROR(SEARCH("nega",Tabella1[[#This Row],[Bevitore alcolici]],1)),0,1)</f>
        <v>1</v>
      </c>
      <c r="AD79" s="17">
        <f>IF(ISERROR(SEARCH("potus",Tabella1[[#This Row],[Bevitore alcolici]],1)),0,1)</f>
        <v>0</v>
      </c>
      <c r="AE79" s="11" t="s">
        <v>657</v>
      </c>
      <c r="AF79" s="18"/>
      <c r="AG79" s="18"/>
      <c r="AH79" s="18"/>
      <c r="AI79" s="18"/>
      <c r="AJ79" s="18"/>
      <c r="AK79" s="11" t="s">
        <v>195</v>
      </c>
      <c r="AL79" s="18">
        <f>IF(ISERROR(SEARCH("si",Tabella1[[#This Row],[Patente di guida]],1)),0,1)</f>
        <v>0</v>
      </c>
      <c r="AM79" s="11" t="s">
        <v>28</v>
      </c>
      <c r="AN79" s="18">
        <f>IF(ISERROR(SEARCH("no",Tabella1[[#This Row],[Ipertensione]],1)),0,1)</f>
        <v>0</v>
      </c>
      <c r="AO79" s="11" t="s">
        <v>3730</v>
      </c>
      <c r="AP79" s="18">
        <f>IF(ISERROR(SEARCH("NO",Tabella1[[#This Row],[Cardiopatia ischemica]],1)),1,0)</f>
        <v>0</v>
      </c>
      <c r="AQ79" s="17">
        <f>IF(ISERROR(SEARCH("sconosciuto",Tabella1[[#This Row],[Cardiopatia ischemica]],1)),0,1)</f>
        <v>0</v>
      </c>
      <c r="AR79" s="11" t="s">
        <v>859</v>
      </c>
      <c r="AS79" s="22">
        <f>IF(ISERROR(SEARCH("nega",Tabella1[[#This Row],[Artimie]],1)),0,1)</f>
        <v>0</v>
      </c>
      <c r="AT79" s="11" t="s">
        <v>28</v>
      </c>
      <c r="AU79" s="22">
        <f>IF(ISERROR(SEARCH("nega",Tabella1[[#This Row],[Ipercolesterolemia]],1)),0,1)</f>
        <v>0</v>
      </c>
      <c r="AV79" s="22">
        <f>IF(ISERROR(SEARCH("boh",Tabella1[[#This Row],[Ipercolesterolemia]],1)),0,1)</f>
        <v>0</v>
      </c>
      <c r="AW79" s="11" t="s">
        <v>1084</v>
      </c>
      <c r="AX79" s="22">
        <f>IF(ISERROR(SEARCH("Intolleranza",Tabella1[[#This Row],[Diabete]],1)),0,1)</f>
        <v>0</v>
      </c>
      <c r="AY79" s="22">
        <f>IF(ISERROR(SEARCH("si",Tabella1[[#This Row],[Diabete]],1)),0,1)</f>
        <v>0</v>
      </c>
      <c r="AZ79" s="7" t="s">
        <v>5477</v>
      </c>
      <c r="BA79" s="17">
        <f>IF(ISERROR(SEARCH("NDD",Tabella1[[#This Row],[Patologia Tiroidea]],1)),0,1)</f>
        <v>1</v>
      </c>
      <c r="BB79" s="22">
        <f>IF(ISERROR(SEARCH("TIROIDITE",Tabella1[[#This Row],[Patologia Tiroidea]],1)),0,1)</f>
        <v>0</v>
      </c>
      <c r="BC79" s="22">
        <f>IF(ISERROR(SEARCH("HASHIMOTO",Tabella1[[#This Row],[Patologia Tiroidea]],1)),0,1)</f>
        <v>0</v>
      </c>
      <c r="BD79" s="22">
        <f>IF(ISERROR(SEARCH("BASEDOW",Tabella1[[#This Row],[Patologia Tiroidea]],1)),0,1)</f>
        <v>0</v>
      </c>
      <c r="BE79" s="22">
        <f>IF(ISERROR(SEARCH("NOD",Tabella1[[#This Row],[Patologia Tiroidea]],1)),0,1)</f>
        <v>0</v>
      </c>
      <c r="BF79" s="22">
        <f>IF(ISERROR(SEARCH("GOZ",Tabella1[[#This Row],[Patologia Tiroidea]],1)),0,1)</f>
        <v>0</v>
      </c>
      <c r="BG79" s="11" t="s">
        <v>194</v>
      </c>
      <c r="BH79" s="18">
        <f>IF(Tabella1[[#This Row],[Obesità]]="no",0,1)</f>
        <v>1</v>
      </c>
      <c r="BI79" s="11" t="s">
        <v>25</v>
      </c>
      <c r="BJ79" s="22">
        <f>IF(ISERROR(SEARCH("nega",Tabella1[[#This Row],[Reflusso gastroesofageo]],1)),1,0)</f>
        <v>0</v>
      </c>
      <c r="BK79" s="11" t="s">
        <v>5477</v>
      </c>
      <c r="BL79" s="18">
        <f>IF(ISERROR(SEARCH("NDD",Tabella1[[#This Row],[Patologia respiratoria]],1)),0,1)</f>
        <v>1</v>
      </c>
      <c r="BM79" s="18">
        <f>IF(ISERROR(SEARCH("asma",Tabella1[[#This Row],[Patologia respiratoria]],1)),0,1)</f>
        <v>0</v>
      </c>
      <c r="BN79" s="18">
        <f>IF(ISERROR(SEARCH("BPCO",Tabella1[[#This Row],[Patologia respiratoria]],1)),0,1)</f>
        <v>0</v>
      </c>
      <c r="BO79" s="18">
        <f>IF(ISERROR(SEARCH("BRONCOPOLMONITE",Tabella1[[#This Row],[Patologia respiratoria]],1)),0,1)</f>
        <v>0</v>
      </c>
      <c r="BP79" s="18">
        <f>IF(ISERROR(SEARCH("ASMA, OSAS",Tabella1[[#This Row],[Patologia respiratoria]],1)),0,1)</f>
        <v>0</v>
      </c>
      <c r="BQ79" s="18">
        <f>IF(ISERROR(SEARCH("OSAS e BPCO",Tabella1[[#This Row],[Patologia respiratoria]],1)),0,1)</f>
        <v>0</v>
      </c>
      <c r="BR79" s="18">
        <f>IF(ISERROR(SEARCH("OSAS",Tabella1[[#This Row],[Patologia respiratoria]],1)),0,1)</f>
        <v>0</v>
      </c>
      <c r="BS79" s="11"/>
      <c r="BT79" s="11" t="s">
        <v>1085</v>
      </c>
      <c r="BU79" s="11" t="s">
        <v>195</v>
      </c>
      <c r="BV79" s="18">
        <f>IF(ISERROR(SEARCH("ndd",Tabella1[[#This Row],[O2 terapia]],1)),0,1)</f>
        <v>0</v>
      </c>
      <c r="BW79" s="17">
        <v>0</v>
      </c>
      <c r="BX79" s="11"/>
      <c r="BY79" s="11" t="s">
        <v>1086</v>
      </c>
      <c r="BZ79" s="17">
        <v>1</v>
      </c>
      <c r="CA79" s="11" t="s">
        <v>194</v>
      </c>
      <c r="CB79" s="17">
        <v>1</v>
      </c>
      <c r="CC79" s="11" t="s">
        <v>194</v>
      </c>
      <c r="CD79" s="17">
        <v>1</v>
      </c>
      <c r="CE79" s="11" t="s">
        <v>195</v>
      </c>
      <c r="CF79" s="18">
        <v>0</v>
      </c>
      <c r="CG79" s="7" t="s">
        <v>5477</v>
      </c>
      <c r="CH79" s="18"/>
      <c r="CI79" s="7" t="s">
        <v>5477</v>
      </c>
      <c r="CJ79" s="18"/>
      <c r="CK79" s="11" t="s">
        <v>194</v>
      </c>
      <c r="CL79" s="17">
        <v>1</v>
      </c>
      <c r="CM79" s="11" t="s">
        <v>28</v>
      </c>
      <c r="CN79" s="17">
        <v>1</v>
      </c>
      <c r="CO79" s="11" t="s">
        <v>194</v>
      </c>
      <c r="CP79" s="17">
        <v>1</v>
      </c>
      <c r="CQ79" s="11" t="s">
        <v>152</v>
      </c>
      <c r="CR79" s="11" t="s">
        <v>279</v>
      </c>
      <c r="CS79" s="11" t="s">
        <v>86</v>
      </c>
      <c r="CT79" s="11" t="s">
        <v>1087</v>
      </c>
      <c r="CU79" s="11" t="s">
        <v>1088</v>
      </c>
      <c r="CV79" s="12" t="s">
        <v>1089</v>
      </c>
    </row>
    <row r="80" spans="1:100" ht="327.75">
      <c r="A80" s="1">
        <f t="shared" si="1"/>
        <v>79</v>
      </c>
      <c r="B80" s="5">
        <v>610</v>
      </c>
      <c r="C80" s="6">
        <v>44859</v>
      </c>
      <c r="D80" s="7" t="s">
        <v>1090</v>
      </c>
      <c r="E80" s="6">
        <v>28240</v>
      </c>
      <c r="F80" s="29">
        <f ca="1">_xlfn.DAYS(NOW(),Tabella1[[#This Row],[Data di Nascita]])/365.25</f>
        <v>48.276522929500345</v>
      </c>
      <c r="G80" s="7" t="s">
        <v>1091</v>
      </c>
      <c r="H80" s="7" t="s">
        <v>1092</v>
      </c>
      <c r="I80" s="7" t="s">
        <v>1093</v>
      </c>
      <c r="J80" s="7" t="s">
        <v>1081</v>
      </c>
      <c r="K80" s="7" t="s">
        <v>1094</v>
      </c>
      <c r="L80" s="17">
        <f>IF(ISERROR(SEARCH("EX",Tabella1[[#This Row],[Attività lavorativa]],1)),0,1)</f>
        <v>0</v>
      </c>
      <c r="M80" s="18">
        <v>1</v>
      </c>
      <c r="N80" s="17"/>
      <c r="O80" s="17"/>
      <c r="P80" s="17"/>
      <c r="Q80" s="17"/>
      <c r="R80" s="17"/>
      <c r="S80" s="17"/>
      <c r="T80" s="17">
        <f>IF(ISERROR(SEARCH("NDD",Tabella1[[#This Row],[Attività lavorativa]],1)),0,1)</f>
        <v>0</v>
      </c>
      <c r="U80" s="7" t="s">
        <v>1095</v>
      </c>
      <c r="V80" s="22"/>
      <c r="W80" s="22">
        <f>IF(ISERROR(SEARCH("ex",Tabella1[[#This Row],[Fumo]],1)),0,1)</f>
        <v>0</v>
      </c>
      <c r="X80" s="22">
        <f>IF(ISERROR(SEARCH("no",Tabella1[[#This Row],[Fumo]],1)),0,1)</f>
        <v>0</v>
      </c>
      <c r="Y80" s="7" t="s">
        <v>25</v>
      </c>
      <c r="Z80" s="17">
        <f>IF(ISERROR(SEARCH("NDD",Tabella1[[#This Row],[Bevitore alcolici]],1)),0,1)</f>
        <v>0</v>
      </c>
      <c r="AA80" s="17">
        <f>IF(ISERROR(SEARCH("raro",Tabella1[[#This Row],[Bevitore alcolici]],1)),0,1)</f>
        <v>0</v>
      </c>
      <c r="AB80" s="17">
        <f>IF(ISERROR(SEARCH("saltuariamente",Tabella1[[#This Row],[Bevitore alcolici]],1)),0,1)</f>
        <v>0</v>
      </c>
      <c r="AC80" s="17">
        <f>IF(ISERROR(SEARCH("nega",Tabella1[[#This Row],[Bevitore alcolici]],1)),0,1)</f>
        <v>1</v>
      </c>
      <c r="AD80" s="17">
        <f>IF(ISERROR(SEARCH("potus",Tabella1[[#This Row],[Bevitore alcolici]],1)),0,1)</f>
        <v>0</v>
      </c>
      <c r="AE80" s="7" t="s">
        <v>657</v>
      </c>
      <c r="AF80" s="17"/>
      <c r="AG80" s="17"/>
      <c r="AH80" s="17"/>
      <c r="AI80" s="17"/>
      <c r="AJ80" s="17"/>
      <c r="AK80" s="7" t="s">
        <v>195</v>
      </c>
      <c r="AL80" s="17">
        <f>IF(ISERROR(SEARCH("si",Tabella1[[#This Row],[Patente di guida]],1)),0,1)</f>
        <v>0</v>
      </c>
      <c r="AM80" s="7" t="s">
        <v>8</v>
      </c>
      <c r="AN80" s="17">
        <f>IF(ISERROR(SEARCH("no",Tabella1[[#This Row],[Ipertensione]],1)),0,1)</f>
        <v>1</v>
      </c>
      <c r="AO80" s="7" t="s">
        <v>3731</v>
      </c>
      <c r="AP80" s="18">
        <f>IF(ISERROR(SEARCH("NO",Tabella1[[#This Row],[Cardiopatia ischemica]],1)),1,0)</f>
        <v>0</v>
      </c>
      <c r="AQ80" s="17">
        <f>IF(ISERROR(SEARCH("sconosciuto",Tabella1[[#This Row],[Cardiopatia ischemica]],1)),0,1)</f>
        <v>0</v>
      </c>
      <c r="AR80" s="7" t="s">
        <v>3755</v>
      </c>
      <c r="AS80" s="22">
        <f>IF(ISERROR(SEARCH("nega",Tabella1[[#This Row],[Artimie]],1)),0,1)</f>
        <v>0</v>
      </c>
      <c r="AT80" s="7" t="s">
        <v>194</v>
      </c>
      <c r="AU80" s="22">
        <f>IF(ISERROR(SEARCH("nega",Tabella1[[#This Row],[Ipercolesterolemia]],1)),0,1)</f>
        <v>0</v>
      </c>
      <c r="AV80" s="22">
        <f>IF(ISERROR(SEARCH("boh",Tabella1[[#This Row],[Ipercolesterolemia]],1)),0,1)</f>
        <v>0</v>
      </c>
      <c r="AW80" s="7" t="s">
        <v>195</v>
      </c>
      <c r="AX80" s="22">
        <f>IF(ISERROR(SEARCH("Intolleranza",Tabella1[[#This Row],[Diabete]],1)),0,1)</f>
        <v>0</v>
      </c>
      <c r="AY80" s="22">
        <f>IF(ISERROR(SEARCH("si",Tabella1[[#This Row],[Diabete]],1)),0,1)</f>
        <v>0</v>
      </c>
      <c r="AZ80" s="7" t="s">
        <v>5477</v>
      </c>
      <c r="BA80" s="17">
        <f>IF(ISERROR(SEARCH("NDD",Tabella1[[#This Row],[Patologia Tiroidea]],1)),0,1)</f>
        <v>1</v>
      </c>
      <c r="BB80" s="22">
        <f>IF(ISERROR(SEARCH("TIROIDITE",Tabella1[[#This Row],[Patologia Tiroidea]],1)),0,1)</f>
        <v>0</v>
      </c>
      <c r="BC80" s="22">
        <f>IF(ISERROR(SEARCH("HASHIMOTO",Tabella1[[#This Row],[Patologia Tiroidea]],1)),0,1)</f>
        <v>0</v>
      </c>
      <c r="BD80" s="22">
        <f>IF(ISERROR(SEARCH("BASEDOW",Tabella1[[#This Row],[Patologia Tiroidea]],1)),0,1)</f>
        <v>0</v>
      </c>
      <c r="BE80" s="22">
        <f>IF(ISERROR(SEARCH("NOD",Tabella1[[#This Row],[Patologia Tiroidea]],1)),0,1)</f>
        <v>0</v>
      </c>
      <c r="BF80" s="22">
        <f>IF(ISERROR(SEARCH("GOZ",Tabella1[[#This Row],[Patologia Tiroidea]],1)),0,1)</f>
        <v>0</v>
      </c>
      <c r="BG80" s="7" t="s">
        <v>1096</v>
      </c>
      <c r="BH80" s="17">
        <f>IF(Tabella1[[#This Row],[Obesità]]="no",0,1)</f>
        <v>1</v>
      </c>
      <c r="BI80" s="7" t="s">
        <v>25</v>
      </c>
      <c r="BJ80" s="22">
        <f>IF(ISERROR(SEARCH("nega",Tabella1[[#This Row],[Reflusso gastroesofageo]],1)),1,0)</f>
        <v>0</v>
      </c>
      <c r="BK80" s="7" t="s">
        <v>1097</v>
      </c>
      <c r="BL80" s="17">
        <f>IF(ISERROR(SEARCH("NDD",Tabella1[[#This Row],[Patologia respiratoria]],1)),0,1)</f>
        <v>0</v>
      </c>
      <c r="BM80" s="17">
        <f>IF(ISERROR(SEARCH("asma",Tabella1[[#This Row],[Patologia respiratoria]],1)),0,1)</f>
        <v>0</v>
      </c>
      <c r="BN80" s="17">
        <f>IF(ISERROR(SEARCH("BPCO",Tabella1[[#This Row],[Patologia respiratoria]],1)),0,1)</f>
        <v>0</v>
      </c>
      <c r="BO80" s="17">
        <f>IF(ISERROR(SEARCH("BRONCOPOLMONITE",Tabella1[[#This Row],[Patologia respiratoria]],1)),0,1)</f>
        <v>0</v>
      </c>
      <c r="BP80" s="17">
        <f>IF(ISERROR(SEARCH("ASMA, OSAS",Tabella1[[#This Row],[Patologia respiratoria]],1)),0,1)</f>
        <v>0</v>
      </c>
      <c r="BQ80" s="17">
        <f>IF(ISERROR(SEARCH("OSAS e BPCO",Tabella1[[#This Row],[Patologia respiratoria]],1)),0,1)</f>
        <v>0</v>
      </c>
      <c r="BR80" s="17">
        <f>IF(ISERROR(SEARCH("OSAS",Tabella1[[#This Row],[Patologia respiratoria]],1)),0,1)</f>
        <v>1</v>
      </c>
      <c r="BS80" s="7" t="s">
        <v>1098</v>
      </c>
      <c r="BT80" s="7" t="s">
        <v>1099</v>
      </c>
      <c r="BU80" s="7" t="s">
        <v>1100</v>
      </c>
      <c r="BV80" s="17">
        <f>IF(ISERROR(SEARCH("ndd",Tabella1[[#This Row],[O2 terapia]],1)),0,1)</f>
        <v>0</v>
      </c>
      <c r="BW80" s="17">
        <v>0</v>
      </c>
      <c r="BX80" s="7"/>
      <c r="BY80" s="7" t="s">
        <v>1101</v>
      </c>
      <c r="BZ80" s="17">
        <v>1</v>
      </c>
      <c r="CA80" s="7" t="s">
        <v>194</v>
      </c>
      <c r="CB80" s="17">
        <v>1</v>
      </c>
      <c r="CC80" s="7" t="s">
        <v>5477</v>
      </c>
      <c r="CD80" s="17"/>
      <c r="CE80" s="11" t="s">
        <v>5705</v>
      </c>
      <c r="CF80" s="17">
        <v>1</v>
      </c>
      <c r="CG80" s="7" t="s">
        <v>5477</v>
      </c>
      <c r="CH80" s="17"/>
      <c r="CI80" s="7" t="s">
        <v>5477</v>
      </c>
      <c r="CJ80" s="17"/>
      <c r="CK80" s="7" t="s">
        <v>194</v>
      </c>
      <c r="CL80" s="17">
        <v>1</v>
      </c>
      <c r="CM80" s="7" t="s">
        <v>381</v>
      </c>
      <c r="CN80" s="17">
        <v>1</v>
      </c>
      <c r="CO80" s="7" t="s">
        <v>195</v>
      </c>
      <c r="CP80" s="18">
        <v>0</v>
      </c>
      <c r="CQ80" s="7" t="s">
        <v>103</v>
      </c>
      <c r="CR80" s="7" t="s">
        <v>38</v>
      </c>
      <c r="CS80" s="7" t="s">
        <v>963</v>
      </c>
      <c r="CT80" s="7" t="s">
        <v>1102</v>
      </c>
      <c r="CU80" s="7" t="s">
        <v>1103</v>
      </c>
      <c r="CV80" s="8" t="s">
        <v>1104</v>
      </c>
    </row>
    <row r="81" spans="1:100" ht="114">
      <c r="A81" s="1">
        <f t="shared" si="1"/>
        <v>80</v>
      </c>
      <c r="B81" s="9">
        <v>625</v>
      </c>
      <c r="C81" s="10">
        <v>44869</v>
      </c>
      <c r="D81" s="11" t="s">
        <v>1105</v>
      </c>
      <c r="E81" s="10">
        <v>22678</v>
      </c>
      <c r="F81" s="29">
        <f ca="1">_xlfn.DAYS(NOW(),Tabella1[[#This Row],[Data di Nascita]])/365.25</f>
        <v>63.504449007529089</v>
      </c>
      <c r="G81" s="11" t="s">
        <v>1106</v>
      </c>
      <c r="H81" s="11" t="s">
        <v>1107</v>
      </c>
      <c r="I81" s="11" t="s">
        <v>955</v>
      </c>
      <c r="J81" s="11" t="s">
        <v>1044</v>
      </c>
      <c r="K81" s="11" t="s">
        <v>1108</v>
      </c>
      <c r="L81" s="18">
        <f>IF(ISERROR(SEARCH("EX",Tabella1[[#This Row],[Attività lavorativa]],1)),0,1)</f>
        <v>0</v>
      </c>
      <c r="M81" s="18"/>
      <c r="N81" s="18"/>
      <c r="O81" s="18"/>
      <c r="P81" s="18"/>
      <c r="Q81" s="18"/>
      <c r="R81" s="18"/>
      <c r="S81" s="18"/>
      <c r="T81" s="17">
        <f>IF(ISERROR(SEARCH("NDD",Tabella1[[#This Row],[Attività lavorativa]],1)),0,1)</f>
        <v>0</v>
      </c>
      <c r="U81" s="11" t="s">
        <v>8</v>
      </c>
      <c r="V81" s="22"/>
      <c r="W81" s="22">
        <f>IF(ISERROR(SEARCH("ex",Tabella1[[#This Row],[Fumo]],1)),0,1)</f>
        <v>0</v>
      </c>
      <c r="X81" s="22">
        <f>IF(ISERROR(SEARCH("no",Tabella1[[#This Row],[Fumo]],1)),0,1)</f>
        <v>1</v>
      </c>
      <c r="Y81" s="11" t="s">
        <v>25</v>
      </c>
      <c r="Z81" s="18">
        <f>IF(ISERROR(SEARCH("NDD",Tabella1[[#This Row],[Bevitore alcolici]],1)),0,1)</f>
        <v>0</v>
      </c>
      <c r="AA81" s="17">
        <f>IF(ISERROR(SEARCH("raro",Tabella1[[#This Row],[Bevitore alcolici]],1)),0,1)</f>
        <v>0</v>
      </c>
      <c r="AB81" s="17">
        <f>IF(ISERROR(SEARCH("saltuariamente",Tabella1[[#This Row],[Bevitore alcolici]],1)),0,1)</f>
        <v>0</v>
      </c>
      <c r="AC81" s="17">
        <f>IF(ISERROR(SEARCH("nega",Tabella1[[#This Row],[Bevitore alcolici]],1)),0,1)</f>
        <v>1</v>
      </c>
      <c r="AD81" s="17">
        <f>IF(ISERROR(SEARCH("potus",Tabella1[[#This Row],[Bevitore alcolici]],1)),0,1)</f>
        <v>0</v>
      </c>
      <c r="AE81" s="11" t="s">
        <v>5477</v>
      </c>
      <c r="AF81" s="18">
        <v>1</v>
      </c>
      <c r="AG81" s="18"/>
      <c r="AH81" s="18"/>
      <c r="AI81" s="18"/>
      <c r="AJ81" s="18"/>
      <c r="AK81" s="11" t="s">
        <v>28</v>
      </c>
      <c r="AL81" s="18">
        <f>IF(ISERROR(SEARCH("si",Tabella1[[#This Row],[Patente di guida]],1)),0,1)</f>
        <v>1</v>
      </c>
      <c r="AM81" s="11" t="s">
        <v>8</v>
      </c>
      <c r="AN81" s="18">
        <f>IF(ISERROR(SEARCH("no",Tabella1[[#This Row],[Ipertensione]],1)),0,1)</f>
        <v>1</v>
      </c>
      <c r="AO81" s="11" t="s">
        <v>382</v>
      </c>
      <c r="AP81" s="18">
        <f>IF(ISERROR(SEARCH("NO",Tabella1[[#This Row],[Cardiopatia ischemica]],1)),1,0)</f>
        <v>0</v>
      </c>
      <c r="AQ81" s="17">
        <f>IF(ISERROR(SEARCH("sconosciuto",Tabella1[[#This Row],[Cardiopatia ischemica]],1)),0,1)</f>
        <v>0</v>
      </c>
      <c r="AR81" s="11" t="s">
        <v>25</v>
      </c>
      <c r="AS81" s="22">
        <f>IF(ISERROR(SEARCH("nega",Tabella1[[#This Row],[Artimie]],1)),0,1)</f>
        <v>1</v>
      </c>
      <c r="AT81" s="11" t="s">
        <v>28</v>
      </c>
      <c r="AU81" s="22">
        <f>IF(ISERROR(SEARCH("nega",Tabella1[[#This Row],[Ipercolesterolemia]],1)),0,1)</f>
        <v>0</v>
      </c>
      <c r="AV81" s="22">
        <f>IF(ISERROR(SEARCH("boh",Tabella1[[#This Row],[Ipercolesterolemia]],1)),0,1)</f>
        <v>0</v>
      </c>
      <c r="AW81" s="11" t="s">
        <v>8</v>
      </c>
      <c r="AX81" s="22">
        <f>IF(ISERROR(SEARCH("Intolleranza",Tabella1[[#This Row],[Diabete]],1)),0,1)</f>
        <v>0</v>
      </c>
      <c r="AY81" s="22">
        <f>IF(ISERROR(SEARCH("si",Tabella1[[#This Row],[Diabete]],1)),0,1)</f>
        <v>0</v>
      </c>
      <c r="AZ81" s="11" t="s">
        <v>8</v>
      </c>
      <c r="BA81" s="18">
        <f>IF(ISERROR(SEARCH("NDD",Tabella1[[#This Row],[Patologia Tiroidea]],1)),0,1)</f>
        <v>0</v>
      </c>
      <c r="BB81" s="22">
        <f>IF(ISERROR(SEARCH("TIROIDITE",Tabella1[[#This Row],[Patologia Tiroidea]],1)),0,1)</f>
        <v>0</v>
      </c>
      <c r="BC81" s="22">
        <f>IF(ISERROR(SEARCH("HASHIMOTO",Tabella1[[#This Row],[Patologia Tiroidea]],1)),0,1)</f>
        <v>0</v>
      </c>
      <c r="BD81" s="22">
        <f>IF(ISERROR(SEARCH("BASEDOW",Tabella1[[#This Row],[Patologia Tiroidea]],1)),0,1)</f>
        <v>0</v>
      </c>
      <c r="BE81" s="22">
        <f>IF(ISERROR(SEARCH("NOD",Tabella1[[#This Row],[Patologia Tiroidea]],1)),0,1)</f>
        <v>0</v>
      </c>
      <c r="BF81" s="22">
        <f>IF(ISERROR(SEARCH("GOZ",Tabella1[[#This Row],[Patologia Tiroidea]],1)),0,1)</f>
        <v>0</v>
      </c>
      <c r="BG81" s="11" t="s">
        <v>8</v>
      </c>
      <c r="BH81" s="18">
        <f>IF(Tabella1[[#This Row],[Obesità]]="no",0,1)</f>
        <v>0</v>
      </c>
      <c r="BI81" s="11" t="s">
        <v>28</v>
      </c>
      <c r="BJ81" s="22">
        <f>IF(ISERROR(SEARCH("nega",Tabella1[[#This Row],[Reflusso gastroesofageo]],1)),1,0)</f>
        <v>1</v>
      </c>
      <c r="BK81" s="11" t="s">
        <v>8</v>
      </c>
      <c r="BL81" s="18">
        <f>IF(ISERROR(SEARCH("NDD",Tabella1[[#This Row],[Patologia respiratoria]],1)),0,1)</f>
        <v>0</v>
      </c>
      <c r="BM81" s="18">
        <f>IF(ISERROR(SEARCH("asma",Tabella1[[#This Row],[Patologia respiratoria]],1)),0,1)</f>
        <v>0</v>
      </c>
      <c r="BN81" s="18">
        <f>IF(ISERROR(SEARCH("BPCO",Tabella1[[#This Row],[Patologia respiratoria]],1)),0,1)</f>
        <v>0</v>
      </c>
      <c r="BO81" s="18">
        <f>IF(ISERROR(SEARCH("BRONCOPOLMONITE",Tabella1[[#This Row],[Patologia respiratoria]],1)),0,1)</f>
        <v>0</v>
      </c>
      <c r="BP81" s="18">
        <f>IF(ISERROR(SEARCH("ASMA, OSAS",Tabella1[[#This Row],[Patologia respiratoria]],1)),0,1)</f>
        <v>0</v>
      </c>
      <c r="BQ81" s="18">
        <f>IF(ISERROR(SEARCH("OSAS e BPCO",Tabella1[[#This Row],[Patologia respiratoria]],1)),0,1)</f>
        <v>0</v>
      </c>
      <c r="BR81" s="18">
        <f>IF(ISERROR(SEARCH("OSAS",Tabella1[[#This Row],[Patologia respiratoria]],1)),0,1)</f>
        <v>0</v>
      </c>
      <c r="BS81" s="11"/>
      <c r="BT81" s="11"/>
      <c r="BU81" s="11" t="s">
        <v>8</v>
      </c>
      <c r="BV81" s="18">
        <f>IF(ISERROR(SEARCH("ndd",Tabella1[[#This Row],[O2 terapia]],1)),0,1)</f>
        <v>0</v>
      </c>
      <c r="BW81" s="17">
        <v>0</v>
      </c>
      <c r="BX81" s="11"/>
      <c r="BY81" s="11" t="s">
        <v>8</v>
      </c>
      <c r="BZ81" s="18">
        <v>0</v>
      </c>
      <c r="CA81" s="11" t="s">
        <v>1109</v>
      </c>
      <c r="CB81" s="17">
        <v>1</v>
      </c>
      <c r="CC81" s="11" t="s">
        <v>908</v>
      </c>
      <c r="CD81" s="17">
        <v>1</v>
      </c>
      <c r="CE81" s="11" t="s">
        <v>8</v>
      </c>
      <c r="CF81" s="18">
        <v>0</v>
      </c>
      <c r="CG81" s="11" t="s">
        <v>8</v>
      </c>
      <c r="CH81" s="17">
        <v>0</v>
      </c>
      <c r="CI81" s="11" t="s">
        <v>1110</v>
      </c>
      <c r="CJ81" s="17">
        <v>1</v>
      </c>
      <c r="CK81" s="11" t="s">
        <v>1111</v>
      </c>
      <c r="CL81" s="17">
        <v>1</v>
      </c>
      <c r="CM81" s="11" t="s">
        <v>1036</v>
      </c>
      <c r="CN81" s="17">
        <v>1</v>
      </c>
      <c r="CO81" s="11" t="s">
        <v>28</v>
      </c>
      <c r="CP81" s="17">
        <v>1</v>
      </c>
      <c r="CQ81" s="11" t="s">
        <v>54</v>
      </c>
      <c r="CR81" s="11" t="s">
        <v>13</v>
      </c>
      <c r="CS81" s="11" t="s">
        <v>355</v>
      </c>
      <c r="CT81" s="11" t="s">
        <v>122</v>
      </c>
      <c r="CU81" s="11" t="s">
        <v>1112</v>
      </c>
      <c r="CV81" s="12" t="s">
        <v>1008</v>
      </c>
    </row>
    <row r="82" spans="1:100" ht="228">
      <c r="A82" s="1">
        <f t="shared" si="1"/>
        <v>81</v>
      </c>
      <c r="B82" s="5">
        <v>634</v>
      </c>
      <c r="C82" s="6">
        <v>44876</v>
      </c>
      <c r="D82" s="7" t="s">
        <v>1113</v>
      </c>
      <c r="E82" s="6">
        <v>31208</v>
      </c>
      <c r="F82" s="29">
        <f ca="1">_xlfn.DAYS(NOW(),Tabella1[[#This Row],[Data di Nascita]])/365.25</f>
        <v>40.150581793292268</v>
      </c>
      <c r="G82" s="7" t="s">
        <v>1114</v>
      </c>
      <c r="H82" s="7" t="s">
        <v>1115</v>
      </c>
      <c r="I82" s="7" t="s">
        <v>1116</v>
      </c>
      <c r="J82" s="7" t="s">
        <v>618</v>
      </c>
      <c r="K82" s="7" t="s">
        <v>1117</v>
      </c>
      <c r="L82" s="17">
        <f>IF(ISERROR(SEARCH("EX",Tabella1[[#This Row],[Attività lavorativa]],1)),0,1)</f>
        <v>0</v>
      </c>
      <c r="M82" s="17"/>
      <c r="N82" s="17"/>
      <c r="O82" s="18">
        <v>1</v>
      </c>
      <c r="P82" s="17"/>
      <c r="Q82" s="17"/>
      <c r="R82" s="17"/>
      <c r="S82" s="17"/>
      <c r="T82" s="17">
        <f>IF(ISERROR(SEARCH("NDD",Tabella1[[#This Row],[Attività lavorativa]],1)),0,1)</f>
        <v>0</v>
      </c>
      <c r="U82" s="7" t="s">
        <v>1118</v>
      </c>
      <c r="V82" s="22">
        <v>15</v>
      </c>
      <c r="W82" s="22">
        <f>IF(ISERROR(SEARCH("ex",Tabella1[[#This Row],[Fumo]],1)),0,1)</f>
        <v>0</v>
      </c>
      <c r="X82" s="22">
        <f>IF(ISERROR(SEARCH("no",Tabella1[[#This Row],[Fumo]],1)),0,1)</f>
        <v>0</v>
      </c>
      <c r="Y82" s="7" t="s">
        <v>25</v>
      </c>
      <c r="Z82" s="17">
        <f>IF(ISERROR(SEARCH("NDD",Tabella1[[#This Row],[Bevitore alcolici]],1)),0,1)</f>
        <v>0</v>
      </c>
      <c r="AA82" s="17">
        <f>IF(ISERROR(SEARCH("raro",Tabella1[[#This Row],[Bevitore alcolici]],1)),0,1)</f>
        <v>0</v>
      </c>
      <c r="AB82" s="17">
        <f>IF(ISERROR(SEARCH("saltuariamente",Tabella1[[#This Row],[Bevitore alcolici]],1)),0,1)</f>
        <v>0</v>
      </c>
      <c r="AC82" s="17">
        <f>IF(ISERROR(SEARCH("nega",Tabella1[[#This Row],[Bevitore alcolici]],1)),0,1)</f>
        <v>1</v>
      </c>
      <c r="AD82" s="17">
        <f>IF(ISERROR(SEARCH("potus",Tabella1[[#This Row],[Bevitore alcolici]],1)),0,1)</f>
        <v>0</v>
      </c>
      <c r="AE82" s="7" t="s">
        <v>657</v>
      </c>
      <c r="AF82" s="17"/>
      <c r="AG82" s="17"/>
      <c r="AH82" s="17"/>
      <c r="AI82" s="17"/>
      <c r="AJ82" s="17"/>
      <c r="AK82" s="7" t="s">
        <v>28</v>
      </c>
      <c r="AL82" s="17">
        <f>IF(ISERROR(SEARCH("si",Tabella1[[#This Row],[Patente di guida]],1)),0,1)</f>
        <v>1</v>
      </c>
      <c r="AM82" s="7" t="s">
        <v>8</v>
      </c>
      <c r="AN82" s="17">
        <f>IF(ISERROR(SEARCH("no",Tabella1[[#This Row],[Ipertensione]],1)),0,1)</f>
        <v>1</v>
      </c>
      <c r="AO82" s="7" t="s">
        <v>382</v>
      </c>
      <c r="AP82" s="18">
        <f>IF(ISERROR(SEARCH("NO",Tabella1[[#This Row],[Cardiopatia ischemica]],1)),1,0)</f>
        <v>0</v>
      </c>
      <c r="AQ82" s="17">
        <f>IF(ISERROR(SEARCH("sconosciuto",Tabella1[[#This Row],[Cardiopatia ischemica]],1)),0,1)</f>
        <v>0</v>
      </c>
      <c r="AR82" s="7" t="s">
        <v>25</v>
      </c>
      <c r="AS82" s="22">
        <f>IF(ISERROR(SEARCH("nega",Tabella1[[#This Row],[Artimie]],1)),0,1)</f>
        <v>1</v>
      </c>
      <c r="AT82" s="7" t="s">
        <v>1119</v>
      </c>
      <c r="AU82" s="22">
        <f>IF(ISERROR(SEARCH("nega",Tabella1[[#This Row],[Ipercolesterolemia]],1)),0,1)</f>
        <v>0</v>
      </c>
      <c r="AV82" s="22">
        <f>IF(ISERROR(SEARCH("boh",Tabella1[[#This Row],[Ipercolesterolemia]],1)),0,1)</f>
        <v>0</v>
      </c>
      <c r="AW82" s="7" t="s">
        <v>8</v>
      </c>
      <c r="AX82" s="22">
        <f>IF(ISERROR(SEARCH("Intolleranza",Tabella1[[#This Row],[Diabete]],1)),0,1)</f>
        <v>0</v>
      </c>
      <c r="AY82" s="22">
        <f>IF(ISERROR(SEARCH("si",Tabella1[[#This Row],[Diabete]],1)),0,1)</f>
        <v>0</v>
      </c>
      <c r="AZ82" s="7" t="s">
        <v>8</v>
      </c>
      <c r="BA82" s="17">
        <f>IF(ISERROR(SEARCH("NDD",Tabella1[[#This Row],[Patologia Tiroidea]],1)),0,1)</f>
        <v>0</v>
      </c>
      <c r="BB82" s="22">
        <f>IF(ISERROR(SEARCH("TIROIDITE",Tabella1[[#This Row],[Patologia Tiroidea]],1)),0,1)</f>
        <v>0</v>
      </c>
      <c r="BC82" s="22">
        <f>IF(ISERROR(SEARCH("HASHIMOTO",Tabella1[[#This Row],[Patologia Tiroidea]],1)),0,1)</f>
        <v>0</v>
      </c>
      <c r="BD82" s="22">
        <f>IF(ISERROR(SEARCH("BASEDOW",Tabella1[[#This Row],[Patologia Tiroidea]],1)),0,1)</f>
        <v>0</v>
      </c>
      <c r="BE82" s="22">
        <f>IF(ISERROR(SEARCH("NOD",Tabella1[[#This Row],[Patologia Tiroidea]],1)),0,1)</f>
        <v>0</v>
      </c>
      <c r="BF82" s="22">
        <f>IF(ISERROR(SEARCH("GOZ",Tabella1[[#This Row],[Patologia Tiroidea]],1)),0,1)</f>
        <v>0</v>
      </c>
      <c r="BG82" s="7" t="s">
        <v>8</v>
      </c>
      <c r="BH82" s="17">
        <f>IF(Tabella1[[#This Row],[Obesità]]="no",0,1)</f>
        <v>0</v>
      </c>
      <c r="BI82" s="7" t="s">
        <v>25</v>
      </c>
      <c r="BJ82" s="22">
        <f>IF(ISERROR(SEARCH("nega",Tabella1[[#This Row],[Reflusso gastroesofageo]],1)),1,0)</f>
        <v>0</v>
      </c>
      <c r="BK82" s="7" t="s">
        <v>5477</v>
      </c>
      <c r="BL82" s="17">
        <f>IF(ISERROR(SEARCH("NDD",Tabella1[[#This Row],[Patologia respiratoria]],1)),0,1)</f>
        <v>1</v>
      </c>
      <c r="BM82" s="17">
        <f>IF(ISERROR(SEARCH("asma",Tabella1[[#This Row],[Patologia respiratoria]],1)),0,1)</f>
        <v>0</v>
      </c>
      <c r="BN82" s="17">
        <f>IF(ISERROR(SEARCH("BPCO",Tabella1[[#This Row],[Patologia respiratoria]],1)),0,1)</f>
        <v>0</v>
      </c>
      <c r="BO82" s="17">
        <f>IF(ISERROR(SEARCH("BRONCOPOLMONITE",Tabella1[[#This Row],[Patologia respiratoria]],1)),0,1)</f>
        <v>0</v>
      </c>
      <c r="BP82" s="17">
        <f>IF(ISERROR(SEARCH("ASMA, OSAS",Tabella1[[#This Row],[Patologia respiratoria]],1)),0,1)</f>
        <v>0</v>
      </c>
      <c r="BQ82" s="17">
        <f>IF(ISERROR(SEARCH("OSAS e BPCO",Tabella1[[#This Row],[Patologia respiratoria]],1)),0,1)</f>
        <v>0</v>
      </c>
      <c r="BR82" s="17">
        <f>IF(ISERROR(SEARCH("OSAS",Tabella1[[#This Row],[Patologia respiratoria]],1)),0,1)</f>
        <v>0</v>
      </c>
      <c r="BS82" s="7"/>
      <c r="BT82" s="7" t="s">
        <v>1120</v>
      </c>
      <c r="BU82" s="7" t="s">
        <v>8</v>
      </c>
      <c r="BV82" s="17">
        <f>IF(ISERROR(SEARCH("ndd",Tabella1[[#This Row],[O2 terapia]],1)),0,1)</f>
        <v>0</v>
      </c>
      <c r="BW82" s="17">
        <v>0</v>
      </c>
      <c r="BX82" s="7"/>
      <c r="BY82" s="7" t="s">
        <v>1121</v>
      </c>
      <c r="BZ82" s="17">
        <v>1</v>
      </c>
      <c r="CA82" s="7" t="s">
        <v>28</v>
      </c>
      <c r="CB82" s="17">
        <v>1</v>
      </c>
      <c r="CC82" s="7" t="s">
        <v>1122</v>
      </c>
      <c r="CD82" s="17">
        <v>1</v>
      </c>
      <c r="CE82" s="7" t="s">
        <v>8</v>
      </c>
      <c r="CF82" s="18">
        <v>0</v>
      </c>
      <c r="CG82" s="7" t="s">
        <v>28</v>
      </c>
      <c r="CH82" s="17">
        <v>1</v>
      </c>
      <c r="CI82" s="7" t="s">
        <v>8</v>
      </c>
      <c r="CJ82" s="18">
        <v>0</v>
      </c>
      <c r="CK82" s="7" t="s">
        <v>1036</v>
      </c>
      <c r="CL82" s="17">
        <v>1</v>
      </c>
      <c r="CM82" s="7" t="s">
        <v>8</v>
      </c>
      <c r="CN82" s="17">
        <v>0</v>
      </c>
      <c r="CO82" s="7" t="s">
        <v>28</v>
      </c>
      <c r="CP82" s="17">
        <v>1</v>
      </c>
      <c r="CQ82" s="7" t="s">
        <v>202</v>
      </c>
      <c r="CR82" s="7" t="s">
        <v>152</v>
      </c>
      <c r="CS82" s="7" t="s">
        <v>355</v>
      </c>
      <c r="CT82" s="7" t="s">
        <v>184</v>
      </c>
      <c r="CU82" s="7" t="s">
        <v>1123</v>
      </c>
      <c r="CV82" s="8"/>
    </row>
    <row r="83" spans="1:100" ht="99.75">
      <c r="A83" s="1">
        <f t="shared" si="1"/>
        <v>82</v>
      </c>
      <c r="B83" s="9">
        <v>637</v>
      </c>
      <c r="C83" s="10">
        <v>44879</v>
      </c>
      <c r="D83" s="11" t="s">
        <v>1124</v>
      </c>
      <c r="E83" s="10">
        <v>18649</v>
      </c>
      <c r="F83" s="29">
        <f ca="1">_xlfn.DAYS(NOW(),Tabella1[[#This Row],[Data di Nascita]])/365.25</f>
        <v>74.535249828884332</v>
      </c>
      <c r="G83" s="11"/>
      <c r="H83" s="11" t="s">
        <v>1125</v>
      </c>
      <c r="I83" s="11" t="s">
        <v>955</v>
      </c>
      <c r="J83" s="11" t="s">
        <v>1126</v>
      </c>
      <c r="K83" s="11" t="s">
        <v>5600</v>
      </c>
      <c r="L83" s="18">
        <f>IF(ISERROR(SEARCH("EX",Tabella1[[#This Row],[Attività lavorativa]],1)),0,1)</f>
        <v>1</v>
      </c>
      <c r="M83" s="18"/>
      <c r="N83" s="18"/>
      <c r="O83" s="18"/>
      <c r="P83" s="18"/>
      <c r="Q83" s="18">
        <v>1</v>
      </c>
      <c r="R83" s="18"/>
      <c r="S83" s="18"/>
      <c r="T83" s="17">
        <f>IF(ISERROR(SEARCH("NDD",Tabella1[[#This Row],[Attività lavorativa]],1)),0,1)</f>
        <v>0</v>
      </c>
      <c r="U83" s="11" t="s">
        <v>1127</v>
      </c>
      <c r="V83" s="22">
        <v>50</v>
      </c>
      <c r="W83" s="22">
        <f>IF(ISERROR(SEARCH("ex",Tabella1[[#This Row],[Fumo]],1)),0,1)</f>
        <v>1</v>
      </c>
      <c r="X83" s="22">
        <f>IF(ISERROR(SEARCH("no",Tabella1[[#This Row],[Fumo]],1)),0,1)</f>
        <v>0</v>
      </c>
      <c r="Y83" s="11" t="s">
        <v>25</v>
      </c>
      <c r="Z83" s="18">
        <f>IF(ISERROR(SEARCH("NDD",Tabella1[[#This Row],[Bevitore alcolici]],1)),0,1)</f>
        <v>0</v>
      </c>
      <c r="AA83" s="17">
        <f>IF(ISERROR(SEARCH("raro",Tabella1[[#This Row],[Bevitore alcolici]],1)),0,1)</f>
        <v>0</v>
      </c>
      <c r="AB83" s="17">
        <f>IF(ISERROR(SEARCH("saltuariamente",Tabella1[[#This Row],[Bevitore alcolici]],1)),0,1)</f>
        <v>0</v>
      </c>
      <c r="AC83" s="17">
        <f>IF(ISERROR(SEARCH("nega",Tabella1[[#This Row],[Bevitore alcolici]],1)),0,1)</f>
        <v>1</v>
      </c>
      <c r="AD83" s="17">
        <f>IF(ISERROR(SEARCH("potus",Tabella1[[#This Row],[Bevitore alcolici]],1)),0,1)</f>
        <v>0</v>
      </c>
      <c r="AE83" s="11" t="s">
        <v>657</v>
      </c>
      <c r="AF83" s="18"/>
      <c r="AG83" s="18"/>
      <c r="AH83" s="18"/>
      <c r="AI83" s="18"/>
      <c r="AJ83" s="18"/>
      <c r="AK83" s="11" t="s">
        <v>28</v>
      </c>
      <c r="AL83" s="18">
        <f>IF(ISERROR(SEARCH("si",Tabella1[[#This Row],[Patente di guida]],1)),0,1)</f>
        <v>1</v>
      </c>
      <c r="AM83" s="11" t="s">
        <v>8</v>
      </c>
      <c r="AN83" s="18">
        <f>IF(ISERROR(SEARCH("no",Tabella1[[#This Row],[Ipertensione]],1)),0,1)</f>
        <v>1</v>
      </c>
      <c r="AO83" s="11" t="s">
        <v>382</v>
      </c>
      <c r="AP83" s="18">
        <f>IF(ISERROR(SEARCH("NO",Tabella1[[#This Row],[Cardiopatia ischemica]],1)),1,0)</f>
        <v>0</v>
      </c>
      <c r="AQ83" s="17">
        <f>IF(ISERROR(SEARCH("sconosciuto",Tabella1[[#This Row],[Cardiopatia ischemica]],1)),0,1)</f>
        <v>0</v>
      </c>
      <c r="AR83" s="11" t="s">
        <v>25</v>
      </c>
      <c r="AS83" s="22">
        <f>IF(ISERROR(SEARCH("nega",Tabella1[[#This Row],[Artimie]],1)),0,1)</f>
        <v>1</v>
      </c>
      <c r="AT83" s="11" t="s">
        <v>28</v>
      </c>
      <c r="AU83" s="22">
        <f>IF(ISERROR(SEARCH("nega",Tabella1[[#This Row],[Ipercolesterolemia]],1)),0,1)</f>
        <v>0</v>
      </c>
      <c r="AV83" s="22">
        <f>IF(ISERROR(SEARCH("boh",Tabella1[[#This Row],[Ipercolesterolemia]],1)),0,1)</f>
        <v>0</v>
      </c>
      <c r="AW83" s="11" t="s">
        <v>8</v>
      </c>
      <c r="AX83" s="22">
        <f>IF(ISERROR(SEARCH("Intolleranza",Tabella1[[#This Row],[Diabete]],1)),0,1)</f>
        <v>0</v>
      </c>
      <c r="AY83" s="22">
        <f>IF(ISERROR(SEARCH("si",Tabella1[[#This Row],[Diabete]],1)),0,1)</f>
        <v>0</v>
      </c>
      <c r="AZ83" s="11" t="s">
        <v>8</v>
      </c>
      <c r="BA83" s="18">
        <f>IF(ISERROR(SEARCH("NDD",Tabella1[[#This Row],[Patologia Tiroidea]],1)),0,1)</f>
        <v>0</v>
      </c>
      <c r="BB83" s="22">
        <f>IF(ISERROR(SEARCH("TIROIDITE",Tabella1[[#This Row],[Patologia Tiroidea]],1)),0,1)</f>
        <v>0</v>
      </c>
      <c r="BC83" s="22">
        <f>IF(ISERROR(SEARCH("HASHIMOTO",Tabella1[[#This Row],[Patologia Tiroidea]],1)),0,1)</f>
        <v>0</v>
      </c>
      <c r="BD83" s="22">
        <f>IF(ISERROR(SEARCH("BASEDOW",Tabella1[[#This Row],[Patologia Tiroidea]],1)),0,1)</f>
        <v>0</v>
      </c>
      <c r="BE83" s="22">
        <f>IF(ISERROR(SEARCH("NOD",Tabella1[[#This Row],[Patologia Tiroidea]],1)),0,1)</f>
        <v>0</v>
      </c>
      <c r="BF83" s="22">
        <f>IF(ISERROR(SEARCH("GOZ",Tabella1[[#This Row],[Patologia Tiroidea]],1)),0,1)</f>
        <v>0</v>
      </c>
      <c r="BG83" s="11" t="s">
        <v>663</v>
      </c>
      <c r="BH83" s="18">
        <f>IF(Tabella1[[#This Row],[Obesità]]="no",0,1)</f>
        <v>1</v>
      </c>
      <c r="BI83" s="11" t="s">
        <v>25</v>
      </c>
      <c r="BJ83" s="22">
        <f>IF(ISERROR(SEARCH("nega",Tabella1[[#This Row],[Reflusso gastroesofageo]],1)),1,0)</f>
        <v>0</v>
      </c>
      <c r="BK83" s="11" t="s">
        <v>1128</v>
      </c>
      <c r="BL83" s="18">
        <f>IF(ISERROR(SEARCH("NDD",Tabella1[[#This Row],[Patologia respiratoria]],1)),0,1)</f>
        <v>0</v>
      </c>
      <c r="BM83" s="18">
        <f>IF(ISERROR(SEARCH("asma",Tabella1[[#This Row],[Patologia respiratoria]],1)),0,1)</f>
        <v>0</v>
      </c>
      <c r="BN83" s="18">
        <f>IF(ISERROR(SEARCH("BPCO",Tabella1[[#This Row],[Patologia respiratoria]],1)),0,1)</f>
        <v>0</v>
      </c>
      <c r="BO83" s="18">
        <f>IF(ISERROR(SEARCH("BRONCOPOLMONITE",Tabella1[[#This Row],[Patologia respiratoria]],1)),0,1)</f>
        <v>0</v>
      </c>
      <c r="BP83" s="18">
        <f>IF(ISERROR(SEARCH("ASMA, OSAS",Tabella1[[#This Row],[Patologia respiratoria]],1)),0,1)</f>
        <v>0</v>
      </c>
      <c r="BQ83" s="18">
        <f>IF(ISERROR(SEARCH("OSAS e BPCO",Tabella1[[#This Row],[Patologia respiratoria]],1)),0,1)</f>
        <v>0</v>
      </c>
      <c r="BR83" s="18">
        <f>IF(ISERROR(SEARCH("OSAS",Tabella1[[#This Row],[Patologia respiratoria]],1)),0,1)</f>
        <v>0</v>
      </c>
      <c r="BS83" s="11" t="s">
        <v>1129</v>
      </c>
      <c r="BT83" s="11"/>
      <c r="BU83" s="11" t="s">
        <v>1130</v>
      </c>
      <c r="BV83" s="18">
        <f>IF(ISERROR(SEARCH("ndd",Tabella1[[#This Row],[O2 terapia]],1)),0,1)</f>
        <v>0</v>
      </c>
      <c r="BW83" s="17">
        <v>0</v>
      </c>
      <c r="BX83" s="11" t="s">
        <v>1131</v>
      </c>
      <c r="BY83" s="11" t="s">
        <v>8</v>
      </c>
      <c r="BZ83" s="18">
        <v>0</v>
      </c>
      <c r="CA83" s="11" t="s">
        <v>28</v>
      </c>
      <c r="CB83" s="17">
        <v>1</v>
      </c>
      <c r="CC83" s="11" t="s">
        <v>908</v>
      </c>
      <c r="CD83" s="17">
        <v>1</v>
      </c>
      <c r="CE83" s="11" t="s">
        <v>8</v>
      </c>
      <c r="CF83" s="18">
        <v>0</v>
      </c>
      <c r="CG83" s="11" t="s">
        <v>8</v>
      </c>
      <c r="CH83" s="17">
        <v>0</v>
      </c>
      <c r="CI83" s="11" t="s">
        <v>8</v>
      </c>
      <c r="CJ83" s="18">
        <v>0</v>
      </c>
      <c r="CK83" s="11" t="s">
        <v>1111</v>
      </c>
      <c r="CL83" s="17">
        <v>1</v>
      </c>
      <c r="CM83" s="11" t="s">
        <v>28</v>
      </c>
      <c r="CN83" s="17">
        <v>1</v>
      </c>
      <c r="CO83" s="11" t="s">
        <v>8</v>
      </c>
      <c r="CP83" s="18">
        <v>0</v>
      </c>
      <c r="CQ83" s="11" t="s">
        <v>202</v>
      </c>
      <c r="CR83" s="11" t="s">
        <v>663</v>
      </c>
      <c r="CS83" s="11" t="s">
        <v>219</v>
      </c>
      <c r="CT83" s="11" t="s">
        <v>787</v>
      </c>
      <c r="CU83" s="11" t="s">
        <v>1132</v>
      </c>
      <c r="CV83" s="12" t="s">
        <v>1008</v>
      </c>
    </row>
    <row r="84" spans="1:100" ht="114">
      <c r="A84" s="1">
        <f t="shared" si="1"/>
        <v>83</v>
      </c>
      <c r="B84" s="5">
        <v>638</v>
      </c>
      <c r="C84" s="6">
        <v>44879</v>
      </c>
      <c r="D84" s="7" t="s">
        <v>1133</v>
      </c>
      <c r="E84" s="6">
        <v>22151</v>
      </c>
      <c r="F84" s="29">
        <f ca="1">_xlfn.DAYS(NOW(),Tabella1[[#This Row],[Data di Nascita]])/365.25</f>
        <v>64.947296372347708</v>
      </c>
      <c r="G84" s="7" t="s">
        <v>1134</v>
      </c>
      <c r="H84" s="7" t="s">
        <v>1135</v>
      </c>
      <c r="I84" s="7" t="s">
        <v>1136</v>
      </c>
      <c r="J84" s="7" t="s">
        <v>618</v>
      </c>
      <c r="K84" s="7" t="s">
        <v>1137</v>
      </c>
      <c r="L84" s="17">
        <f>IF(ISERROR(SEARCH("EX",Tabella1[[#This Row],[Attività lavorativa]],1)),0,1)</f>
        <v>0</v>
      </c>
      <c r="M84" s="17"/>
      <c r="N84" s="17"/>
      <c r="O84" s="17"/>
      <c r="P84" s="17"/>
      <c r="Q84" s="18">
        <v>1</v>
      </c>
      <c r="R84" s="17"/>
      <c r="S84" s="17"/>
      <c r="T84" s="17">
        <f>IF(ISERROR(SEARCH("NDD",Tabella1[[#This Row],[Attività lavorativa]],1)),0,1)</f>
        <v>0</v>
      </c>
      <c r="U84" s="7" t="s">
        <v>8</v>
      </c>
      <c r="V84" s="22"/>
      <c r="W84" s="22">
        <f>IF(ISERROR(SEARCH("ex",Tabella1[[#This Row],[Fumo]],1)),0,1)</f>
        <v>0</v>
      </c>
      <c r="X84" s="22">
        <f>IF(ISERROR(SEARCH("no",Tabella1[[#This Row],[Fumo]],1)),0,1)</f>
        <v>1</v>
      </c>
      <c r="Y84" s="7" t="s">
        <v>1138</v>
      </c>
      <c r="Z84" s="17">
        <f>IF(ISERROR(SEARCH("NDD",Tabella1[[#This Row],[Bevitore alcolici]],1)),0,1)</f>
        <v>0</v>
      </c>
      <c r="AA84" s="17">
        <f>IF(ISERROR(SEARCH("raro",Tabella1[[#This Row],[Bevitore alcolici]],1)),0,1)</f>
        <v>0</v>
      </c>
      <c r="AB84" s="17">
        <f>IF(ISERROR(SEARCH("saltuariamente",Tabella1[[#This Row],[Bevitore alcolici]],1)),0,1)</f>
        <v>0</v>
      </c>
      <c r="AC84" s="17">
        <f>IF(ISERROR(SEARCH("nega",Tabella1[[#This Row],[Bevitore alcolici]],1)),0,1)</f>
        <v>0</v>
      </c>
      <c r="AD84" s="17">
        <f>IF(ISERROR(SEARCH("potus",Tabella1[[#This Row],[Bevitore alcolici]],1)),0,1)</f>
        <v>0</v>
      </c>
      <c r="AE84" s="7" t="s">
        <v>1139</v>
      </c>
      <c r="AF84" s="17"/>
      <c r="AG84" s="18">
        <v>1</v>
      </c>
      <c r="AH84" s="18"/>
      <c r="AI84" s="18"/>
      <c r="AJ84" s="18"/>
      <c r="AK84" s="7" t="s">
        <v>28</v>
      </c>
      <c r="AL84" s="17">
        <f>IF(ISERROR(SEARCH("si",Tabella1[[#This Row],[Patente di guida]],1)),0,1)</f>
        <v>1</v>
      </c>
      <c r="AM84" s="7" t="s">
        <v>8</v>
      </c>
      <c r="AN84" s="17">
        <f>IF(ISERROR(SEARCH("no",Tabella1[[#This Row],[Ipertensione]],1)),0,1)</f>
        <v>1</v>
      </c>
      <c r="AO84" s="7" t="s">
        <v>382</v>
      </c>
      <c r="AP84" s="18">
        <f>IF(ISERROR(SEARCH("NO",Tabella1[[#This Row],[Cardiopatia ischemica]],1)),1,0)</f>
        <v>0</v>
      </c>
      <c r="AQ84" s="17">
        <f>IF(ISERROR(SEARCH("sconosciuto",Tabella1[[#This Row],[Cardiopatia ischemica]],1)),0,1)</f>
        <v>0</v>
      </c>
      <c r="AR84" s="7" t="s">
        <v>25</v>
      </c>
      <c r="AS84" s="22">
        <f>IF(ISERROR(SEARCH("nega",Tabella1[[#This Row],[Artimie]],1)),0,1)</f>
        <v>1</v>
      </c>
      <c r="AT84" s="7" t="s">
        <v>25</v>
      </c>
      <c r="AU84" s="22">
        <f>IF(ISERROR(SEARCH("nega",Tabella1[[#This Row],[Ipercolesterolemia]],1)),0,1)</f>
        <v>1</v>
      </c>
      <c r="AV84" s="22">
        <f>IF(ISERROR(SEARCH("boh",Tabella1[[#This Row],[Ipercolesterolemia]],1)),0,1)</f>
        <v>0</v>
      </c>
      <c r="AW84" s="7" t="s">
        <v>8</v>
      </c>
      <c r="AX84" s="22">
        <f>IF(ISERROR(SEARCH("Intolleranza",Tabella1[[#This Row],[Diabete]],1)),0,1)</f>
        <v>0</v>
      </c>
      <c r="AY84" s="22">
        <f>IF(ISERROR(SEARCH("si",Tabella1[[#This Row],[Diabete]],1)),0,1)</f>
        <v>0</v>
      </c>
      <c r="AZ84" s="7" t="s">
        <v>8</v>
      </c>
      <c r="BA84" s="17">
        <f>IF(ISERROR(SEARCH("NDD",Tabella1[[#This Row],[Patologia Tiroidea]],1)),0,1)</f>
        <v>0</v>
      </c>
      <c r="BB84" s="22">
        <f>IF(ISERROR(SEARCH("TIROIDITE",Tabella1[[#This Row],[Patologia Tiroidea]],1)),0,1)</f>
        <v>0</v>
      </c>
      <c r="BC84" s="22">
        <f>IF(ISERROR(SEARCH("HASHIMOTO",Tabella1[[#This Row],[Patologia Tiroidea]],1)),0,1)</f>
        <v>0</v>
      </c>
      <c r="BD84" s="22">
        <f>IF(ISERROR(SEARCH("BASEDOW",Tabella1[[#This Row],[Patologia Tiroidea]],1)),0,1)</f>
        <v>0</v>
      </c>
      <c r="BE84" s="22">
        <f>IF(ISERROR(SEARCH("NOD",Tabella1[[#This Row],[Patologia Tiroidea]],1)),0,1)</f>
        <v>0</v>
      </c>
      <c r="BF84" s="22">
        <f>IF(ISERROR(SEARCH("GOZ",Tabella1[[#This Row],[Patologia Tiroidea]],1)),0,1)</f>
        <v>0</v>
      </c>
      <c r="BG84" s="7" t="s">
        <v>8</v>
      </c>
      <c r="BH84" s="17">
        <f>IF(Tabella1[[#This Row],[Obesità]]="no",0,1)</f>
        <v>0</v>
      </c>
      <c r="BI84" s="7" t="s">
        <v>28</v>
      </c>
      <c r="BJ84" s="22">
        <f>IF(ISERROR(SEARCH("nega",Tabella1[[#This Row],[Reflusso gastroesofageo]],1)),1,0)</f>
        <v>1</v>
      </c>
      <c r="BK84" s="7" t="s">
        <v>1128</v>
      </c>
      <c r="BL84" s="17">
        <f>IF(ISERROR(SEARCH("NDD",Tabella1[[#This Row],[Patologia respiratoria]],1)),0,1)</f>
        <v>0</v>
      </c>
      <c r="BM84" s="17">
        <f>IF(ISERROR(SEARCH("asma",Tabella1[[#This Row],[Patologia respiratoria]],1)),0,1)</f>
        <v>0</v>
      </c>
      <c r="BN84" s="17">
        <f>IF(ISERROR(SEARCH("BPCO",Tabella1[[#This Row],[Patologia respiratoria]],1)),0,1)</f>
        <v>0</v>
      </c>
      <c r="BO84" s="17">
        <f>IF(ISERROR(SEARCH("BRONCOPOLMONITE",Tabella1[[#This Row],[Patologia respiratoria]],1)),0,1)</f>
        <v>0</v>
      </c>
      <c r="BP84" s="17">
        <f>IF(ISERROR(SEARCH("ASMA, OSAS",Tabella1[[#This Row],[Patologia respiratoria]],1)),0,1)</f>
        <v>0</v>
      </c>
      <c r="BQ84" s="17">
        <f>IF(ISERROR(SEARCH("OSAS e BPCO",Tabella1[[#This Row],[Patologia respiratoria]],1)),0,1)</f>
        <v>0</v>
      </c>
      <c r="BR84" s="17">
        <f>IF(ISERROR(SEARCH("OSAS",Tabella1[[#This Row],[Patologia respiratoria]],1)),0,1)</f>
        <v>0</v>
      </c>
      <c r="BS84" s="7"/>
      <c r="BT84" s="7"/>
      <c r="BU84" s="7" t="s">
        <v>1140</v>
      </c>
      <c r="BV84" s="17">
        <f>IF(ISERROR(SEARCH("ndd",Tabella1[[#This Row],[O2 terapia]],1)),0,1)</f>
        <v>0</v>
      </c>
      <c r="BW84" s="17">
        <v>0</v>
      </c>
      <c r="BX84" s="7"/>
      <c r="BY84" s="7" t="s">
        <v>8</v>
      </c>
      <c r="BZ84" s="18">
        <v>0</v>
      </c>
      <c r="CA84" s="7" t="s">
        <v>8</v>
      </c>
      <c r="CB84" s="17">
        <v>0</v>
      </c>
      <c r="CC84" s="7" t="s">
        <v>908</v>
      </c>
      <c r="CD84" s="17">
        <v>1</v>
      </c>
      <c r="CE84" s="7" t="s">
        <v>8</v>
      </c>
      <c r="CF84" s="18">
        <v>0</v>
      </c>
      <c r="CG84" s="7" t="s">
        <v>8</v>
      </c>
      <c r="CH84" s="17">
        <v>0</v>
      </c>
      <c r="CI84" s="7" t="s">
        <v>8</v>
      </c>
      <c r="CJ84" s="18">
        <v>0</v>
      </c>
      <c r="CK84" s="7" t="s">
        <v>1141</v>
      </c>
      <c r="CL84" s="17">
        <v>1</v>
      </c>
      <c r="CM84" s="7" t="s">
        <v>1142</v>
      </c>
      <c r="CN84" s="17">
        <v>1</v>
      </c>
      <c r="CO84" s="7" t="s">
        <v>8</v>
      </c>
      <c r="CP84" s="18">
        <v>0</v>
      </c>
      <c r="CQ84" s="7" t="s">
        <v>54</v>
      </c>
      <c r="CR84" s="7" t="s">
        <v>152</v>
      </c>
      <c r="CS84" s="7" t="s">
        <v>219</v>
      </c>
      <c r="CT84" s="7" t="s">
        <v>787</v>
      </c>
      <c r="CU84" s="7" t="s">
        <v>1112</v>
      </c>
      <c r="CV84" s="8" t="s">
        <v>1143</v>
      </c>
    </row>
    <row r="85" spans="1:100" ht="156.75">
      <c r="A85" s="1">
        <f t="shared" si="1"/>
        <v>84</v>
      </c>
      <c r="B85" s="9">
        <v>641</v>
      </c>
      <c r="C85" s="10">
        <v>44880</v>
      </c>
      <c r="D85" s="11" t="s">
        <v>1144</v>
      </c>
      <c r="E85" s="10">
        <v>18019</v>
      </c>
      <c r="F85" s="29">
        <f ca="1">_xlfn.DAYS(NOW(),Tabella1[[#This Row],[Data di Nascita]])/365.25</f>
        <v>76.260095824777551</v>
      </c>
      <c r="G85" s="11" t="s">
        <v>1145</v>
      </c>
      <c r="H85" s="11" t="s">
        <v>1146</v>
      </c>
      <c r="I85" s="11" t="s">
        <v>955</v>
      </c>
      <c r="J85" s="11" t="s">
        <v>1147</v>
      </c>
      <c r="K85" s="11" t="s">
        <v>5601</v>
      </c>
      <c r="L85" s="18">
        <f>IF(ISERROR(SEARCH("EX",Tabella1[[#This Row],[Attività lavorativa]],1)),0,1)</f>
        <v>1</v>
      </c>
      <c r="M85" s="18"/>
      <c r="N85" s="18"/>
      <c r="O85" s="18"/>
      <c r="P85" s="18"/>
      <c r="Q85" s="18"/>
      <c r="R85" s="18"/>
      <c r="S85" s="18"/>
      <c r="T85" s="17">
        <f>IF(ISERROR(SEARCH("NDD",Tabella1[[#This Row],[Attività lavorativa]],1)),0,1)</f>
        <v>0</v>
      </c>
      <c r="U85" s="11" t="s">
        <v>1148</v>
      </c>
      <c r="V85" s="22">
        <v>60</v>
      </c>
      <c r="W85" s="22">
        <f>IF(ISERROR(SEARCH("ex",Tabella1[[#This Row],[Fumo]],1)),0,1)</f>
        <v>0</v>
      </c>
      <c r="X85" s="22">
        <f>IF(ISERROR(SEARCH("no",Tabella1[[#This Row],[Fumo]],1)),0,1)</f>
        <v>0</v>
      </c>
      <c r="Y85" s="11" t="s">
        <v>26</v>
      </c>
      <c r="Z85" s="18">
        <f>IF(ISERROR(SEARCH("NDD",Tabella1[[#This Row],[Bevitore alcolici]],1)),0,1)</f>
        <v>0</v>
      </c>
      <c r="AA85" s="17">
        <f>IF(ISERROR(SEARCH("raro",Tabella1[[#This Row],[Bevitore alcolici]],1)),0,1)</f>
        <v>0</v>
      </c>
      <c r="AB85" s="17">
        <f>IF(ISERROR(SEARCH("saltuariamente",Tabella1[[#This Row],[Bevitore alcolici]],1)),0,1)</f>
        <v>1</v>
      </c>
      <c r="AC85" s="17">
        <f>IF(ISERROR(SEARCH("nega",Tabella1[[#This Row],[Bevitore alcolici]],1)),0,1)</f>
        <v>0</v>
      </c>
      <c r="AD85" s="17">
        <f>IF(ISERROR(SEARCH("potus",Tabella1[[#This Row],[Bevitore alcolici]],1)),0,1)</f>
        <v>0</v>
      </c>
      <c r="AE85" s="11" t="s">
        <v>657</v>
      </c>
      <c r="AF85" s="18"/>
      <c r="AG85" s="18"/>
      <c r="AH85" s="18"/>
      <c r="AI85" s="18"/>
      <c r="AJ85" s="18"/>
      <c r="AK85" s="11" t="s">
        <v>28</v>
      </c>
      <c r="AL85" s="18">
        <f>IF(ISERROR(SEARCH("si",Tabella1[[#This Row],[Patente di guida]],1)),0,1)</f>
        <v>1</v>
      </c>
      <c r="AM85" s="11" t="s">
        <v>28</v>
      </c>
      <c r="AN85" s="18">
        <f>IF(ISERROR(SEARCH("no",Tabella1[[#This Row],[Ipertensione]],1)),0,1)</f>
        <v>0</v>
      </c>
      <c r="AO85" s="11" t="s">
        <v>382</v>
      </c>
      <c r="AP85" s="18">
        <f>IF(ISERROR(SEARCH("NO",Tabella1[[#This Row],[Cardiopatia ischemica]],1)),1,0)</f>
        <v>0</v>
      </c>
      <c r="AQ85" s="17">
        <f>IF(ISERROR(SEARCH("sconosciuto",Tabella1[[#This Row],[Cardiopatia ischemica]],1)),0,1)</f>
        <v>0</v>
      </c>
      <c r="AR85" s="11" t="s">
        <v>25</v>
      </c>
      <c r="AS85" s="22">
        <f>IF(ISERROR(SEARCH("nega",Tabella1[[#This Row],[Artimie]],1)),0,1)</f>
        <v>1</v>
      </c>
      <c r="AT85" s="11" t="s">
        <v>28</v>
      </c>
      <c r="AU85" s="22">
        <f>IF(ISERROR(SEARCH("nega",Tabella1[[#This Row],[Ipercolesterolemia]],1)),0,1)</f>
        <v>0</v>
      </c>
      <c r="AV85" s="22">
        <f>IF(ISERROR(SEARCH("boh",Tabella1[[#This Row],[Ipercolesterolemia]],1)),0,1)</f>
        <v>0</v>
      </c>
      <c r="AW85" s="11" t="s">
        <v>28</v>
      </c>
      <c r="AX85" s="22">
        <f>IF(ISERROR(SEARCH("Intolleranza",Tabella1[[#This Row],[Diabete]],1)),0,1)</f>
        <v>0</v>
      </c>
      <c r="AY85" s="22">
        <f>IF(ISERROR(SEARCH("si",Tabella1[[#This Row],[Diabete]],1)),0,1)</f>
        <v>1</v>
      </c>
      <c r="AZ85" s="11" t="s">
        <v>8</v>
      </c>
      <c r="BA85" s="18">
        <f>IF(ISERROR(SEARCH("NDD",Tabella1[[#This Row],[Patologia Tiroidea]],1)),0,1)</f>
        <v>0</v>
      </c>
      <c r="BB85" s="22">
        <f>IF(ISERROR(SEARCH("TIROIDITE",Tabella1[[#This Row],[Patologia Tiroidea]],1)),0,1)</f>
        <v>0</v>
      </c>
      <c r="BC85" s="22">
        <f>IF(ISERROR(SEARCH("HASHIMOTO",Tabella1[[#This Row],[Patologia Tiroidea]],1)),0,1)</f>
        <v>0</v>
      </c>
      <c r="BD85" s="22">
        <f>IF(ISERROR(SEARCH("BASEDOW",Tabella1[[#This Row],[Patologia Tiroidea]],1)),0,1)</f>
        <v>0</v>
      </c>
      <c r="BE85" s="22">
        <f>IF(ISERROR(SEARCH("NOD",Tabella1[[#This Row],[Patologia Tiroidea]],1)),0,1)</f>
        <v>0</v>
      </c>
      <c r="BF85" s="22">
        <f>IF(ISERROR(SEARCH("GOZ",Tabella1[[#This Row],[Patologia Tiroidea]],1)),0,1)</f>
        <v>0</v>
      </c>
      <c r="BG85" s="11" t="s">
        <v>47</v>
      </c>
      <c r="BH85" s="18">
        <f>IF(Tabella1[[#This Row],[Obesità]]="no",0,1)</f>
        <v>1</v>
      </c>
      <c r="BI85" s="11" t="s">
        <v>25</v>
      </c>
      <c r="BJ85" s="22">
        <f>IF(ISERROR(SEARCH("nega",Tabella1[[#This Row],[Reflusso gastroesofageo]],1)),1,0)</f>
        <v>0</v>
      </c>
      <c r="BK85" s="11" t="s">
        <v>8</v>
      </c>
      <c r="BL85" s="18">
        <f>IF(ISERROR(SEARCH("NDD",Tabella1[[#This Row],[Patologia respiratoria]],1)),0,1)</f>
        <v>0</v>
      </c>
      <c r="BM85" s="18">
        <f>IF(ISERROR(SEARCH("asma",Tabella1[[#This Row],[Patologia respiratoria]],1)),0,1)</f>
        <v>0</v>
      </c>
      <c r="BN85" s="18">
        <f>IF(ISERROR(SEARCH("BPCO",Tabella1[[#This Row],[Patologia respiratoria]],1)),0,1)</f>
        <v>0</v>
      </c>
      <c r="BO85" s="18">
        <f>IF(ISERROR(SEARCH("BRONCOPOLMONITE",Tabella1[[#This Row],[Patologia respiratoria]],1)),0,1)</f>
        <v>0</v>
      </c>
      <c r="BP85" s="18">
        <f>IF(ISERROR(SEARCH("ASMA, OSAS",Tabella1[[#This Row],[Patologia respiratoria]],1)),0,1)</f>
        <v>0</v>
      </c>
      <c r="BQ85" s="18">
        <f>IF(ISERROR(SEARCH("OSAS e BPCO",Tabella1[[#This Row],[Patologia respiratoria]],1)),0,1)</f>
        <v>0</v>
      </c>
      <c r="BR85" s="18">
        <f>IF(ISERROR(SEARCH("OSAS",Tabella1[[#This Row],[Patologia respiratoria]],1)),0,1)</f>
        <v>0</v>
      </c>
      <c r="BS85" s="11" t="s">
        <v>8</v>
      </c>
      <c r="BT85" s="11"/>
      <c r="BU85" s="11" t="s">
        <v>1149</v>
      </c>
      <c r="BV85" s="18">
        <f>IF(ISERROR(SEARCH("ndd",Tabella1[[#This Row],[O2 terapia]],1)),0,1)</f>
        <v>0</v>
      </c>
      <c r="BW85" s="17">
        <v>0</v>
      </c>
      <c r="BX85" s="11"/>
      <c r="BY85" s="11" t="s">
        <v>8</v>
      </c>
      <c r="BZ85" s="18">
        <v>0</v>
      </c>
      <c r="CA85" s="11" t="s">
        <v>1150</v>
      </c>
      <c r="CB85" s="17">
        <v>1</v>
      </c>
      <c r="CC85" s="11" t="s">
        <v>1151</v>
      </c>
      <c r="CD85" s="17">
        <v>1</v>
      </c>
      <c r="CE85" s="11" t="s">
        <v>8</v>
      </c>
      <c r="CF85" s="18">
        <v>0</v>
      </c>
      <c r="CG85" s="11" t="s">
        <v>8</v>
      </c>
      <c r="CH85" s="17">
        <v>0</v>
      </c>
      <c r="CI85" s="11" t="s">
        <v>8</v>
      </c>
      <c r="CJ85" s="18">
        <v>0</v>
      </c>
      <c r="CK85" s="11" t="s">
        <v>1152</v>
      </c>
      <c r="CL85" s="17">
        <v>1</v>
      </c>
      <c r="CM85" s="11" t="s">
        <v>28</v>
      </c>
      <c r="CN85" s="17">
        <v>1</v>
      </c>
      <c r="CO85" s="11" t="s">
        <v>8</v>
      </c>
      <c r="CP85" s="18">
        <v>0</v>
      </c>
      <c r="CQ85" s="11" t="s">
        <v>85</v>
      </c>
      <c r="CR85" s="11" t="s">
        <v>55</v>
      </c>
      <c r="CS85" s="11" t="s">
        <v>71</v>
      </c>
      <c r="CT85" s="11" t="s">
        <v>787</v>
      </c>
      <c r="CU85" s="11" t="s">
        <v>1153</v>
      </c>
      <c r="CV85" s="12" t="s">
        <v>955</v>
      </c>
    </row>
    <row r="86" spans="1:100" ht="128.25">
      <c r="A86" s="1">
        <f t="shared" si="1"/>
        <v>85</v>
      </c>
      <c r="B86" s="5">
        <v>644</v>
      </c>
      <c r="C86" s="6">
        <v>44886</v>
      </c>
      <c r="D86" s="7" t="s">
        <v>1154</v>
      </c>
      <c r="E86" s="6">
        <v>23602</v>
      </c>
      <c r="F86" s="29">
        <f ca="1">_xlfn.DAYS(NOW(),Tabella1[[#This Row],[Data di Nascita]])/365.25</f>
        <v>60.974674880219027</v>
      </c>
      <c r="G86" s="7" t="s">
        <v>1155</v>
      </c>
      <c r="H86" s="7" t="s">
        <v>1156</v>
      </c>
      <c r="I86" s="7" t="s">
        <v>1116</v>
      </c>
      <c r="J86" s="7" t="s">
        <v>1157</v>
      </c>
      <c r="K86" s="7" t="s">
        <v>5602</v>
      </c>
      <c r="L86" s="17">
        <f>IF(ISERROR(SEARCH("EX",Tabella1[[#This Row],[Attività lavorativa]],1)),0,1)</f>
        <v>1</v>
      </c>
      <c r="M86" s="17"/>
      <c r="N86" s="17">
        <v>1</v>
      </c>
      <c r="O86" s="17"/>
      <c r="P86" s="17"/>
      <c r="Q86" s="17"/>
      <c r="R86" s="17"/>
      <c r="S86" s="17"/>
      <c r="T86" s="17">
        <f>IF(ISERROR(SEARCH("NDD",Tabella1[[#This Row],[Attività lavorativa]],1)),0,1)</f>
        <v>0</v>
      </c>
      <c r="U86" s="7" t="s">
        <v>1158</v>
      </c>
      <c r="V86" s="22">
        <v>5</v>
      </c>
      <c r="W86" s="22">
        <f>IF(ISERROR(SEARCH("ex",Tabella1[[#This Row],[Fumo]],1)),0,1)</f>
        <v>1</v>
      </c>
      <c r="X86" s="22">
        <f>IF(ISERROR(SEARCH("no",Tabella1[[#This Row],[Fumo]],1)),0,1)</f>
        <v>0</v>
      </c>
      <c r="Y86" s="7" t="s">
        <v>25</v>
      </c>
      <c r="Z86" s="17">
        <f>IF(ISERROR(SEARCH("NDD",Tabella1[[#This Row],[Bevitore alcolici]],1)),0,1)</f>
        <v>0</v>
      </c>
      <c r="AA86" s="17">
        <f>IF(ISERROR(SEARCH("raro",Tabella1[[#This Row],[Bevitore alcolici]],1)),0,1)</f>
        <v>0</v>
      </c>
      <c r="AB86" s="17">
        <f>IF(ISERROR(SEARCH("saltuariamente",Tabella1[[#This Row],[Bevitore alcolici]],1)),0,1)</f>
        <v>0</v>
      </c>
      <c r="AC86" s="17">
        <f>IF(ISERROR(SEARCH("nega",Tabella1[[#This Row],[Bevitore alcolici]],1)),0,1)</f>
        <v>1</v>
      </c>
      <c r="AD86" s="17">
        <f>IF(ISERROR(SEARCH("potus",Tabella1[[#This Row],[Bevitore alcolici]],1)),0,1)</f>
        <v>0</v>
      </c>
      <c r="AE86" s="7" t="s">
        <v>1159</v>
      </c>
      <c r="AF86" s="17"/>
      <c r="AG86" s="18">
        <v>1</v>
      </c>
      <c r="AH86" s="18"/>
      <c r="AI86" s="18"/>
      <c r="AJ86" s="18"/>
      <c r="AK86" s="7" t="s">
        <v>3709</v>
      </c>
      <c r="AL86" s="17">
        <f>IF(ISERROR(SEARCH("si",Tabella1[[#This Row],[Patente di guida]],1)),0,1)</f>
        <v>1</v>
      </c>
      <c r="AM86" s="7" t="s">
        <v>8</v>
      </c>
      <c r="AN86" s="17">
        <f>IF(ISERROR(SEARCH("no",Tabella1[[#This Row],[Ipertensione]],1)),0,1)</f>
        <v>1</v>
      </c>
      <c r="AO86" s="7" t="s">
        <v>382</v>
      </c>
      <c r="AP86" s="18">
        <f>IF(ISERROR(SEARCH("NO",Tabella1[[#This Row],[Cardiopatia ischemica]],1)),1,0)</f>
        <v>0</v>
      </c>
      <c r="AQ86" s="17">
        <f>IF(ISERROR(SEARCH("sconosciuto",Tabella1[[#This Row],[Cardiopatia ischemica]],1)),0,1)</f>
        <v>0</v>
      </c>
      <c r="AR86" s="7" t="s">
        <v>25</v>
      </c>
      <c r="AS86" s="22">
        <f>IF(ISERROR(SEARCH("nega",Tabella1[[#This Row],[Artimie]],1)),0,1)</f>
        <v>1</v>
      </c>
      <c r="AT86" s="7" t="s">
        <v>25</v>
      </c>
      <c r="AU86" s="22">
        <f>IF(ISERROR(SEARCH("nega",Tabella1[[#This Row],[Ipercolesterolemia]],1)),0,1)</f>
        <v>1</v>
      </c>
      <c r="AV86" s="22">
        <f>IF(ISERROR(SEARCH("boh",Tabella1[[#This Row],[Ipercolesterolemia]],1)),0,1)</f>
        <v>0</v>
      </c>
      <c r="AW86" s="7" t="s">
        <v>25</v>
      </c>
      <c r="AX86" s="22">
        <f>IF(ISERROR(SEARCH("Intolleranza",Tabella1[[#This Row],[Diabete]],1)),0,1)</f>
        <v>0</v>
      </c>
      <c r="AY86" s="22">
        <f>IF(ISERROR(SEARCH("si",Tabella1[[#This Row],[Diabete]],1)),0,1)</f>
        <v>0</v>
      </c>
      <c r="AZ86" s="7" t="s">
        <v>25</v>
      </c>
      <c r="BA86" s="17">
        <f>IF(ISERROR(SEARCH("NDD",Tabella1[[#This Row],[Patologia Tiroidea]],1)),0,1)</f>
        <v>0</v>
      </c>
      <c r="BB86" s="22">
        <f>IF(ISERROR(SEARCH("TIROIDITE",Tabella1[[#This Row],[Patologia Tiroidea]],1)),0,1)</f>
        <v>0</v>
      </c>
      <c r="BC86" s="22">
        <f>IF(ISERROR(SEARCH("HASHIMOTO",Tabella1[[#This Row],[Patologia Tiroidea]],1)),0,1)</f>
        <v>0</v>
      </c>
      <c r="BD86" s="22">
        <f>IF(ISERROR(SEARCH("BASEDOW",Tabella1[[#This Row],[Patologia Tiroidea]],1)),0,1)</f>
        <v>0</v>
      </c>
      <c r="BE86" s="22">
        <f>IF(ISERROR(SEARCH("NOD",Tabella1[[#This Row],[Patologia Tiroidea]],1)),0,1)</f>
        <v>0</v>
      </c>
      <c r="BF86" s="22">
        <f>IF(ISERROR(SEARCH("GOZ",Tabella1[[#This Row],[Patologia Tiroidea]],1)),0,1)</f>
        <v>0</v>
      </c>
      <c r="BG86" s="7" t="s">
        <v>5477</v>
      </c>
      <c r="BH86" s="18">
        <v>0</v>
      </c>
      <c r="BI86" s="7" t="s">
        <v>25</v>
      </c>
      <c r="BJ86" s="22">
        <f>IF(ISERROR(SEARCH("nega",Tabella1[[#This Row],[Reflusso gastroesofageo]],1)),1,0)</f>
        <v>0</v>
      </c>
      <c r="BK86" s="7" t="s">
        <v>1160</v>
      </c>
      <c r="BL86" s="17">
        <f>IF(ISERROR(SEARCH("NDD",Tabella1[[#This Row],[Patologia respiratoria]],1)),0,1)</f>
        <v>0</v>
      </c>
      <c r="BM86" s="17">
        <f>IF(ISERROR(SEARCH("asma",Tabella1[[#This Row],[Patologia respiratoria]],1)),0,1)</f>
        <v>0</v>
      </c>
      <c r="BN86" s="17">
        <f>IF(ISERROR(SEARCH("BPCO",Tabella1[[#This Row],[Patologia respiratoria]],1)),0,1)</f>
        <v>0</v>
      </c>
      <c r="BO86" s="17">
        <f>IF(ISERROR(SEARCH("BRONCOPOLMONITE",Tabella1[[#This Row],[Patologia respiratoria]],1)),0,1)</f>
        <v>0</v>
      </c>
      <c r="BP86" s="17">
        <f>IF(ISERROR(SEARCH("ASMA, OSAS",Tabella1[[#This Row],[Patologia respiratoria]],1)),0,1)</f>
        <v>0</v>
      </c>
      <c r="BQ86" s="17">
        <f>IF(ISERROR(SEARCH("OSAS e BPCO",Tabella1[[#This Row],[Patologia respiratoria]],1)),0,1)</f>
        <v>0</v>
      </c>
      <c r="BR86" s="17">
        <f>IF(ISERROR(SEARCH("OSAS",Tabella1[[#This Row],[Patologia respiratoria]],1)),0,1)</f>
        <v>0</v>
      </c>
      <c r="BS86" s="7"/>
      <c r="BT86" s="7" t="s">
        <v>25</v>
      </c>
      <c r="BU86" s="7" t="s">
        <v>8</v>
      </c>
      <c r="BV86" s="17">
        <f>IF(ISERROR(SEARCH("ndd",Tabella1[[#This Row],[O2 terapia]],1)),0,1)</f>
        <v>0</v>
      </c>
      <c r="BW86" s="17">
        <v>0</v>
      </c>
      <c r="BX86" s="7" t="s">
        <v>1161</v>
      </c>
      <c r="BY86" s="7" t="s">
        <v>1162</v>
      </c>
      <c r="BZ86" s="17">
        <v>1</v>
      </c>
      <c r="CA86" s="7" t="s">
        <v>7</v>
      </c>
      <c r="CB86" s="17">
        <v>1</v>
      </c>
      <c r="CC86" s="7" t="s">
        <v>1163</v>
      </c>
      <c r="CD86" s="17">
        <v>1</v>
      </c>
      <c r="CE86" s="7" t="s">
        <v>1164</v>
      </c>
      <c r="CF86" s="17">
        <v>1</v>
      </c>
      <c r="CG86" s="7" t="s">
        <v>5477</v>
      </c>
      <c r="CH86" s="17"/>
      <c r="CI86" s="7" t="s">
        <v>5477</v>
      </c>
      <c r="CJ86" s="17"/>
      <c r="CK86" s="7" t="s">
        <v>700</v>
      </c>
      <c r="CL86" s="17">
        <v>1</v>
      </c>
      <c r="CM86" s="7" t="s">
        <v>25</v>
      </c>
      <c r="CN86" s="17">
        <v>0</v>
      </c>
      <c r="CO86" s="7" t="s">
        <v>8</v>
      </c>
      <c r="CP86" s="18">
        <v>0</v>
      </c>
      <c r="CQ86" s="7" t="s">
        <v>202</v>
      </c>
      <c r="CR86" s="7" t="s">
        <v>183</v>
      </c>
      <c r="CS86" s="7" t="s">
        <v>71</v>
      </c>
      <c r="CT86" s="7" t="s">
        <v>234</v>
      </c>
      <c r="CU86" s="7" t="s">
        <v>1165</v>
      </c>
      <c r="CV86" s="8"/>
    </row>
    <row r="87" spans="1:100" ht="114">
      <c r="A87" s="1">
        <f t="shared" si="1"/>
        <v>86</v>
      </c>
      <c r="B87" s="9">
        <v>651</v>
      </c>
      <c r="C87" s="10">
        <v>44890</v>
      </c>
      <c r="D87" s="11" t="s">
        <v>1166</v>
      </c>
      <c r="E87" s="10">
        <v>18554</v>
      </c>
      <c r="F87" s="29">
        <f ca="1">_xlfn.DAYS(NOW(),Tabella1[[#This Row],[Data di Nascita]])/365.25</f>
        <v>74.795345653661869</v>
      </c>
      <c r="G87" s="11" t="s">
        <v>1167</v>
      </c>
      <c r="H87" s="11" t="s">
        <v>1168</v>
      </c>
      <c r="I87" s="11" t="s">
        <v>955</v>
      </c>
      <c r="J87" s="11" t="s">
        <v>618</v>
      </c>
      <c r="K87" s="11" t="s">
        <v>881</v>
      </c>
      <c r="L87" s="18">
        <f>IF(ISERROR(SEARCH("EX",Tabella1[[#This Row],[Attività lavorativa]],1)),0,1)</f>
        <v>0</v>
      </c>
      <c r="M87" s="18"/>
      <c r="N87" s="18"/>
      <c r="O87" s="18"/>
      <c r="P87" s="18"/>
      <c r="Q87" s="18"/>
      <c r="R87" s="18"/>
      <c r="S87" s="18"/>
      <c r="T87" s="17">
        <f>IF(ISERROR(SEARCH("NDD",Tabella1[[#This Row],[Attività lavorativa]],1)),0,1)</f>
        <v>0</v>
      </c>
      <c r="U87" s="11" t="s">
        <v>1169</v>
      </c>
      <c r="V87" s="22"/>
      <c r="W87" s="22">
        <f>IF(ISERROR(SEARCH("ex",Tabella1[[#This Row],[Fumo]],1)),0,1)</f>
        <v>0</v>
      </c>
      <c r="X87" s="22">
        <f>IF(ISERROR(SEARCH("no",Tabella1[[#This Row],[Fumo]],1)),0,1)</f>
        <v>0</v>
      </c>
      <c r="Y87" s="11" t="s">
        <v>25</v>
      </c>
      <c r="Z87" s="18">
        <f>IF(ISERROR(SEARCH("NDD",Tabella1[[#This Row],[Bevitore alcolici]],1)),0,1)</f>
        <v>0</v>
      </c>
      <c r="AA87" s="17">
        <f>IF(ISERROR(SEARCH("raro",Tabella1[[#This Row],[Bevitore alcolici]],1)),0,1)</f>
        <v>0</v>
      </c>
      <c r="AB87" s="17">
        <f>IF(ISERROR(SEARCH("saltuariamente",Tabella1[[#This Row],[Bevitore alcolici]],1)),0,1)</f>
        <v>0</v>
      </c>
      <c r="AC87" s="17">
        <f>IF(ISERROR(SEARCH("nega",Tabella1[[#This Row],[Bevitore alcolici]],1)),0,1)</f>
        <v>1</v>
      </c>
      <c r="AD87" s="17">
        <f>IF(ISERROR(SEARCH("potus",Tabella1[[#This Row],[Bevitore alcolici]],1)),0,1)</f>
        <v>0</v>
      </c>
      <c r="AE87" s="11" t="s">
        <v>1170</v>
      </c>
      <c r="AF87" s="18"/>
      <c r="AG87" s="18">
        <v>1</v>
      </c>
      <c r="AH87" s="18"/>
      <c r="AI87" s="18"/>
      <c r="AJ87" s="18"/>
      <c r="AK87" s="11" t="s">
        <v>28</v>
      </c>
      <c r="AL87" s="18">
        <f>IF(ISERROR(SEARCH("si",Tabella1[[#This Row],[Patente di guida]],1)),0,1)</f>
        <v>1</v>
      </c>
      <c r="AM87" s="11" t="s">
        <v>28</v>
      </c>
      <c r="AN87" s="18">
        <f>IF(ISERROR(SEARCH("no",Tabella1[[#This Row],[Ipertensione]],1)),0,1)</f>
        <v>0</v>
      </c>
      <c r="AO87" s="11" t="s">
        <v>382</v>
      </c>
      <c r="AP87" s="18">
        <f>IF(ISERROR(SEARCH("NO",Tabella1[[#This Row],[Cardiopatia ischemica]],1)),1,0)</f>
        <v>0</v>
      </c>
      <c r="AQ87" s="17">
        <f>IF(ISERROR(SEARCH("sconosciuto",Tabella1[[#This Row],[Cardiopatia ischemica]],1)),0,1)</f>
        <v>0</v>
      </c>
      <c r="AR87" s="11" t="s">
        <v>25</v>
      </c>
      <c r="AS87" s="22">
        <f>IF(ISERROR(SEARCH("nega",Tabella1[[#This Row],[Artimie]],1)),0,1)</f>
        <v>1</v>
      </c>
      <c r="AT87" s="11" t="s">
        <v>25</v>
      </c>
      <c r="AU87" s="22">
        <f>IF(ISERROR(SEARCH("nega",Tabella1[[#This Row],[Ipercolesterolemia]],1)),0,1)</f>
        <v>1</v>
      </c>
      <c r="AV87" s="22">
        <f>IF(ISERROR(SEARCH("boh",Tabella1[[#This Row],[Ipercolesterolemia]],1)),0,1)</f>
        <v>0</v>
      </c>
      <c r="AW87" s="11" t="s">
        <v>8</v>
      </c>
      <c r="AX87" s="22">
        <f>IF(ISERROR(SEARCH("Intolleranza",Tabella1[[#This Row],[Diabete]],1)),0,1)</f>
        <v>0</v>
      </c>
      <c r="AY87" s="22">
        <f>IF(ISERROR(SEARCH("si",Tabella1[[#This Row],[Diabete]],1)),0,1)</f>
        <v>0</v>
      </c>
      <c r="AZ87" s="11" t="s">
        <v>8</v>
      </c>
      <c r="BA87" s="18">
        <f>IF(ISERROR(SEARCH("NDD",Tabella1[[#This Row],[Patologia Tiroidea]],1)),0,1)</f>
        <v>0</v>
      </c>
      <c r="BB87" s="22">
        <f>IF(ISERROR(SEARCH("TIROIDITE",Tabella1[[#This Row],[Patologia Tiroidea]],1)),0,1)</f>
        <v>0</v>
      </c>
      <c r="BC87" s="22">
        <f>IF(ISERROR(SEARCH("HASHIMOTO",Tabella1[[#This Row],[Patologia Tiroidea]],1)),0,1)</f>
        <v>0</v>
      </c>
      <c r="BD87" s="22">
        <f>IF(ISERROR(SEARCH("BASEDOW",Tabella1[[#This Row],[Patologia Tiroidea]],1)),0,1)</f>
        <v>0</v>
      </c>
      <c r="BE87" s="22">
        <f>IF(ISERROR(SEARCH("NOD",Tabella1[[#This Row],[Patologia Tiroidea]],1)),0,1)</f>
        <v>0</v>
      </c>
      <c r="BF87" s="22">
        <f>IF(ISERROR(SEARCH("GOZ",Tabella1[[#This Row],[Patologia Tiroidea]],1)),0,1)</f>
        <v>0</v>
      </c>
      <c r="BG87" s="11" t="s">
        <v>745</v>
      </c>
      <c r="BH87" s="18">
        <f>IF(Tabella1[[#This Row],[Obesità]]="no",0,1)</f>
        <v>1</v>
      </c>
      <c r="BI87" s="11" t="s">
        <v>25</v>
      </c>
      <c r="BJ87" s="22">
        <f>IF(ISERROR(SEARCH("nega",Tabella1[[#This Row],[Reflusso gastroesofageo]],1)),1,0)</f>
        <v>0</v>
      </c>
      <c r="BK87" s="11" t="s">
        <v>8</v>
      </c>
      <c r="BL87" s="18">
        <f>IF(ISERROR(SEARCH("NDD",Tabella1[[#This Row],[Patologia respiratoria]],1)),0,1)</f>
        <v>0</v>
      </c>
      <c r="BM87" s="18">
        <f>IF(ISERROR(SEARCH("asma",Tabella1[[#This Row],[Patologia respiratoria]],1)),0,1)</f>
        <v>0</v>
      </c>
      <c r="BN87" s="18">
        <f>IF(ISERROR(SEARCH("BPCO",Tabella1[[#This Row],[Patologia respiratoria]],1)),0,1)</f>
        <v>0</v>
      </c>
      <c r="BO87" s="18">
        <f>IF(ISERROR(SEARCH("BRONCOPOLMONITE",Tabella1[[#This Row],[Patologia respiratoria]],1)),0,1)</f>
        <v>0</v>
      </c>
      <c r="BP87" s="18">
        <f>IF(ISERROR(SEARCH("ASMA, OSAS",Tabella1[[#This Row],[Patologia respiratoria]],1)),0,1)</f>
        <v>0</v>
      </c>
      <c r="BQ87" s="18">
        <f>IF(ISERROR(SEARCH("OSAS e BPCO",Tabella1[[#This Row],[Patologia respiratoria]],1)),0,1)</f>
        <v>0</v>
      </c>
      <c r="BR87" s="18">
        <f>IF(ISERROR(SEARCH("OSAS",Tabella1[[#This Row],[Patologia respiratoria]],1)),0,1)</f>
        <v>0</v>
      </c>
      <c r="BS87" s="11" t="s">
        <v>8</v>
      </c>
      <c r="BT87" s="11"/>
      <c r="BU87" s="11" t="s">
        <v>1171</v>
      </c>
      <c r="BV87" s="18">
        <f>IF(ISERROR(SEARCH("ndd",Tabella1[[#This Row],[O2 terapia]],1)),0,1)</f>
        <v>0</v>
      </c>
      <c r="BW87" s="17">
        <v>0</v>
      </c>
      <c r="BX87" s="11"/>
      <c r="BY87" s="11" t="s">
        <v>382</v>
      </c>
      <c r="BZ87" s="18">
        <v>0</v>
      </c>
      <c r="CA87" s="11" t="s">
        <v>8</v>
      </c>
      <c r="CB87" s="17">
        <v>0</v>
      </c>
      <c r="CC87" s="11" t="s">
        <v>1172</v>
      </c>
      <c r="CD87" s="17">
        <v>1</v>
      </c>
      <c r="CE87" s="11" t="s">
        <v>8</v>
      </c>
      <c r="CF87" s="18">
        <v>0</v>
      </c>
      <c r="CG87" s="11" t="s">
        <v>8</v>
      </c>
      <c r="CH87" s="17">
        <v>0</v>
      </c>
      <c r="CI87" s="11" t="s">
        <v>8</v>
      </c>
      <c r="CJ87" s="18">
        <v>0</v>
      </c>
      <c r="CK87" s="11" t="s">
        <v>1173</v>
      </c>
      <c r="CL87" s="17">
        <v>1</v>
      </c>
      <c r="CM87" s="11" t="s">
        <v>8</v>
      </c>
      <c r="CN87" s="17">
        <v>0</v>
      </c>
      <c r="CO87" s="11" t="s">
        <v>8</v>
      </c>
      <c r="CP87" s="18">
        <v>0</v>
      </c>
      <c r="CQ87" s="11" t="s">
        <v>85</v>
      </c>
      <c r="CR87" s="11" t="s">
        <v>36</v>
      </c>
      <c r="CS87" s="11" t="s">
        <v>219</v>
      </c>
      <c r="CT87" s="11" t="s">
        <v>262</v>
      </c>
      <c r="CU87" s="11" t="s">
        <v>1174</v>
      </c>
      <c r="CV87" s="12" t="s">
        <v>955</v>
      </c>
    </row>
    <row r="88" spans="1:100" ht="128.25">
      <c r="A88" s="1">
        <f t="shared" si="1"/>
        <v>87</v>
      </c>
      <c r="B88" s="5">
        <v>654</v>
      </c>
      <c r="C88" s="6">
        <v>44895</v>
      </c>
      <c r="D88" s="7" t="s">
        <v>1175</v>
      </c>
      <c r="E88" s="6">
        <v>23577</v>
      </c>
      <c r="F88" s="29">
        <f ca="1">_xlfn.DAYS(NOW(),Tabella1[[#This Row],[Data di Nascita]])/365.25</f>
        <v>61.043121149897331</v>
      </c>
      <c r="G88" s="7"/>
      <c r="H88" s="7" t="s">
        <v>1176</v>
      </c>
      <c r="I88" s="7" t="s">
        <v>325</v>
      </c>
      <c r="J88" s="7" t="s">
        <v>618</v>
      </c>
      <c r="K88" s="7" t="s">
        <v>1177</v>
      </c>
      <c r="L88" s="17">
        <f>IF(ISERROR(SEARCH("EX",Tabella1[[#This Row],[Attività lavorativa]],1)),0,1)</f>
        <v>0</v>
      </c>
      <c r="M88" s="17"/>
      <c r="N88" s="17"/>
      <c r="O88" s="18">
        <v>1</v>
      </c>
      <c r="P88" s="18"/>
      <c r="Q88" s="18"/>
      <c r="R88" s="18"/>
      <c r="S88" s="18"/>
      <c r="T88" s="17">
        <f>IF(ISERROR(SEARCH("NDD",Tabella1[[#This Row],[Attività lavorativa]],1)),0,1)</f>
        <v>0</v>
      </c>
      <c r="U88" s="7" t="s">
        <v>1178</v>
      </c>
      <c r="V88" s="22">
        <v>40</v>
      </c>
      <c r="W88" s="22">
        <f>IF(ISERROR(SEARCH("ex",Tabella1[[#This Row],[Fumo]],1)),0,1)</f>
        <v>0</v>
      </c>
      <c r="X88" s="22">
        <f>IF(ISERROR(SEARCH("no",Tabella1[[#This Row],[Fumo]],1)),0,1)</f>
        <v>0</v>
      </c>
      <c r="Y88" s="7" t="s">
        <v>25</v>
      </c>
      <c r="Z88" s="17">
        <f>IF(ISERROR(SEARCH("NDD",Tabella1[[#This Row],[Bevitore alcolici]],1)),0,1)</f>
        <v>0</v>
      </c>
      <c r="AA88" s="17">
        <f>IF(ISERROR(SEARCH("raro",Tabella1[[#This Row],[Bevitore alcolici]],1)),0,1)</f>
        <v>0</v>
      </c>
      <c r="AB88" s="17">
        <f>IF(ISERROR(SEARCH("saltuariamente",Tabella1[[#This Row],[Bevitore alcolici]],1)),0,1)</f>
        <v>0</v>
      </c>
      <c r="AC88" s="17">
        <f>IF(ISERROR(SEARCH("nega",Tabella1[[#This Row],[Bevitore alcolici]],1)),0,1)</f>
        <v>1</v>
      </c>
      <c r="AD88" s="17">
        <f>IF(ISERROR(SEARCH("potus",Tabella1[[#This Row],[Bevitore alcolici]],1)),0,1)</f>
        <v>0</v>
      </c>
      <c r="AE88" s="7" t="s">
        <v>657</v>
      </c>
      <c r="AF88" s="17"/>
      <c r="AG88" s="17"/>
      <c r="AH88" s="17"/>
      <c r="AI88" s="17"/>
      <c r="AJ88" s="17"/>
      <c r="AK88" s="7" t="s">
        <v>28</v>
      </c>
      <c r="AL88" s="17">
        <f>IF(ISERROR(SEARCH("si",Tabella1[[#This Row],[Patente di guida]],1)),0,1)</f>
        <v>1</v>
      </c>
      <c r="AM88" s="7" t="s">
        <v>28</v>
      </c>
      <c r="AN88" s="17">
        <f>IF(ISERROR(SEARCH("no",Tabella1[[#This Row],[Ipertensione]],1)),0,1)</f>
        <v>0</v>
      </c>
      <c r="AO88" s="7" t="s">
        <v>382</v>
      </c>
      <c r="AP88" s="18">
        <f>IF(ISERROR(SEARCH("NO",Tabella1[[#This Row],[Cardiopatia ischemica]],1)),1,0)</f>
        <v>0</v>
      </c>
      <c r="AQ88" s="17">
        <f>IF(ISERROR(SEARCH("sconosciuto",Tabella1[[#This Row],[Cardiopatia ischemica]],1)),0,1)</f>
        <v>0</v>
      </c>
      <c r="AR88" s="7" t="s">
        <v>25</v>
      </c>
      <c r="AS88" s="22">
        <f>IF(ISERROR(SEARCH("nega",Tabella1[[#This Row],[Artimie]],1)),0,1)</f>
        <v>1</v>
      </c>
      <c r="AT88" s="7" t="s">
        <v>25</v>
      </c>
      <c r="AU88" s="22">
        <f>IF(ISERROR(SEARCH("nega",Tabella1[[#This Row],[Ipercolesterolemia]],1)),0,1)</f>
        <v>1</v>
      </c>
      <c r="AV88" s="22">
        <f>IF(ISERROR(SEARCH("boh",Tabella1[[#This Row],[Ipercolesterolemia]],1)),0,1)</f>
        <v>0</v>
      </c>
      <c r="AW88" s="7" t="s">
        <v>28</v>
      </c>
      <c r="AX88" s="22">
        <f>IF(ISERROR(SEARCH("Intolleranza",Tabella1[[#This Row],[Diabete]],1)),0,1)</f>
        <v>0</v>
      </c>
      <c r="AY88" s="22">
        <f>IF(ISERROR(SEARCH("si",Tabella1[[#This Row],[Diabete]],1)),0,1)</f>
        <v>1</v>
      </c>
      <c r="AZ88" s="7" t="s">
        <v>8</v>
      </c>
      <c r="BA88" s="17">
        <f>IF(ISERROR(SEARCH("NDD",Tabella1[[#This Row],[Patologia Tiroidea]],1)),0,1)</f>
        <v>0</v>
      </c>
      <c r="BB88" s="22">
        <f>IF(ISERROR(SEARCH("TIROIDITE",Tabella1[[#This Row],[Patologia Tiroidea]],1)),0,1)</f>
        <v>0</v>
      </c>
      <c r="BC88" s="22">
        <f>IF(ISERROR(SEARCH("HASHIMOTO",Tabella1[[#This Row],[Patologia Tiroidea]],1)),0,1)</f>
        <v>0</v>
      </c>
      <c r="BD88" s="22">
        <f>IF(ISERROR(SEARCH("BASEDOW",Tabella1[[#This Row],[Patologia Tiroidea]],1)),0,1)</f>
        <v>0</v>
      </c>
      <c r="BE88" s="22">
        <f>IF(ISERROR(SEARCH("NOD",Tabella1[[#This Row],[Patologia Tiroidea]],1)),0,1)</f>
        <v>0</v>
      </c>
      <c r="BF88" s="22">
        <f>IF(ISERROR(SEARCH("GOZ",Tabella1[[#This Row],[Patologia Tiroidea]],1)),0,1)</f>
        <v>0</v>
      </c>
      <c r="BG88" s="7" t="s">
        <v>1179</v>
      </c>
      <c r="BH88" s="17">
        <f>IF(Tabella1[[#This Row],[Obesità]]="no",0,1)</f>
        <v>1</v>
      </c>
      <c r="BI88" s="7" t="s">
        <v>28</v>
      </c>
      <c r="BJ88" s="22">
        <f>IF(ISERROR(SEARCH("nega",Tabella1[[#This Row],[Reflusso gastroesofageo]],1)),1,0)</f>
        <v>1</v>
      </c>
      <c r="BK88" s="7" t="s">
        <v>8</v>
      </c>
      <c r="BL88" s="17">
        <f>IF(ISERROR(SEARCH("NDD",Tabella1[[#This Row],[Patologia respiratoria]],1)),0,1)</f>
        <v>0</v>
      </c>
      <c r="BM88" s="17">
        <f>IF(ISERROR(SEARCH("asma",Tabella1[[#This Row],[Patologia respiratoria]],1)),0,1)</f>
        <v>0</v>
      </c>
      <c r="BN88" s="17">
        <f>IF(ISERROR(SEARCH("BPCO",Tabella1[[#This Row],[Patologia respiratoria]],1)),0,1)</f>
        <v>0</v>
      </c>
      <c r="BO88" s="17">
        <f>IF(ISERROR(SEARCH("BRONCOPOLMONITE",Tabella1[[#This Row],[Patologia respiratoria]],1)),0,1)</f>
        <v>0</v>
      </c>
      <c r="BP88" s="17">
        <f>IF(ISERROR(SEARCH("ASMA, OSAS",Tabella1[[#This Row],[Patologia respiratoria]],1)),0,1)</f>
        <v>0</v>
      </c>
      <c r="BQ88" s="17">
        <f>IF(ISERROR(SEARCH("OSAS e BPCO",Tabella1[[#This Row],[Patologia respiratoria]],1)),0,1)</f>
        <v>0</v>
      </c>
      <c r="BR88" s="17">
        <f>IF(ISERROR(SEARCH("OSAS",Tabella1[[#This Row],[Patologia respiratoria]],1)),0,1)</f>
        <v>0</v>
      </c>
      <c r="BS88" s="7"/>
      <c r="BT88" s="7"/>
      <c r="BU88" s="7" t="s">
        <v>1180</v>
      </c>
      <c r="BV88" s="17">
        <f>IF(ISERROR(SEARCH("ndd",Tabella1[[#This Row],[O2 terapia]],1)),0,1)</f>
        <v>0</v>
      </c>
      <c r="BW88" s="17">
        <v>0</v>
      </c>
      <c r="BX88" s="7"/>
      <c r="BY88" s="7" t="s">
        <v>28</v>
      </c>
      <c r="BZ88" s="17">
        <v>1</v>
      </c>
      <c r="CA88" s="7" t="s">
        <v>28</v>
      </c>
      <c r="CB88" s="17">
        <v>1</v>
      </c>
      <c r="CC88" s="7" t="s">
        <v>28</v>
      </c>
      <c r="CD88" s="17">
        <v>1</v>
      </c>
      <c r="CE88" s="7" t="s">
        <v>8</v>
      </c>
      <c r="CF88" s="18">
        <v>0</v>
      </c>
      <c r="CG88" s="7" t="s">
        <v>8</v>
      </c>
      <c r="CH88" s="17">
        <v>0</v>
      </c>
      <c r="CI88" s="7" t="s">
        <v>8</v>
      </c>
      <c r="CJ88" s="18">
        <v>0</v>
      </c>
      <c r="CK88" s="7" t="s">
        <v>8</v>
      </c>
      <c r="CL88" s="17">
        <v>0</v>
      </c>
      <c r="CM88" s="7" t="s">
        <v>8</v>
      </c>
      <c r="CN88" s="17">
        <v>0</v>
      </c>
      <c r="CO88" s="7" t="s">
        <v>8</v>
      </c>
      <c r="CP88" s="18">
        <v>0</v>
      </c>
      <c r="CQ88" s="7" t="s">
        <v>13</v>
      </c>
      <c r="CR88" s="7" t="s">
        <v>922</v>
      </c>
      <c r="CS88" s="7" t="s">
        <v>105</v>
      </c>
      <c r="CT88" s="7" t="s">
        <v>1181</v>
      </c>
      <c r="CU88" s="7" t="s">
        <v>1182</v>
      </c>
      <c r="CV88" s="8" t="s">
        <v>1183</v>
      </c>
    </row>
    <row r="89" spans="1:100" ht="99.75">
      <c r="A89" s="1">
        <f t="shared" si="1"/>
        <v>88</v>
      </c>
      <c r="B89" s="9">
        <v>669</v>
      </c>
      <c r="C89" s="10">
        <v>44907</v>
      </c>
      <c r="D89" s="11" t="s">
        <v>1184</v>
      </c>
      <c r="E89" s="10">
        <v>24169</v>
      </c>
      <c r="F89" s="29">
        <f ca="1">_xlfn.DAYS(NOW(),Tabella1[[#This Row],[Data di Nascita]])/365.25</f>
        <v>59.422313483915126</v>
      </c>
      <c r="G89" s="11" t="s">
        <v>1185</v>
      </c>
      <c r="H89" s="11" t="s">
        <v>1186</v>
      </c>
      <c r="I89" s="11" t="s">
        <v>816</v>
      </c>
      <c r="J89" s="11" t="s">
        <v>618</v>
      </c>
      <c r="K89" s="11" t="s">
        <v>1187</v>
      </c>
      <c r="L89" s="18">
        <f>IF(ISERROR(SEARCH("EX",Tabella1[[#This Row],[Attività lavorativa]],1)),0,1)</f>
        <v>1</v>
      </c>
      <c r="M89" s="18">
        <v>1</v>
      </c>
      <c r="N89" s="18"/>
      <c r="O89" s="18"/>
      <c r="P89" s="18"/>
      <c r="Q89" s="18"/>
      <c r="R89" s="18"/>
      <c r="S89" s="18"/>
      <c r="T89" s="17">
        <f>IF(ISERROR(SEARCH("NDD",Tabella1[[#This Row],[Attività lavorativa]],1)),0,1)</f>
        <v>0</v>
      </c>
      <c r="U89" s="11" t="s">
        <v>1188</v>
      </c>
      <c r="V89" s="22"/>
      <c r="W89" s="22">
        <f>IF(ISERROR(SEARCH("ex",Tabella1[[#This Row],[Fumo]],1)),0,1)</f>
        <v>0</v>
      </c>
      <c r="X89" s="22">
        <f>IF(ISERROR(SEARCH("no",Tabella1[[#This Row],[Fumo]],1)),0,1)</f>
        <v>0</v>
      </c>
      <c r="Y89" s="11" t="s">
        <v>486</v>
      </c>
      <c r="Z89" s="18">
        <f>IF(ISERROR(SEARCH("NDD",Tabella1[[#This Row],[Bevitore alcolici]],1)),0,1)</f>
        <v>0</v>
      </c>
      <c r="AA89" s="17">
        <f>IF(ISERROR(SEARCH("raro",Tabella1[[#This Row],[Bevitore alcolici]],1)),0,1)</f>
        <v>0</v>
      </c>
      <c r="AB89" s="17">
        <f>IF(ISERROR(SEARCH("saltuariamente",Tabella1[[#This Row],[Bevitore alcolici]],1)),0,1)</f>
        <v>0</v>
      </c>
      <c r="AC89" s="17">
        <f>IF(ISERROR(SEARCH("nega",Tabella1[[#This Row],[Bevitore alcolici]],1)),0,1)</f>
        <v>0</v>
      </c>
      <c r="AD89" s="17">
        <f>IF(ISERROR(SEARCH("potus",Tabella1[[#This Row],[Bevitore alcolici]],1)),0,1)</f>
        <v>0</v>
      </c>
      <c r="AE89" s="11" t="s">
        <v>657</v>
      </c>
      <c r="AF89" s="18"/>
      <c r="AG89" s="18"/>
      <c r="AH89" s="18"/>
      <c r="AI89" s="18"/>
      <c r="AJ89" s="18"/>
      <c r="AK89" s="11" t="s">
        <v>28</v>
      </c>
      <c r="AL89" s="18">
        <f>IF(ISERROR(SEARCH("si",Tabella1[[#This Row],[Patente di guida]],1)),0,1)</f>
        <v>1</v>
      </c>
      <c r="AM89" s="11" t="s">
        <v>28</v>
      </c>
      <c r="AN89" s="18">
        <f>IF(ISERROR(SEARCH("no",Tabella1[[#This Row],[Ipertensione]],1)),0,1)</f>
        <v>0</v>
      </c>
      <c r="AO89" s="11" t="s">
        <v>382</v>
      </c>
      <c r="AP89" s="18">
        <f>IF(ISERROR(SEARCH("NO",Tabella1[[#This Row],[Cardiopatia ischemica]],1)),1,0)</f>
        <v>0</v>
      </c>
      <c r="AQ89" s="17">
        <f>IF(ISERROR(SEARCH("sconosciuto",Tabella1[[#This Row],[Cardiopatia ischemica]],1)),0,1)</f>
        <v>0</v>
      </c>
      <c r="AR89" s="11" t="s">
        <v>25</v>
      </c>
      <c r="AS89" s="22">
        <f>IF(ISERROR(SEARCH("nega",Tabella1[[#This Row],[Artimie]],1)),0,1)</f>
        <v>1</v>
      </c>
      <c r="AT89" s="11" t="s">
        <v>25</v>
      </c>
      <c r="AU89" s="22">
        <f>IF(ISERROR(SEARCH("nega",Tabella1[[#This Row],[Ipercolesterolemia]],1)),0,1)</f>
        <v>1</v>
      </c>
      <c r="AV89" s="22">
        <f>IF(ISERROR(SEARCH("boh",Tabella1[[#This Row],[Ipercolesterolemia]],1)),0,1)</f>
        <v>0</v>
      </c>
      <c r="AW89" s="11" t="s">
        <v>8</v>
      </c>
      <c r="AX89" s="22">
        <f>IF(ISERROR(SEARCH("Intolleranza",Tabella1[[#This Row],[Diabete]],1)),0,1)</f>
        <v>0</v>
      </c>
      <c r="AY89" s="22">
        <f>IF(ISERROR(SEARCH("si",Tabella1[[#This Row],[Diabete]],1)),0,1)</f>
        <v>0</v>
      </c>
      <c r="AZ89" s="11" t="s">
        <v>8</v>
      </c>
      <c r="BA89" s="18">
        <f>IF(ISERROR(SEARCH("NDD",Tabella1[[#This Row],[Patologia Tiroidea]],1)),0,1)</f>
        <v>0</v>
      </c>
      <c r="BB89" s="22">
        <f>IF(ISERROR(SEARCH("TIROIDITE",Tabella1[[#This Row],[Patologia Tiroidea]],1)),0,1)</f>
        <v>0</v>
      </c>
      <c r="BC89" s="22">
        <f>IF(ISERROR(SEARCH("HASHIMOTO",Tabella1[[#This Row],[Patologia Tiroidea]],1)),0,1)</f>
        <v>0</v>
      </c>
      <c r="BD89" s="22">
        <f>IF(ISERROR(SEARCH("BASEDOW",Tabella1[[#This Row],[Patologia Tiroidea]],1)),0,1)</f>
        <v>0</v>
      </c>
      <c r="BE89" s="22">
        <f>IF(ISERROR(SEARCH("NOD",Tabella1[[#This Row],[Patologia Tiroidea]],1)),0,1)</f>
        <v>0</v>
      </c>
      <c r="BF89" s="22">
        <f>IF(ISERROR(SEARCH("GOZ",Tabella1[[#This Row],[Patologia Tiroidea]],1)),0,1)</f>
        <v>0</v>
      </c>
      <c r="BG89" s="11" t="s">
        <v>1179</v>
      </c>
      <c r="BH89" s="18">
        <f>IF(Tabella1[[#This Row],[Obesità]]="no",0,1)</f>
        <v>1</v>
      </c>
      <c r="BI89" s="11" t="s">
        <v>25</v>
      </c>
      <c r="BJ89" s="22">
        <f>IF(ISERROR(SEARCH("nega",Tabella1[[#This Row],[Reflusso gastroesofageo]],1)),1,0)</f>
        <v>0</v>
      </c>
      <c r="BK89" s="11" t="s">
        <v>8</v>
      </c>
      <c r="BL89" s="18">
        <f>IF(ISERROR(SEARCH("NDD",Tabella1[[#This Row],[Patologia respiratoria]],1)),0,1)</f>
        <v>0</v>
      </c>
      <c r="BM89" s="18">
        <f>IF(ISERROR(SEARCH("asma",Tabella1[[#This Row],[Patologia respiratoria]],1)),0,1)</f>
        <v>0</v>
      </c>
      <c r="BN89" s="18">
        <f>IF(ISERROR(SEARCH("BPCO",Tabella1[[#This Row],[Patologia respiratoria]],1)),0,1)</f>
        <v>0</v>
      </c>
      <c r="BO89" s="18">
        <f>IF(ISERROR(SEARCH("BRONCOPOLMONITE",Tabella1[[#This Row],[Patologia respiratoria]],1)),0,1)</f>
        <v>0</v>
      </c>
      <c r="BP89" s="18">
        <f>IF(ISERROR(SEARCH("ASMA, OSAS",Tabella1[[#This Row],[Patologia respiratoria]],1)),0,1)</f>
        <v>0</v>
      </c>
      <c r="BQ89" s="18">
        <f>IF(ISERROR(SEARCH("OSAS e BPCO",Tabella1[[#This Row],[Patologia respiratoria]],1)),0,1)</f>
        <v>0</v>
      </c>
      <c r="BR89" s="18">
        <f>IF(ISERROR(SEARCH("OSAS",Tabella1[[#This Row],[Patologia respiratoria]],1)),0,1)</f>
        <v>0</v>
      </c>
      <c r="BS89" s="11" t="s">
        <v>8</v>
      </c>
      <c r="BT89" s="11"/>
      <c r="BU89" s="11" t="s">
        <v>1189</v>
      </c>
      <c r="BV89" s="18">
        <f>IF(ISERROR(SEARCH("ndd",Tabella1[[#This Row],[O2 terapia]],1)),0,1)</f>
        <v>0</v>
      </c>
      <c r="BW89" s="17">
        <v>0</v>
      </c>
      <c r="BX89" s="11"/>
      <c r="BY89" s="11" t="s">
        <v>1190</v>
      </c>
      <c r="BZ89" s="18">
        <v>0</v>
      </c>
      <c r="CA89" s="11" t="s">
        <v>1191</v>
      </c>
      <c r="CB89" s="17">
        <v>1</v>
      </c>
      <c r="CC89" s="11" t="s">
        <v>1192</v>
      </c>
      <c r="CD89" s="17">
        <v>1</v>
      </c>
      <c r="CE89" s="11" t="s">
        <v>8</v>
      </c>
      <c r="CF89" s="18">
        <v>0</v>
      </c>
      <c r="CG89" s="11" t="s">
        <v>8</v>
      </c>
      <c r="CH89" s="17">
        <v>0</v>
      </c>
      <c r="CI89" s="11" t="s">
        <v>8</v>
      </c>
      <c r="CJ89" s="18">
        <v>0</v>
      </c>
      <c r="CK89" s="11" t="s">
        <v>1193</v>
      </c>
      <c r="CL89" s="17">
        <v>1</v>
      </c>
      <c r="CM89" s="11" t="s">
        <v>28</v>
      </c>
      <c r="CN89" s="17">
        <v>1</v>
      </c>
      <c r="CO89" s="11" t="s">
        <v>8</v>
      </c>
      <c r="CP89" s="18">
        <v>0</v>
      </c>
      <c r="CQ89" s="11" t="s">
        <v>368</v>
      </c>
      <c r="CR89" s="11" t="s">
        <v>403</v>
      </c>
      <c r="CS89" s="11" t="s">
        <v>105</v>
      </c>
      <c r="CT89" s="11" t="s">
        <v>169</v>
      </c>
      <c r="CU89" s="11" t="s">
        <v>1194</v>
      </c>
      <c r="CV89" s="12" t="s">
        <v>1195</v>
      </c>
    </row>
    <row r="90" spans="1:100" ht="128.25">
      <c r="A90" s="1">
        <f t="shared" si="1"/>
        <v>89</v>
      </c>
      <c r="B90" s="5">
        <v>678</v>
      </c>
      <c r="C90" s="6">
        <v>44910</v>
      </c>
      <c r="D90" s="7" t="s">
        <v>1196</v>
      </c>
      <c r="E90" s="6">
        <v>21970</v>
      </c>
      <c r="F90" s="29">
        <f ca="1">_xlfn.DAYS(NOW(),Tabella1[[#This Row],[Data di Nascita]])/365.25</f>
        <v>65.442847364818618</v>
      </c>
      <c r="G90" s="7" t="s">
        <v>1197</v>
      </c>
      <c r="H90" s="7" t="s">
        <v>1198</v>
      </c>
      <c r="I90" s="7" t="s">
        <v>955</v>
      </c>
      <c r="J90" s="7" t="s">
        <v>618</v>
      </c>
      <c r="K90" s="7" t="s">
        <v>881</v>
      </c>
      <c r="L90" s="17">
        <f>IF(ISERROR(SEARCH("EX",Tabella1[[#This Row],[Attività lavorativa]],1)),0,1)</f>
        <v>0</v>
      </c>
      <c r="M90" s="17"/>
      <c r="N90" s="17"/>
      <c r="O90" s="17"/>
      <c r="P90" s="17"/>
      <c r="Q90" s="17"/>
      <c r="R90" s="17"/>
      <c r="S90" s="17"/>
      <c r="T90" s="17">
        <f>IF(ISERROR(SEARCH("NDD",Tabella1[[#This Row],[Attività lavorativa]],1)),0,1)</f>
        <v>0</v>
      </c>
      <c r="U90" s="7" t="s">
        <v>1199</v>
      </c>
      <c r="V90" s="22">
        <v>40</v>
      </c>
      <c r="W90" s="22">
        <f>IF(ISERROR(SEARCH("ex",Tabella1[[#This Row],[Fumo]],1)),0,1)</f>
        <v>0</v>
      </c>
      <c r="X90" s="22">
        <f>IF(ISERROR(SEARCH("no",Tabella1[[#This Row],[Fumo]],1)),0,1)</f>
        <v>0</v>
      </c>
      <c r="Y90" s="7" t="s">
        <v>486</v>
      </c>
      <c r="Z90" s="17">
        <f>IF(ISERROR(SEARCH("NDD",Tabella1[[#This Row],[Bevitore alcolici]],1)),0,1)</f>
        <v>0</v>
      </c>
      <c r="AA90" s="17">
        <f>IF(ISERROR(SEARCH("raro",Tabella1[[#This Row],[Bevitore alcolici]],1)),0,1)</f>
        <v>0</v>
      </c>
      <c r="AB90" s="17">
        <f>IF(ISERROR(SEARCH("saltuariamente",Tabella1[[#This Row],[Bevitore alcolici]],1)),0,1)</f>
        <v>0</v>
      </c>
      <c r="AC90" s="17">
        <f>IF(ISERROR(SEARCH("nega",Tabella1[[#This Row],[Bevitore alcolici]],1)),0,1)</f>
        <v>0</v>
      </c>
      <c r="AD90" s="17">
        <f>IF(ISERROR(SEARCH("potus",Tabella1[[#This Row],[Bevitore alcolici]],1)),0,1)</f>
        <v>0</v>
      </c>
      <c r="AE90" s="7" t="s">
        <v>1200</v>
      </c>
      <c r="AF90" s="17"/>
      <c r="AG90" s="17"/>
      <c r="AH90" s="18">
        <v>1</v>
      </c>
      <c r="AI90" s="18"/>
      <c r="AJ90" s="18"/>
      <c r="AK90" s="7" t="s">
        <v>28</v>
      </c>
      <c r="AL90" s="17">
        <f>IF(ISERROR(SEARCH("si",Tabella1[[#This Row],[Patente di guida]],1)),0,1)</f>
        <v>1</v>
      </c>
      <c r="AM90" s="7" t="s">
        <v>8</v>
      </c>
      <c r="AN90" s="17">
        <f>IF(ISERROR(SEARCH("no",Tabella1[[#This Row],[Ipertensione]],1)),0,1)</f>
        <v>1</v>
      </c>
      <c r="AO90" s="7" t="s">
        <v>382</v>
      </c>
      <c r="AP90" s="18">
        <f>IF(ISERROR(SEARCH("NO",Tabella1[[#This Row],[Cardiopatia ischemica]],1)),1,0)</f>
        <v>0</v>
      </c>
      <c r="AQ90" s="17">
        <f>IF(ISERROR(SEARCH("sconosciuto",Tabella1[[#This Row],[Cardiopatia ischemica]],1)),0,1)</f>
        <v>0</v>
      </c>
      <c r="AR90" s="7" t="s">
        <v>25</v>
      </c>
      <c r="AS90" s="22">
        <f>IF(ISERROR(SEARCH("nega",Tabella1[[#This Row],[Artimie]],1)),0,1)</f>
        <v>1</v>
      </c>
      <c r="AT90" s="7" t="s">
        <v>25</v>
      </c>
      <c r="AU90" s="22">
        <f>IF(ISERROR(SEARCH("nega",Tabella1[[#This Row],[Ipercolesterolemia]],1)),0,1)</f>
        <v>1</v>
      </c>
      <c r="AV90" s="22">
        <f>IF(ISERROR(SEARCH("boh",Tabella1[[#This Row],[Ipercolesterolemia]],1)),0,1)</f>
        <v>0</v>
      </c>
      <c r="AW90" s="7" t="s">
        <v>8</v>
      </c>
      <c r="AX90" s="22">
        <f>IF(ISERROR(SEARCH("Intolleranza",Tabella1[[#This Row],[Diabete]],1)),0,1)</f>
        <v>0</v>
      </c>
      <c r="AY90" s="22">
        <f>IF(ISERROR(SEARCH("si",Tabella1[[#This Row],[Diabete]],1)),0,1)</f>
        <v>0</v>
      </c>
      <c r="AZ90" s="7" t="s">
        <v>8</v>
      </c>
      <c r="BA90" s="17">
        <f>IF(ISERROR(SEARCH("NDD",Tabella1[[#This Row],[Patologia Tiroidea]],1)),0,1)</f>
        <v>0</v>
      </c>
      <c r="BB90" s="22">
        <f>IF(ISERROR(SEARCH("TIROIDITE",Tabella1[[#This Row],[Patologia Tiroidea]],1)),0,1)</f>
        <v>0</v>
      </c>
      <c r="BC90" s="22">
        <f>IF(ISERROR(SEARCH("HASHIMOTO",Tabella1[[#This Row],[Patologia Tiroidea]],1)),0,1)</f>
        <v>0</v>
      </c>
      <c r="BD90" s="22">
        <f>IF(ISERROR(SEARCH("BASEDOW",Tabella1[[#This Row],[Patologia Tiroidea]],1)),0,1)</f>
        <v>0</v>
      </c>
      <c r="BE90" s="22">
        <f>IF(ISERROR(SEARCH("NOD",Tabella1[[#This Row],[Patologia Tiroidea]],1)),0,1)</f>
        <v>0</v>
      </c>
      <c r="BF90" s="22">
        <f>IF(ISERROR(SEARCH("GOZ",Tabella1[[#This Row],[Patologia Tiroidea]],1)),0,1)</f>
        <v>0</v>
      </c>
      <c r="BG90" s="7" t="s">
        <v>8</v>
      </c>
      <c r="BH90" s="17">
        <f>IF(Tabella1[[#This Row],[Obesità]]="no",0,1)</f>
        <v>0</v>
      </c>
      <c r="BI90" s="7" t="s">
        <v>25</v>
      </c>
      <c r="BJ90" s="22">
        <f>IF(ISERROR(SEARCH("nega",Tabella1[[#This Row],[Reflusso gastroesofageo]],1)),1,0)</f>
        <v>0</v>
      </c>
      <c r="BK90" s="7" t="s">
        <v>8</v>
      </c>
      <c r="BL90" s="17">
        <f>IF(ISERROR(SEARCH("NDD",Tabella1[[#This Row],[Patologia respiratoria]],1)),0,1)</f>
        <v>0</v>
      </c>
      <c r="BM90" s="17">
        <f>IF(ISERROR(SEARCH("asma",Tabella1[[#This Row],[Patologia respiratoria]],1)),0,1)</f>
        <v>0</v>
      </c>
      <c r="BN90" s="17">
        <f>IF(ISERROR(SEARCH("BPCO",Tabella1[[#This Row],[Patologia respiratoria]],1)),0,1)</f>
        <v>0</v>
      </c>
      <c r="BO90" s="17">
        <f>IF(ISERROR(SEARCH("BRONCOPOLMONITE",Tabella1[[#This Row],[Patologia respiratoria]],1)),0,1)</f>
        <v>0</v>
      </c>
      <c r="BP90" s="17">
        <f>IF(ISERROR(SEARCH("ASMA, OSAS",Tabella1[[#This Row],[Patologia respiratoria]],1)),0,1)</f>
        <v>0</v>
      </c>
      <c r="BQ90" s="17">
        <f>IF(ISERROR(SEARCH("OSAS e BPCO",Tabella1[[#This Row],[Patologia respiratoria]],1)),0,1)</f>
        <v>0</v>
      </c>
      <c r="BR90" s="17">
        <f>IF(ISERROR(SEARCH("OSAS",Tabella1[[#This Row],[Patologia respiratoria]],1)),0,1)</f>
        <v>0</v>
      </c>
      <c r="BS90" s="7" t="s">
        <v>8</v>
      </c>
      <c r="BT90" s="7"/>
      <c r="BU90" s="7" t="s">
        <v>1201</v>
      </c>
      <c r="BV90" s="17">
        <f>IF(ISERROR(SEARCH("ndd",Tabella1[[#This Row],[O2 terapia]],1)),0,1)</f>
        <v>0</v>
      </c>
      <c r="BW90" s="17">
        <v>0</v>
      </c>
      <c r="BX90" s="7" t="s">
        <v>1202</v>
      </c>
      <c r="BY90" s="7" t="s">
        <v>8</v>
      </c>
      <c r="BZ90" s="18">
        <v>0</v>
      </c>
      <c r="CA90" s="7" t="s">
        <v>352</v>
      </c>
      <c r="CB90" s="17">
        <v>1</v>
      </c>
      <c r="CC90" s="7" t="s">
        <v>1203</v>
      </c>
      <c r="CD90" s="17">
        <v>1</v>
      </c>
      <c r="CE90" s="7" t="s">
        <v>8</v>
      </c>
      <c r="CF90" s="18">
        <v>0</v>
      </c>
      <c r="CG90" s="7" t="s">
        <v>8</v>
      </c>
      <c r="CH90" s="17">
        <v>0</v>
      </c>
      <c r="CI90" s="7" t="s">
        <v>8</v>
      </c>
      <c r="CJ90" s="18">
        <v>0</v>
      </c>
      <c r="CK90" s="7" t="s">
        <v>1111</v>
      </c>
      <c r="CL90" s="17">
        <v>1</v>
      </c>
      <c r="CM90" s="7" t="s">
        <v>28</v>
      </c>
      <c r="CN90" s="17">
        <v>1</v>
      </c>
      <c r="CO90" s="7" t="s">
        <v>8</v>
      </c>
      <c r="CP90" s="18">
        <v>0</v>
      </c>
      <c r="CQ90" s="7" t="s">
        <v>54</v>
      </c>
      <c r="CR90" s="7" t="s">
        <v>663</v>
      </c>
      <c r="CS90" s="7" t="s">
        <v>219</v>
      </c>
      <c r="CT90" s="7" t="s">
        <v>539</v>
      </c>
      <c r="CU90" s="7" t="s">
        <v>1204</v>
      </c>
      <c r="CV90" s="8" t="s">
        <v>1205</v>
      </c>
    </row>
    <row r="91" spans="1:100" ht="85.5">
      <c r="A91" s="1">
        <f t="shared" si="1"/>
        <v>90</v>
      </c>
      <c r="B91" s="9">
        <v>684</v>
      </c>
      <c r="C91" s="10">
        <v>44915</v>
      </c>
      <c r="D91" s="11" t="s">
        <v>1206</v>
      </c>
      <c r="E91" s="10">
        <v>14550</v>
      </c>
      <c r="F91" s="29">
        <f ca="1">_xlfn.DAYS(NOW(),Tabella1[[#This Row],[Data di Nascita]])/365.25</f>
        <v>85.757700205338807</v>
      </c>
      <c r="G91" s="11"/>
      <c r="H91" s="11" t="s">
        <v>1207</v>
      </c>
      <c r="I91" s="11" t="s">
        <v>439</v>
      </c>
      <c r="J91" s="11" t="s">
        <v>473</v>
      </c>
      <c r="K91" s="11" t="s">
        <v>5477</v>
      </c>
      <c r="L91" s="18">
        <f>IF(ISERROR(SEARCH("EX",Tabella1[[#This Row],[Attività lavorativa]],1)),0,1)</f>
        <v>0</v>
      </c>
      <c r="M91" s="18"/>
      <c r="N91" s="18"/>
      <c r="O91" s="18"/>
      <c r="P91" s="18"/>
      <c r="Q91" s="18"/>
      <c r="R91" s="18"/>
      <c r="S91" s="18"/>
      <c r="T91" s="17">
        <f>IF(ISERROR(SEARCH("NDD",Tabella1[[#This Row],[Attività lavorativa]],1)),0,1)</f>
        <v>1</v>
      </c>
      <c r="U91" s="11" t="s">
        <v>8</v>
      </c>
      <c r="V91" s="22"/>
      <c r="W91" s="22">
        <f>IF(ISERROR(SEARCH("ex",Tabella1[[#This Row],[Fumo]],1)),0,1)</f>
        <v>0</v>
      </c>
      <c r="X91" s="22">
        <f>IF(ISERROR(SEARCH("no",Tabella1[[#This Row],[Fumo]],1)),0,1)</f>
        <v>1</v>
      </c>
      <c r="Y91" s="11" t="s">
        <v>25</v>
      </c>
      <c r="Z91" s="18">
        <f>IF(ISERROR(SEARCH("NDD",Tabella1[[#This Row],[Bevitore alcolici]],1)),0,1)</f>
        <v>0</v>
      </c>
      <c r="AA91" s="17">
        <f>IF(ISERROR(SEARCH("raro",Tabella1[[#This Row],[Bevitore alcolici]],1)),0,1)</f>
        <v>0</v>
      </c>
      <c r="AB91" s="17">
        <f>IF(ISERROR(SEARCH("saltuariamente",Tabella1[[#This Row],[Bevitore alcolici]],1)),0,1)</f>
        <v>0</v>
      </c>
      <c r="AC91" s="17">
        <f>IF(ISERROR(SEARCH("nega",Tabella1[[#This Row],[Bevitore alcolici]],1)),0,1)</f>
        <v>1</v>
      </c>
      <c r="AD91" s="17">
        <f>IF(ISERROR(SEARCH("potus",Tabella1[[#This Row],[Bevitore alcolici]],1)),0,1)</f>
        <v>0</v>
      </c>
      <c r="AE91" s="11" t="s">
        <v>657</v>
      </c>
      <c r="AF91" s="18"/>
      <c r="AG91" s="18"/>
      <c r="AH91" s="18"/>
      <c r="AI91" s="18"/>
      <c r="AJ91" s="18"/>
      <c r="AK91" s="11" t="s">
        <v>8</v>
      </c>
      <c r="AL91" s="18">
        <f>IF(ISERROR(SEARCH("si",Tabella1[[#This Row],[Patente di guida]],1)),0,1)</f>
        <v>0</v>
      </c>
      <c r="AM91" s="11" t="s">
        <v>8</v>
      </c>
      <c r="AN91" s="18">
        <f>IF(ISERROR(SEARCH("no",Tabella1[[#This Row],[Ipertensione]],1)),0,1)</f>
        <v>1</v>
      </c>
      <c r="AO91" s="11" t="s">
        <v>382</v>
      </c>
      <c r="AP91" s="18">
        <f>IF(ISERROR(SEARCH("NO",Tabella1[[#This Row],[Cardiopatia ischemica]],1)),1,0)</f>
        <v>0</v>
      </c>
      <c r="AQ91" s="17">
        <f>IF(ISERROR(SEARCH("sconosciuto",Tabella1[[#This Row],[Cardiopatia ischemica]],1)),0,1)</f>
        <v>0</v>
      </c>
      <c r="AR91" s="11" t="s">
        <v>25</v>
      </c>
      <c r="AS91" s="22">
        <f>IF(ISERROR(SEARCH("nega",Tabella1[[#This Row],[Artimie]],1)),0,1)</f>
        <v>1</v>
      </c>
      <c r="AT91" s="11" t="s">
        <v>25</v>
      </c>
      <c r="AU91" s="22">
        <f>IF(ISERROR(SEARCH("nega",Tabella1[[#This Row],[Ipercolesterolemia]],1)),0,1)</f>
        <v>1</v>
      </c>
      <c r="AV91" s="22">
        <f>IF(ISERROR(SEARCH("boh",Tabella1[[#This Row],[Ipercolesterolemia]],1)),0,1)</f>
        <v>0</v>
      </c>
      <c r="AW91" s="11" t="s">
        <v>8</v>
      </c>
      <c r="AX91" s="22">
        <f>IF(ISERROR(SEARCH("Intolleranza",Tabella1[[#This Row],[Diabete]],1)),0,1)</f>
        <v>0</v>
      </c>
      <c r="AY91" s="22">
        <f>IF(ISERROR(SEARCH("si",Tabella1[[#This Row],[Diabete]],1)),0,1)</f>
        <v>0</v>
      </c>
      <c r="AZ91" s="11" t="s">
        <v>8</v>
      </c>
      <c r="BA91" s="18">
        <f>IF(ISERROR(SEARCH("NDD",Tabella1[[#This Row],[Patologia Tiroidea]],1)),0,1)</f>
        <v>0</v>
      </c>
      <c r="BB91" s="22">
        <f>IF(ISERROR(SEARCH("TIROIDITE",Tabella1[[#This Row],[Patologia Tiroidea]],1)),0,1)</f>
        <v>0</v>
      </c>
      <c r="BC91" s="22">
        <f>IF(ISERROR(SEARCH("HASHIMOTO",Tabella1[[#This Row],[Patologia Tiroidea]],1)),0,1)</f>
        <v>0</v>
      </c>
      <c r="BD91" s="22">
        <f>IF(ISERROR(SEARCH("BASEDOW",Tabella1[[#This Row],[Patologia Tiroidea]],1)),0,1)</f>
        <v>0</v>
      </c>
      <c r="BE91" s="22">
        <f>IF(ISERROR(SEARCH("NOD",Tabella1[[#This Row],[Patologia Tiroidea]],1)),0,1)</f>
        <v>0</v>
      </c>
      <c r="BF91" s="22">
        <f>IF(ISERROR(SEARCH("GOZ",Tabella1[[#This Row],[Patologia Tiroidea]],1)),0,1)</f>
        <v>0</v>
      </c>
      <c r="BG91" s="11" t="s">
        <v>8</v>
      </c>
      <c r="BH91" s="18">
        <f>IF(Tabella1[[#This Row],[Obesità]]="no",0,1)</f>
        <v>0</v>
      </c>
      <c r="BI91" s="11" t="s">
        <v>25</v>
      </c>
      <c r="BJ91" s="22">
        <f>IF(ISERROR(SEARCH("nega",Tabella1[[#This Row],[Reflusso gastroesofageo]],1)),1,0)</f>
        <v>0</v>
      </c>
      <c r="BK91" s="11" t="s">
        <v>8</v>
      </c>
      <c r="BL91" s="18">
        <f>IF(ISERROR(SEARCH("NDD",Tabella1[[#This Row],[Patologia respiratoria]],1)),0,1)</f>
        <v>0</v>
      </c>
      <c r="BM91" s="18">
        <f>IF(ISERROR(SEARCH("asma",Tabella1[[#This Row],[Patologia respiratoria]],1)),0,1)</f>
        <v>0</v>
      </c>
      <c r="BN91" s="18">
        <f>IF(ISERROR(SEARCH("BPCO",Tabella1[[#This Row],[Patologia respiratoria]],1)),0,1)</f>
        <v>0</v>
      </c>
      <c r="BO91" s="18">
        <f>IF(ISERROR(SEARCH("BRONCOPOLMONITE",Tabella1[[#This Row],[Patologia respiratoria]],1)),0,1)</f>
        <v>0</v>
      </c>
      <c r="BP91" s="18">
        <f>IF(ISERROR(SEARCH("ASMA, OSAS",Tabella1[[#This Row],[Patologia respiratoria]],1)),0,1)</f>
        <v>0</v>
      </c>
      <c r="BQ91" s="18">
        <f>IF(ISERROR(SEARCH("OSAS e BPCO",Tabella1[[#This Row],[Patologia respiratoria]],1)),0,1)</f>
        <v>0</v>
      </c>
      <c r="BR91" s="18">
        <f>IF(ISERROR(SEARCH("OSAS",Tabella1[[#This Row],[Patologia respiratoria]],1)),0,1)</f>
        <v>0</v>
      </c>
      <c r="BS91" s="11" t="s">
        <v>8</v>
      </c>
      <c r="BT91" s="11" t="s">
        <v>1208</v>
      </c>
      <c r="BU91" s="11" t="s">
        <v>8</v>
      </c>
      <c r="BV91" s="18">
        <f>IF(ISERROR(SEARCH("ndd",Tabella1[[#This Row],[O2 terapia]],1)),0,1)</f>
        <v>0</v>
      </c>
      <c r="BW91" s="17">
        <v>0</v>
      </c>
      <c r="BX91" s="11" t="s">
        <v>1209</v>
      </c>
      <c r="BY91" s="11" t="s">
        <v>8</v>
      </c>
      <c r="BZ91" s="18">
        <v>0</v>
      </c>
      <c r="CA91" s="11" t="s">
        <v>8</v>
      </c>
      <c r="CB91" s="17">
        <v>0</v>
      </c>
      <c r="CC91" s="11" t="s">
        <v>8</v>
      </c>
      <c r="CD91" s="18">
        <v>0</v>
      </c>
      <c r="CE91" s="11" t="s">
        <v>8</v>
      </c>
      <c r="CF91" s="18">
        <v>0</v>
      </c>
      <c r="CG91" s="11" t="s">
        <v>8</v>
      </c>
      <c r="CH91" s="17">
        <v>0</v>
      </c>
      <c r="CI91" s="11" t="s">
        <v>8</v>
      </c>
      <c r="CJ91" s="18">
        <v>0</v>
      </c>
      <c r="CK91" s="11" t="s">
        <v>8</v>
      </c>
      <c r="CL91" s="17">
        <v>0</v>
      </c>
      <c r="CM91" s="11" t="s">
        <v>28</v>
      </c>
      <c r="CN91" s="17">
        <v>1</v>
      </c>
      <c r="CO91" s="11" t="s">
        <v>28</v>
      </c>
      <c r="CP91" s="17">
        <v>1</v>
      </c>
      <c r="CQ91" s="11" t="s">
        <v>54</v>
      </c>
      <c r="CR91" s="11" t="s">
        <v>152</v>
      </c>
      <c r="CS91" s="11" t="s">
        <v>37</v>
      </c>
      <c r="CT91" s="11" t="s">
        <v>262</v>
      </c>
      <c r="CU91" s="11" t="s">
        <v>1210</v>
      </c>
      <c r="CV91" s="12" t="s">
        <v>1211</v>
      </c>
    </row>
    <row r="92" spans="1:100" ht="185.25">
      <c r="A92" s="1">
        <f t="shared" si="1"/>
        <v>91</v>
      </c>
      <c r="B92" s="5">
        <v>688</v>
      </c>
      <c r="C92" s="6">
        <v>44917</v>
      </c>
      <c r="D92" s="7" t="s">
        <v>1212</v>
      </c>
      <c r="E92" s="6">
        <v>24135</v>
      </c>
      <c r="F92" s="29">
        <f ca="1">_xlfn.DAYS(NOW(),Tabella1[[#This Row],[Data di Nascita]])/365.25</f>
        <v>59.515400410677621</v>
      </c>
      <c r="G92" s="7"/>
      <c r="H92" s="7" t="s">
        <v>1213</v>
      </c>
      <c r="I92" s="7" t="s">
        <v>1214</v>
      </c>
      <c r="J92" s="7" t="s">
        <v>1215</v>
      </c>
      <c r="K92" s="7" t="s">
        <v>241</v>
      </c>
      <c r="L92" s="17">
        <f>IF(ISERROR(SEARCH("EX",Tabella1[[#This Row],[Attività lavorativa]],1)),0,1)</f>
        <v>0</v>
      </c>
      <c r="M92" s="17"/>
      <c r="N92" s="17"/>
      <c r="O92" s="17"/>
      <c r="P92" s="18">
        <v>1</v>
      </c>
      <c r="Q92" s="17"/>
      <c r="R92" s="17"/>
      <c r="S92" s="17"/>
      <c r="T92" s="17">
        <f>IF(ISERROR(SEARCH("NDD",Tabella1[[#This Row],[Attività lavorativa]],1)),0,1)</f>
        <v>0</v>
      </c>
      <c r="U92" s="7" t="s">
        <v>8</v>
      </c>
      <c r="V92" s="22"/>
      <c r="W92" s="22">
        <f>IF(ISERROR(SEARCH("ex",Tabella1[[#This Row],[Fumo]],1)),0,1)</f>
        <v>0</v>
      </c>
      <c r="X92" s="22">
        <f>IF(ISERROR(SEARCH("no",Tabella1[[#This Row],[Fumo]],1)),0,1)</f>
        <v>1</v>
      </c>
      <c r="Y92" s="7" t="s">
        <v>25</v>
      </c>
      <c r="Z92" s="17">
        <f>IF(ISERROR(SEARCH("NDD",Tabella1[[#This Row],[Bevitore alcolici]],1)),0,1)</f>
        <v>0</v>
      </c>
      <c r="AA92" s="17">
        <f>IF(ISERROR(SEARCH("raro",Tabella1[[#This Row],[Bevitore alcolici]],1)),0,1)</f>
        <v>0</v>
      </c>
      <c r="AB92" s="17">
        <f>IF(ISERROR(SEARCH("saltuariamente",Tabella1[[#This Row],[Bevitore alcolici]],1)),0,1)</f>
        <v>0</v>
      </c>
      <c r="AC92" s="17">
        <f>IF(ISERROR(SEARCH("nega",Tabella1[[#This Row],[Bevitore alcolici]],1)),0,1)</f>
        <v>1</v>
      </c>
      <c r="AD92" s="17">
        <f>IF(ISERROR(SEARCH("potus",Tabella1[[#This Row],[Bevitore alcolici]],1)),0,1)</f>
        <v>0</v>
      </c>
      <c r="AE92" s="7" t="s">
        <v>657</v>
      </c>
      <c r="AF92" s="17"/>
      <c r="AG92" s="17"/>
      <c r="AH92" s="17"/>
      <c r="AI92" s="17"/>
      <c r="AJ92" s="17"/>
      <c r="AK92" s="7" t="s">
        <v>8</v>
      </c>
      <c r="AL92" s="17">
        <f>IF(ISERROR(SEARCH("si",Tabella1[[#This Row],[Patente di guida]],1)),0,1)</f>
        <v>0</v>
      </c>
      <c r="AM92" s="7" t="s">
        <v>8</v>
      </c>
      <c r="AN92" s="17">
        <f>IF(ISERROR(SEARCH("no",Tabella1[[#This Row],[Ipertensione]],1)),0,1)</f>
        <v>1</v>
      </c>
      <c r="AO92" s="7" t="s">
        <v>382</v>
      </c>
      <c r="AP92" s="18">
        <f>IF(ISERROR(SEARCH("NO",Tabella1[[#This Row],[Cardiopatia ischemica]],1)),1,0)</f>
        <v>0</v>
      </c>
      <c r="AQ92" s="17">
        <f>IF(ISERROR(SEARCH("sconosciuto",Tabella1[[#This Row],[Cardiopatia ischemica]],1)),0,1)</f>
        <v>0</v>
      </c>
      <c r="AR92" s="7" t="s">
        <v>25</v>
      </c>
      <c r="AS92" s="22">
        <f>IF(ISERROR(SEARCH("nega",Tabella1[[#This Row],[Artimie]],1)),0,1)</f>
        <v>1</v>
      </c>
      <c r="AT92" s="7" t="s">
        <v>25</v>
      </c>
      <c r="AU92" s="22">
        <f>IF(ISERROR(SEARCH("nega",Tabella1[[#This Row],[Ipercolesterolemia]],1)),0,1)</f>
        <v>1</v>
      </c>
      <c r="AV92" s="22">
        <f>IF(ISERROR(SEARCH("boh",Tabella1[[#This Row],[Ipercolesterolemia]],1)),0,1)</f>
        <v>0</v>
      </c>
      <c r="AW92" s="7" t="s">
        <v>8</v>
      </c>
      <c r="AX92" s="22">
        <f>IF(ISERROR(SEARCH("Intolleranza",Tabella1[[#This Row],[Diabete]],1)),0,1)</f>
        <v>0</v>
      </c>
      <c r="AY92" s="22">
        <f>IF(ISERROR(SEARCH("si",Tabella1[[#This Row],[Diabete]],1)),0,1)</f>
        <v>0</v>
      </c>
      <c r="AZ92" s="7" t="s">
        <v>28</v>
      </c>
      <c r="BA92" s="17">
        <f>IF(ISERROR(SEARCH("NDD",Tabella1[[#This Row],[Patologia Tiroidea]],1)),0,1)</f>
        <v>0</v>
      </c>
      <c r="BB92" s="22">
        <f>IF(ISERROR(SEARCH("TIROIDITE",Tabella1[[#This Row],[Patologia Tiroidea]],1)),0,1)</f>
        <v>0</v>
      </c>
      <c r="BC92" s="22">
        <f>IF(ISERROR(SEARCH("HASHIMOTO",Tabella1[[#This Row],[Patologia Tiroidea]],1)),0,1)</f>
        <v>0</v>
      </c>
      <c r="BD92" s="22">
        <f>IF(ISERROR(SEARCH("BASEDOW",Tabella1[[#This Row],[Patologia Tiroidea]],1)),0,1)</f>
        <v>0</v>
      </c>
      <c r="BE92" s="22">
        <f>IF(ISERROR(SEARCH("NOD",Tabella1[[#This Row],[Patologia Tiroidea]],1)),0,1)</f>
        <v>0</v>
      </c>
      <c r="BF92" s="22">
        <f>IF(ISERROR(SEARCH("GOZ",Tabella1[[#This Row],[Patologia Tiroidea]],1)),0,1)</f>
        <v>0</v>
      </c>
      <c r="BG92" s="7" t="s">
        <v>28</v>
      </c>
      <c r="BH92" s="17">
        <f>IF(Tabella1[[#This Row],[Obesità]]="no",0,1)</f>
        <v>1</v>
      </c>
      <c r="BI92" s="7" t="s">
        <v>28</v>
      </c>
      <c r="BJ92" s="22">
        <f>IF(ISERROR(SEARCH("nega",Tabella1[[#This Row],[Reflusso gastroesofageo]],1)),1,0)</f>
        <v>1</v>
      </c>
      <c r="BK92" s="7" t="s">
        <v>8</v>
      </c>
      <c r="BL92" s="17">
        <f>IF(ISERROR(SEARCH("NDD",Tabella1[[#This Row],[Patologia respiratoria]],1)),0,1)</f>
        <v>0</v>
      </c>
      <c r="BM92" s="17">
        <f>IF(ISERROR(SEARCH("asma",Tabella1[[#This Row],[Patologia respiratoria]],1)),0,1)</f>
        <v>0</v>
      </c>
      <c r="BN92" s="17">
        <f>IF(ISERROR(SEARCH("BPCO",Tabella1[[#This Row],[Patologia respiratoria]],1)),0,1)</f>
        <v>0</v>
      </c>
      <c r="BO92" s="17">
        <f>IF(ISERROR(SEARCH("BRONCOPOLMONITE",Tabella1[[#This Row],[Patologia respiratoria]],1)),0,1)</f>
        <v>0</v>
      </c>
      <c r="BP92" s="17">
        <f>IF(ISERROR(SEARCH("ASMA, OSAS",Tabella1[[#This Row],[Patologia respiratoria]],1)),0,1)</f>
        <v>0</v>
      </c>
      <c r="BQ92" s="17">
        <f>IF(ISERROR(SEARCH("OSAS e BPCO",Tabella1[[#This Row],[Patologia respiratoria]],1)),0,1)</f>
        <v>0</v>
      </c>
      <c r="BR92" s="17">
        <f>IF(ISERROR(SEARCH("OSAS",Tabella1[[#This Row],[Patologia respiratoria]],1)),0,1)</f>
        <v>0</v>
      </c>
      <c r="BS92" s="7" t="s">
        <v>8</v>
      </c>
      <c r="BT92" s="7" t="s">
        <v>1216</v>
      </c>
      <c r="BU92" s="7" t="s">
        <v>8</v>
      </c>
      <c r="BV92" s="17">
        <f>IF(ISERROR(SEARCH("ndd",Tabella1[[#This Row],[O2 terapia]],1)),0,1)</f>
        <v>0</v>
      </c>
      <c r="BW92" s="17">
        <v>0</v>
      </c>
      <c r="BX92" s="7"/>
      <c r="BY92" s="7" t="s">
        <v>8</v>
      </c>
      <c r="BZ92" s="18">
        <v>0</v>
      </c>
      <c r="CA92" s="7" t="s">
        <v>28</v>
      </c>
      <c r="CB92" s="17">
        <v>1</v>
      </c>
      <c r="CC92" s="7" t="s">
        <v>28</v>
      </c>
      <c r="CD92" s="17">
        <v>1</v>
      </c>
      <c r="CE92" s="7" t="s">
        <v>8</v>
      </c>
      <c r="CF92" s="18">
        <v>0</v>
      </c>
      <c r="CG92" s="7" t="s">
        <v>8</v>
      </c>
      <c r="CH92" s="17">
        <v>0</v>
      </c>
      <c r="CI92" s="7" t="s">
        <v>8</v>
      </c>
      <c r="CJ92" s="18">
        <v>0</v>
      </c>
      <c r="CK92" s="7" t="s">
        <v>28</v>
      </c>
      <c r="CL92" s="17">
        <v>1</v>
      </c>
      <c r="CM92" s="7" t="s">
        <v>8</v>
      </c>
      <c r="CN92" s="17">
        <v>0</v>
      </c>
      <c r="CO92" s="7" t="s">
        <v>28</v>
      </c>
      <c r="CP92" s="17">
        <v>1</v>
      </c>
      <c r="CQ92" s="7" t="s">
        <v>13</v>
      </c>
      <c r="CR92" s="7" t="s">
        <v>14</v>
      </c>
      <c r="CS92" s="7" t="s">
        <v>71</v>
      </c>
      <c r="CT92" s="7" t="s">
        <v>262</v>
      </c>
      <c r="CU92" s="7" t="s">
        <v>1217</v>
      </c>
      <c r="CV92" s="8" t="s">
        <v>1218</v>
      </c>
    </row>
    <row r="93" spans="1:100" ht="142.5">
      <c r="A93" s="1">
        <f t="shared" si="1"/>
        <v>92</v>
      </c>
      <c r="B93" s="9">
        <v>690</v>
      </c>
      <c r="C93" s="10">
        <v>45281</v>
      </c>
      <c r="D93" s="11" t="s">
        <v>1219</v>
      </c>
      <c r="E93" s="10">
        <v>21075</v>
      </c>
      <c r="F93" s="29">
        <f ca="1">_xlfn.DAYS(NOW(),Tabella1[[#This Row],[Data di Nascita]])/365.25</f>
        <v>67.893223819301852</v>
      </c>
      <c r="G93" s="11"/>
      <c r="H93" s="11" t="s">
        <v>1220</v>
      </c>
      <c r="I93" s="11" t="s">
        <v>439</v>
      </c>
      <c r="J93" s="11" t="s">
        <v>1221</v>
      </c>
      <c r="K93" s="11" t="s">
        <v>1222</v>
      </c>
      <c r="L93" s="18">
        <f>IF(ISERROR(SEARCH("EX",Tabella1[[#This Row],[Attività lavorativa]],1)),0,1)</f>
        <v>1</v>
      </c>
      <c r="M93" s="18"/>
      <c r="N93" s="18"/>
      <c r="O93" s="18"/>
      <c r="P93" s="18"/>
      <c r="Q93" s="18"/>
      <c r="R93" s="18"/>
      <c r="S93" s="18"/>
      <c r="T93" s="17">
        <f>IF(ISERROR(SEARCH("NDD",Tabella1[[#This Row],[Attività lavorativa]],1)),0,1)</f>
        <v>0</v>
      </c>
      <c r="U93" s="11" t="s">
        <v>8</v>
      </c>
      <c r="V93" s="22"/>
      <c r="W93" s="22">
        <f>IF(ISERROR(SEARCH("ex",Tabella1[[#This Row],[Fumo]],1)),0,1)</f>
        <v>0</v>
      </c>
      <c r="X93" s="22">
        <f>IF(ISERROR(SEARCH("no",Tabella1[[#This Row],[Fumo]],1)),0,1)</f>
        <v>1</v>
      </c>
      <c r="Y93" s="11" t="s">
        <v>25</v>
      </c>
      <c r="Z93" s="18">
        <f>IF(ISERROR(SEARCH("NDD",Tabella1[[#This Row],[Bevitore alcolici]],1)),0,1)</f>
        <v>0</v>
      </c>
      <c r="AA93" s="17">
        <f>IF(ISERROR(SEARCH("raro",Tabella1[[#This Row],[Bevitore alcolici]],1)),0,1)</f>
        <v>0</v>
      </c>
      <c r="AB93" s="17">
        <f>IF(ISERROR(SEARCH("saltuariamente",Tabella1[[#This Row],[Bevitore alcolici]],1)),0,1)</f>
        <v>0</v>
      </c>
      <c r="AC93" s="17">
        <f>IF(ISERROR(SEARCH("nega",Tabella1[[#This Row],[Bevitore alcolici]],1)),0,1)</f>
        <v>1</v>
      </c>
      <c r="AD93" s="17">
        <f>IF(ISERROR(SEARCH("potus",Tabella1[[#This Row],[Bevitore alcolici]],1)),0,1)</f>
        <v>0</v>
      </c>
      <c r="AE93" s="11" t="s">
        <v>657</v>
      </c>
      <c r="AF93" s="18"/>
      <c r="AG93" s="18"/>
      <c r="AH93" s="18"/>
      <c r="AI93" s="18"/>
      <c r="AJ93" s="18"/>
      <c r="AK93" s="11" t="s">
        <v>28</v>
      </c>
      <c r="AL93" s="18">
        <f>IF(ISERROR(SEARCH("si",Tabella1[[#This Row],[Patente di guida]],1)),0,1)</f>
        <v>1</v>
      </c>
      <c r="AM93" s="11" t="s">
        <v>28</v>
      </c>
      <c r="AN93" s="18">
        <f>IF(ISERROR(SEARCH("no",Tabella1[[#This Row],[Ipertensione]],1)),0,1)</f>
        <v>0</v>
      </c>
      <c r="AO93" s="11" t="s">
        <v>382</v>
      </c>
      <c r="AP93" s="18">
        <f>IF(ISERROR(SEARCH("NO",Tabella1[[#This Row],[Cardiopatia ischemica]],1)),1,0)</f>
        <v>0</v>
      </c>
      <c r="AQ93" s="17">
        <f>IF(ISERROR(SEARCH("sconosciuto",Tabella1[[#This Row],[Cardiopatia ischemica]],1)),0,1)</f>
        <v>0</v>
      </c>
      <c r="AR93" s="11" t="s">
        <v>25</v>
      </c>
      <c r="AS93" s="22">
        <f>IF(ISERROR(SEARCH("nega",Tabella1[[#This Row],[Artimie]],1)),0,1)</f>
        <v>1</v>
      </c>
      <c r="AT93" s="11" t="s">
        <v>25</v>
      </c>
      <c r="AU93" s="22">
        <f>IF(ISERROR(SEARCH("nega",Tabella1[[#This Row],[Ipercolesterolemia]],1)),0,1)</f>
        <v>1</v>
      </c>
      <c r="AV93" s="22">
        <f>IF(ISERROR(SEARCH("boh",Tabella1[[#This Row],[Ipercolesterolemia]],1)),0,1)</f>
        <v>0</v>
      </c>
      <c r="AW93" s="11" t="s">
        <v>8</v>
      </c>
      <c r="AX93" s="22">
        <f>IF(ISERROR(SEARCH("Intolleranza",Tabella1[[#This Row],[Diabete]],1)),0,1)</f>
        <v>0</v>
      </c>
      <c r="AY93" s="22">
        <f>IF(ISERROR(SEARCH("si",Tabella1[[#This Row],[Diabete]],1)),0,1)</f>
        <v>0</v>
      </c>
      <c r="AZ93" s="11" t="s">
        <v>8</v>
      </c>
      <c r="BA93" s="18">
        <f>IF(ISERROR(SEARCH("NDD",Tabella1[[#This Row],[Patologia Tiroidea]],1)),0,1)</f>
        <v>0</v>
      </c>
      <c r="BB93" s="22">
        <f>IF(ISERROR(SEARCH("TIROIDITE",Tabella1[[#This Row],[Patologia Tiroidea]],1)),0,1)</f>
        <v>0</v>
      </c>
      <c r="BC93" s="22">
        <f>IF(ISERROR(SEARCH("HASHIMOTO",Tabella1[[#This Row],[Patologia Tiroidea]],1)),0,1)</f>
        <v>0</v>
      </c>
      <c r="BD93" s="22">
        <f>IF(ISERROR(SEARCH("BASEDOW",Tabella1[[#This Row],[Patologia Tiroidea]],1)),0,1)</f>
        <v>0</v>
      </c>
      <c r="BE93" s="22">
        <f>IF(ISERROR(SEARCH("NOD",Tabella1[[#This Row],[Patologia Tiroidea]],1)),0,1)</f>
        <v>0</v>
      </c>
      <c r="BF93" s="22">
        <f>IF(ISERROR(SEARCH("GOZ",Tabella1[[#This Row],[Patologia Tiroidea]],1)),0,1)</f>
        <v>0</v>
      </c>
      <c r="BG93" s="11" t="s">
        <v>28</v>
      </c>
      <c r="BH93" s="18">
        <f>IF(Tabella1[[#This Row],[Obesità]]="no",0,1)</f>
        <v>1</v>
      </c>
      <c r="BI93" s="11" t="s">
        <v>25</v>
      </c>
      <c r="BJ93" s="22">
        <f>IF(ISERROR(SEARCH("nega",Tabella1[[#This Row],[Reflusso gastroesofageo]],1)),1,0)</f>
        <v>0</v>
      </c>
      <c r="BK93" s="11" t="s">
        <v>8</v>
      </c>
      <c r="BL93" s="18">
        <f>IF(ISERROR(SEARCH("NDD",Tabella1[[#This Row],[Patologia respiratoria]],1)),0,1)</f>
        <v>0</v>
      </c>
      <c r="BM93" s="18">
        <f>IF(ISERROR(SEARCH("asma",Tabella1[[#This Row],[Patologia respiratoria]],1)),0,1)</f>
        <v>0</v>
      </c>
      <c r="BN93" s="18">
        <f>IF(ISERROR(SEARCH("BPCO",Tabella1[[#This Row],[Patologia respiratoria]],1)),0,1)</f>
        <v>0</v>
      </c>
      <c r="BO93" s="18">
        <f>IF(ISERROR(SEARCH("BRONCOPOLMONITE",Tabella1[[#This Row],[Patologia respiratoria]],1)),0,1)</f>
        <v>0</v>
      </c>
      <c r="BP93" s="18">
        <f>IF(ISERROR(SEARCH("ASMA, OSAS",Tabella1[[#This Row],[Patologia respiratoria]],1)),0,1)</f>
        <v>0</v>
      </c>
      <c r="BQ93" s="18">
        <f>IF(ISERROR(SEARCH("OSAS e BPCO",Tabella1[[#This Row],[Patologia respiratoria]],1)),0,1)</f>
        <v>0</v>
      </c>
      <c r="BR93" s="18">
        <f>IF(ISERROR(SEARCH("OSAS",Tabella1[[#This Row],[Patologia respiratoria]],1)),0,1)</f>
        <v>0</v>
      </c>
      <c r="BS93" s="11" t="s">
        <v>8</v>
      </c>
      <c r="BT93" s="11"/>
      <c r="BU93" s="11" t="s">
        <v>1223</v>
      </c>
      <c r="BV93" s="18">
        <f>IF(ISERROR(SEARCH("ndd",Tabella1[[#This Row],[O2 terapia]],1)),0,1)</f>
        <v>0</v>
      </c>
      <c r="BW93" s="17">
        <v>0</v>
      </c>
      <c r="BX93" s="11" t="s">
        <v>1224</v>
      </c>
      <c r="BY93" s="11" t="s">
        <v>1225</v>
      </c>
      <c r="BZ93" s="17">
        <v>1</v>
      </c>
      <c r="CA93" s="11" t="s">
        <v>28</v>
      </c>
      <c r="CB93" s="17">
        <v>1</v>
      </c>
      <c r="CC93" s="11" t="s">
        <v>28</v>
      </c>
      <c r="CD93" s="17">
        <v>1</v>
      </c>
      <c r="CE93" s="11" t="s">
        <v>8</v>
      </c>
      <c r="CF93" s="18">
        <v>0</v>
      </c>
      <c r="CG93" s="11" t="s">
        <v>28</v>
      </c>
      <c r="CH93" s="17">
        <v>1</v>
      </c>
      <c r="CI93" s="11" t="s">
        <v>8</v>
      </c>
      <c r="CJ93" s="18">
        <v>0</v>
      </c>
      <c r="CK93" s="11" t="s">
        <v>28</v>
      </c>
      <c r="CL93" s="17">
        <v>1</v>
      </c>
      <c r="CM93" s="11" t="s">
        <v>8</v>
      </c>
      <c r="CN93" s="17">
        <v>0</v>
      </c>
      <c r="CO93" s="11" t="s">
        <v>8</v>
      </c>
      <c r="CP93" s="18">
        <v>0</v>
      </c>
      <c r="CQ93" s="11" t="s">
        <v>202</v>
      </c>
      <c r="CR93" s="11" t="s">
        <v>431</v>
      </c>
      <c r="CS93" s="11" t="s">
        <v>389</v>
      </c>
      <c r="CT93" s="11" t="s">
        <v>525</v>
      </c>
      <c r="CU93" s="11" t="s">
        <v>1210</v>
      </c>
      <c r="CV93" s="12" t="s">
        <v>1226</v>
      </c>
    </row>
    <row r="94" spans="1:100" ht="171">
      <c r="A94" s="1">
        <f t="shared" si="1"/>
        <v>93</v>
      </c>
      <c r="B94" s="5">
        <v>694</v>
      </c>
      <c r="C94" s="6">
        <v>44936</v>
      </c>
      <c r="D94" s="7" t="s">
        <v>1227</v>
      </c>
      <c r="E94" s="6">
        <v>31738</v>
      </c>
      <c r="F94" s="29">
        <f ca="1">_xlfn.DAYS(NOW(),Tabella1[[#This Row],[Data di Nascita]])/365.25</f>
        <v>38.699520876112253</v>
      </c>
      <c r="G94" s="7"/>
      <c r="H94" s="7" t="s">
        <v>1228</v>
      </c>
      <c r="I94" s="7" t="s">
        <v>1229</v>
      </c>
      <c r="J94" s="7" t="s">
        <v>1215</v>
      </c>
      <c r="K94" s="7" t="s">
        <v>1230</v>
      </c>
      <c r="L94" s="17">
        <f>IF(ISERROR(SEARCH("EX",Tabella1[[#This Row],[Attività lavorativa]],1)),0,1)</f>
        <v>0</v>
      </c>
      <c r="M94" s="17"/>
      <c r="N94" s="17"/>
      <c r="O94" s="17"/>
      <c r="P94" s="17"/>
      <c r="Q94" s="17"/>
      <c r="R94" s="17"/>
      <c r="S94" s="17"/>
      <c r="T94" s="17">
        <f>IF(ISERROR(SEARCH("NDD",Tabella1[[#This Row],[Attività lavorativa]],1)),0,1)</f>
        <v>0</v>
      </c>
      <c r="U94" s="7" t="s">
        <v>8</v>
      </c>
      <c r="V94" s="22"/>
      <c r="W94" s="22">
        <f>IF(ISERROR(SEARCH("ex",Tabella1[[#This Row],[Fumo]],1)),0,1)</f>
        <v>0</v>
      </c>
      <c r="X94" s="22">
        <f>IF(ISERROR(SEARCH("no",Tabella1[[#This Row],[Fumo]],1)),0,1)</f>
        <v>1</v>
      </c>
      <c r="Y94" s="7" t="s">
        <v>25</v>
      </c>
      <c r="Z94" s="17">
        <f>IF(ISERROR(SEARCH("NDD",Tabella1[[#This Row],[Bevitore alcolici]],1)),0,1)</f>
        <v>0</v>
      </c>
      <c r="AA94" s="17">
        <f>IF(ISERROR(SEARCH("raro",Tabella1[[#This Row],[Bevitore alcolici]],1)),0,1)</f>
        <v>0</v>
      </c>
      <c r="AB94" s="17">
        <f>IF(ISERROR(SEARCH("saltuariamente",Tabella1[[#This Row],[Bevitore alcolici]],1)),0,1)</f>
        <v>0</v>
      </c>
      <c r="AC94" s="17">
        <f>IF(ISERROR(SEARCH("nega",Tabella1[[#This Row],[Bevitore alcolici]],1)),0,1)</f>
        <v>1</v>
      </c>
      <c r="AD94" s="17">
        <f>IF(ISERROR(SEARCH("potus",Tabella1[[#This Row],[Bevitore alcolici]],1)),0,1)</f>
        <v>0</v>
      </c>
      <c r="AE94" s="7" t="s">
        <v>657</v>
      </c>
      <c r="AF94" s="17"/>
      <c r="AG94" s="17"/>
      <c r="AH94" s="17"/>
      <c r="AI94" s="17"/>
      <c r="AJ94" s="17"/>
      <c r="AK94" s="7" t="s">
        <v>28</v>
      </c>
      <c r="AL94" s="17">
        <f>IF(ISERROR(SEARCH("si",Tabella1[[#This Row],[Patente di guida]],1)),0,1)</f>
        <v>1</v>
      </c>
      <c r="AM94" s="7" t="s">
        <v>28</v>
      </c>
      <c r="AN94" s="17">
        <f>IF(ISERROR(SEARCH("no",Tabella1[[#This Row],[Ipertensione]],1)),0,1)</f>
        <v>0</v>
      </c>
      <c r="AO94" s="7" t="s">
        <v>382</v>
      </c>
      <c r="AP94" s="18">
        <f>IF(ISERROR(SEARCH("NO",Tabella1[[#This Row],[Cardiopatia ischemica]],1)),1,0)</f>
        <v>0</v>
      </c>
      <c r="AQ94" s="17">
        <f>IF(ISERROR(SEARCH("sconosciuto",Tabella1[[#This Row],[Cardiopatia ischemica]],1)),0,1)</f>
        <v>0</v>
      </c>
      <c r="AR94" s="7" t="s">
        <v>25</v>
      </c>
      <c r="AS94" s="22">
        <f>IF(ISERROR(SEARCH("nega",Tabella1[[#This Row],[Artimie]],1)),0,1)</f>
        <v>1</v>
      </c>
      <c r="AT94" s="7" t="s">
        <v>25</v>
      </c>
      <c r="AU94" s="22">
        <f>IF(ISERROR(SEARCH("nega",Tabella1[[#This Row],[Ipercolesterolemia]],1)),0,1)</f>
        <v>1</v>
      </c>
      <c r="AV94" s="22">
        <f>IF(ISERROR(SEARCH("boh",Tabella1[[#This Row],[Ipercolesterolemia]],1)),0,1)</f>
        <v>0</v>
      </c>
      <c r="AW94" s="7" t="s">
        <v>8</v>
      </c>
      <c r="AX94" s="22">
        <f>IF(ISERROR(SEARCH("Intolleranza",Tabella1[[#This Row],[Diabete]],1)),0,1)</f>
        <v>0</v>
      </c>
      <c r="AY94" s="22">
        <f>IF(ISERROR(SEARCH("si",Tabella1[[#This Row],[Diabete]],1)),0,1)</f>
        <v>0</v>
      </c>
      <c r="AZ94" s="7" t="s">
        <v>8</v>
      </c>
      <c r="BA94" s="17">
        <f>IF(ISERROR(SEARCH("NDD",Tabella1[[#This Row],[Patologia Tiroidea]],1)),0,1)</f>
        <v>0</v>
      </c>
      <c r="BB94" s="22">
        <f>IF(ISERROR(SEARCH("TIROIDITE",Tabella1[[#This Row],[Patologia Tiroidea]],1)),0,1)</f>
        <v>0</v>
      </c>
      <c r="BC94" s="22">
        <f>IF(ISERROR(SEARCH("HASHIMOTO",Tabella1[[#This Row],[Patologia Tiroidea]],1)),0,1)</f>
        <v>0</v>
      </c>
      <c r="BD94" s="22">
        <f>IF(ISERROR(SEARCH("BASEDOW",Tabella1[[#This Row],[Patologia Tiroidea]],1)),0,1)</f>
        <v>0</v>
      </c>
      <c r="BE94" s="22">
        <f>IF(ISERROR(SEARCH("NOD",Tabella1[[#This Row],[Patologia Tiroidea]],1)),0,1)</f>
        <v>0</v>
      </c>
      <c r="BF94" s="22">
        <f>IF(ISERROR(SEARCH("GOZ",Tabella1[[#This Row],[Patologia Tiroidea]],1)),0,1)</f>
        <v>0</v>
      </c>
      <c r="BG94" s="7" t="s">
        <v>5477</v>
      </c>
      <c r="BH94" s="18">
        <v>0</v>
      </c>
      <c r="BI94" s="7" t="s">
        <v>28</v>
      </c>
      <c r="BJ94" s="22">
        <f>IF(ISERROR(SEARCH("nega",Tabella1[[#This Row],[Reflusso gastroesofageo]],1)),1,0)</f>
        <v>1</v>
      </c>
      <c r="BK94" s="7" t="s">
        <v>8</v>
      </c>
      <c r="BL94" s="17">
        <f>IF(ISERROR(SEARCH("NDD",Tabella1[[#This Row],[Patologia respiratoria]],1)),0,1)</f>
        <v>0</v>
      </c>
      <c r="BM94" s="17">
        <f>IF(ISERROR(SEARCH("asma",Tabella1[[#This Row],[Patologia respiratoria]],1)),0,1)</f>
        <v>0</v>
      </c>
      <c r="BN94" s="17">
        <f>IF(ISERROR(SEARCH("BPCO",Tabella1[[#This Row],[Patologia respiratoria]],1)),0,1)</f>
        <v>0</v>
      </c>
      <c r="BO94" s="17">
        <f>IF(ISERROR(SEARCH("BRONCOPOLMONITE",Tabella1[[#This Row],[Patologia respiratoria]],1)),0,1)</f>
        <v>0</v>
      </c>
      <c r="BP94" s="17">
        <f>IF(ISERROR(SEARCH("ASMA, OSAS",Tabella1[[#This Row],[Patologia respiratoria]],1)),0,1)</f>
        <v>0</v>
      </c>
      <c r="BQ94" s="17">
        <f>IF(ISERROR(SEARCH("OSAS e BPCO",Tabella1[[#This Row],[Patologia respiratoria]],1)),0,1)</f>
        <v>0</v>
      </c>
      <c r="BR94" s="17">
        <f>IF(ISERROR(SEARCH("OSAS",Tabella1[[#This Row],[Patologia respiratoria]],1)),0,1)</f>
        <v>0</v>
      </c>
      <c r="BS94" s="7"/>
      <c r="BT94" s="7" t="s">
        <v>1231</v>
      </c>
      <c r="BU94" s="7" t="s">
        <v>8</v>
      </c>
      <c r="BV94" s="17">
        <f>IF(ISERROR(SEARCH("ndd",Tabella1[[#This Row],[O2 terapia]],1)),0,1)</f>
        <v>0</v>
      </c>
      <c r="BW94" s="17">
        <v>0</v>
      </c>
      <c r="BX94" s="7"/>
      <c r="BY94" s="7" t="s">
        <v>28</v>
      </c>
      <c r="BZ94" s="17">
        <v>1</v>
      </c>
      <c r="CA94" s="7" t="s">
        <v>28</v>
      </c>
      <c r="CB94" s="17">
        <v>1</v>
      </c>
      <c r="CC94" s="7" t="s">
        <v>8</v>
      </c>
      <c r="CD94" s="18">
        <v>0</v>
      </c>
      <c r="CE94" s="7" t="s">
        <v>8</v>
      </c>
      <c r="CF94" s="18">
        <v>0</v>
      </c>
      <c r="CG94" s="7" t="s">
        <v>1232</v>
      </c>
      <c r="CH94" s="17">
        <v>1</v>
      </c>
      <c r="CI94" s="7" t="s">
        <v>8</v>
      </c>
      <c r="CJ94" s="18">
        <v>0</v>
      </c>
      <c r="CK94" s="7" t="s">
        <v>8</v>
      </c>
      <c r="CL94" s="17">
        <v>0</v>
      </c>
      <c r="CM94" s="7" t="s">
        <v>8</v>
      </c>
      <c r="CN94" s="17">
        <v>0</v>
      </c>
      <c r="CO94" s="7" t="s">
        <v>1233</v>
      </c>
      <c r="CP94" s="17">
        <v>1</v>
      </c>
      <c r="CQ94" s="7" t="s">
        <v>54</v>
      </c>
      <c r="CR94" s="7" t="s">
        <v>1234</v>
      </c>
      <c r="CS94" s="7" t="s">
        <v>37</v>
      </c>
      <c r="CT94" s="7" t="s">
        <v>184</v>
      </c>
      <c r="CU94" s="7" t="s">
        <v>1235</v>
      </c>
      <c r="CV94" s="8" t="s">
        <v>1236</v>
      </c>
    </row>
    <row r="95" spans="1:100" ht="142.5">
      <c r="A95" s="1">
        <f t="shared" si="1"/>
        <v>94</v>
      </c>
      <c r="B95" s="9">
        <v>698</v>
      </c>
      <c r="C95" s="11"/>
      <c r="D95" s="11" t="s">
        <v>1237</v>
      </c>
      <c r="E95" s="10">
        <v>23867</v>
      </c>
      <c r="F95" s="29">
        <f ca="1">_xlfn.DAYS(NOW(),Tabella1[[#This Row],[Data di Nascita]])/365.25</f>
        <v>60.249144421629019</v>
      </c>
      <c r="G95" s="11"/>
      <c r="H95" s="11" t="s">
        <v>1238</v>
      </c>
      <c r="I95" s="11" t="s">
        <v>1229</v>
      </c>
      <c r="J95" s="11" t="s">
        <v>1215</v>
      </c>
      <c r="K95" s="11" t="s">
        <v>904</v>
      </c>
      <c r="L95" s="18">
        <f>IF(ISERROR(SEARCH("EX",Tabella1[[#This Row],[Attività lavorativa]],1)),0,1)</f>
        <v>0</v>
      </c>
      <c r="M95" s="18"/>
      <c r="N95" s="18"/>
      <c r="O95" s="18"/>
      <c r="P95" s="18">
        <v>1</v>
      </c>
      <c r="Q95" s="18"/>
      <c r="R95" s="18"/>
      <c r="S95" s="18"/>
      <c r="T95" s="17">
        <f>IF(ISERROR(SEARCH("NDD",Tabella1[[#This Row],[Attività lavorativa]],1)),0,1)</f>
        <v>0</v>
      </c>
      <c r="U95" s="11" t="s">
        <v>8</v>
      </c>
      <c r="V95" s="22"/>
      <c r="W95" s="22">
        <f>IF(ISERROR(SEARCH("ex",Tabella1[[#This Row],[Fumo]],1)),0,1)</f>
        <v>0</v>
      </c>
      <c r="X95" s="22">
        <f>IF(ISERROR(SEARCH("no",Tabella1[[#This Row],[Fumo]],1)),0,1)</f>
        <v>1</v>
      </c>
      <c r="Y95" s="11" t="s">
        <v>25</v>
      </c>
      <c r="Z95" s="18">
        <f>IF(ISERROR(SEARCH("NDD",Tabella1[[#This Row],[Bevitore alcolici]],1)),0,1)</f>
        <v>0</v>
      </c>
      <c r="AA95" s="17">
        <f>IF(ISERROR(SEARCH("raro",Tabella1[[#This Row],[Bevitore alcolici]],1)),0,1)</f>
        <v>0</v>
      </c>
      <c r="AB95" s="17">
        <f>IF(ISERROR(SEARCH("saltuariamente",Tabella1[[#This Row],[Bevitore alcolici]],1)),0,1)</f>
        <v>0</v>
      </c>
      <c r="AC95" s="17">
        <f>IF(ISERROR(SEARCH("nega",Tabella1[[#This Row],[Bevitore alcolici]],1)),0,1)</f>
        <v>1</v>
      </c>
      <c r="AD95" s="17">
        <f>IF(ISERROR(SEARCH("potus",Tabella1[[#This Row],[Bevitore alcolici]],1)),0,1)</f>
        <v>0</v>
      </c>
      <c r="AE95" s="11" t="s">
        <v>657</v>
      </c>
      <c r="AF95" s="18"/>
      <c r="AG95" s="18"/>
      <c r="AH95" s="18"/>
      <c r="AI95" s="18"/>
      <c r="AJ95" s="18"/>
      <c r="AK95" s="11" t="s">
        <v>8</v>
      </c>
      <c r="AL95" s="18">
        <f>IF(ISERROR(SEARCH("si",Tabella1[[#This Row],[Patente di guida]],1)),0,1)</f>
        <v>0</v>
      </c>
      <c r="AM95" s="11" t="s">
        <v>28</v>
      </c>
      <c r="AN95" s="18">
        <f>IF(ISERROR(SEARCH("no",Tabella1[[#This Row],[Ipertensione]],1)),0,1)</f>
        <v>0</v>
      </c>
      <c r="AO95" s="11" t="s">
        <v>382</v>
      </c>
      <c r="AP95" s="18">
        <f>IF(ISERROR(SEARCH("NO",Tabella1[[#This Row],[Cardiopatia ischemica]],1)),1,0)</f>
        <v>0</v>
      </c>
      <c r="AQ95" s="17">
        <f>IF(ISERROR(SEARCH("sconosciuto",Tabella1[[#This Row],[Cardiopatia ischemica]],1)),0,1)</f>
        <v>0</v>
      </c>
      <c r="AR95" s="11" t="s">
        <v>25</v>
      </c>
      <c r="AS95" s="22">
        <f>IF(ISERROR(SEARCH("nega",Tabella1[[#This Row],[Artimie]],1)),0,1)</f>
        <v>1</v>
      </c>
      <c r="AT95" s="11" t="s">
        <v>28</v>
      </c>
      <c r="AU95" s="22">
        <f>IF(ISERROR(SEARCH("nega",Tabella1[[#This Row],[Ipercolesterolemia]],1)),0,1)</f>
        <v>0</v>
      </c>
      <c r="AV95" s="22">
        <f>IF(ISERROR(SEARCH("boh",Tabella1[[#This Row],[Ipercolesterolemia]],1)),0,1)</f>
        <v>0</v>
      </c>
      <c r="AW95" s="11" t="s">
        <v>8</v>
      </c>
      <c r="AX95" s="22">
        <f>IF(ISERROR(SEARCH("Intolleranza",Tabella1[[#This Row],[Diabete]],1)),0,1)</f>
        <v>0</v>
      </c>
      <c r="AY95" s="22">
        <f>IF(ISERROR(SEARCH("si",Tabella1[[#This Row],[Diabete]],1)),0,1)</f>
        <v>0</v>
      </c>
      <c r="AZ95" s="11" t="s">
        <v>8</v>
      </c>
      <c r="BA95" s="18">
        <f>IF(ISERROR(SEARCH("NDD",Tabella1[[#This Row],[Patologia Tiroidea]],1)),0,1)</f>
        <v>0</v>
      </c>
      <c r="BB95" s="22">
        <f>IF(ISERROR(SEARCH("TIROIDITE",Tabella1[[#This Row],[Patologia Tiroidea]],1)),0,1)</f>
        <v>0</v>
      </c>
      <c r="BC95" s="22">
        <f>IF(ISERROR(SEARCH("HASHIMOTO",Tabella1[[#This Row],[Patologia Tiroidea]],1)),0,1)</f>
        <v>0</v>
      </c>
      <c r="BD95" s="22">
        <f>IF(ISERROR(SEARCH("BASEDOW",Tabella1[[#This Row],[Patologia Tiroidea]],1)),0,1)</f>
        <v>0</v>
      </c>
      <c r="BE95" s="22">
        <f>IF(ISERROR(SEARCH("NOD",Tabella1[[#This Row],[Patologia Tiroidea]],1)),0,1)</f>
        <v>0</v>
      </c>
      <c r="BF95" s="22">
        <f>IF(ISERROR(SEARCH("GOZ",Tabella1[[#This Row],[Patologia Tiroidea]],1)),0,1)</f>
        <v>0</v>
      </c>
      <c r="BG95" s="11" t="s">
        <v>28</v>
      </c>
      <c r="BH95" s="18">
        <f>IF(Tabella1[[#This Row],[Obesità]]="no",0,1)</f>
        <v>1</v>
      </c>
      <c r="BI95" s="11" t="s">
        <v>28</v>
      </c>
      <c r="BJ95" s="22">
        <f>IF(ISERROR(SEARCH("nega",Tabella1[[#This Row],[Reflusso gastroesofageo]],1)),1,0)</f>
        <v>1</v>
      </c>
      <c r="BK95" s="11" t="s">
        <v>8</v>
      </c>
      <c r="BL95" s="18">
        <f>IF(ISERROR(SEARCH("NDD",Tabella1[[#This Row],[Patologia respiratoria]],1)),0,1)</f>
        <v>0</v>
      </c>
      <c r="BM95" s="18">
        <f>IF(ISERROR(SEARCH("asma",Tabella1[[#This Row],[Patologia respiratoria]],1)),0,1)</f>
        <v>0</v>
      </c>
      <c r="BN95" s="18">
        <f>IF(ISERROR(SEARCH("BPCO",Tabella1[[#This Row],[Patologia respiratoria]],1)),0,1)</f>
        <v>0</v>
      </c>
      <c r="BO95" s="18">
        <f>IF(ISERROR(SEARCH("BRONCOPOLMONITE",Tabella1[[#This Row],[Patologia respiratoria]],1)),0,1)</f>
        <v>0</v>
      </c>
      <c r="BP95" s="18">
        <f>IF(ISERROR(SEARCH("ASMA, OSAS",Tabella1[[#This Row],[Patologia respiratoria]],1)),0,1)</f>
        <v>0</v>
      </c>
      <c r="BQ95" s="18">
        <f>IF(ISERROR(SEARCH("OSAS e BPCO",Tabella1[[#This Row],[Patologia respiratoria]],1)),0,1)</f>
        <v>0</v>
      </c>
      <c r="BR95" s="18">
        <f>IF(ISERROR(SEARCH("OSAS",Tabella1[[#This Row],[Patologia respiratoria]],1)),0,1)</f>
        <v>0</v>
      </c>
      <c r="BS95" s="11" t="s">
        <v>8</v>
      </c>
      <c r="BT95" s="11" t="s">
        <v>8</v>
      </c>
      <c r="BU95" s="11" t="s">
        <v>1239</v>
      </c>
      <c r="BV95" s="18">
        <f>IF(ISERROR(SEARCH("ndd",Tabella1[[#This Row],[O2 terapia]],1)),0,1)</f>
        <v>0</v>
      </c>
      <c r="BW95" s="17">
        <v>0</v>
      </c>
      <c r="BX95" s="11"/>
      <c r="BY95" s="11" t="s">
        <v>8</v>
      </c>
      <c r="BZ95" s="18">
        <v>0</v>
      </c>
      <c r="CA95" s="11" t="s">
        <v>28</v>
      </c>
      <c r="CB95" s="17">
        <v>1</v>
      </c>
      <c r="CC95" s="11" t="s">
        <v>28</v>
      </c>
      <c r="CD95" s="17">
        <v>1</v>
      </c>
      <c r="CE95" s="11" t="s">
        <v>8</v>
      </c>
      <c r="CF95" s="18">
        <v>0</v>
      </c>
      <c r="CG95" s="11" t="s">
        <v>8</v>
      </c>
      <c r="CH95" s="17">
        <v>0</v>
      </c>
      <c r="CI95" s="11" t="s">
        <v>8</v>
      </c>
      <c r="CJ95" s="18">
        <v>0</v>
      </c>
      <c r="CK95" s="11" t="s">
        <v>28</v>
      </c>
      <c r="CL95" s="17">
        <v>1</v>
      </c>
      <c r="CM95" s="11" t="s">
        <v>8</v>
      </c>
      <c r="CN95" s="17">
        <v>0</v>
      </c>
      <c r="CO95" s="11" t="s">
        <v>28</v>
      </c>
      <c r="CP95" s="17">
        <v>1</v>
      </c>
      <c r="CQ95" s="11" t="s">
        <v>103</v>
      </c>
      <c r="CR95" s="11" t="s">
        <v>168</v>
      </c>
      <c r="CS95" s="11" t="s">
        <v>37</v>
      </c>
      <c r="CT95" s="11" t="s">
        <v>787</v>
      </c>
      <c r="CU95" s="11" t="s">
        <v>1210</v>
      </c>
      <c r="CV95" s="12" t="s">
        <v>1240</v>
      </c>
    </row>
    <row r="96" spans="1:100" ht="85.5">
      <c r="A96" s="1">
        <f t="shared" si="1"/>
        <v>95</v>
      </c>
      <c r="B96" s="5">
        <v>700</v>
      </c>
      <c r="C96" s="6">
        <v>44939</v>
      </c>
      <c r="D96" s="7" t="s">
        <v>1241</v>
      </c>
      <c r="E96" s="6">
        <v>12920</v>
      </c>
      <c r="F96" s="29">
        <f ca="1">_xlfn.DAYS(NOW(),Tabella1[[#This Row],[Data di Nascita]])/365.25</f>
        <v>90.220396988364129</v>
      </c>
      <c r="G96" s="7"/>
      <c r="H96" s="7" t="s">
        <v>1242</v>
      </c>
      <c r="I96" s="7" t="s">
        <v>1243</v>
      </c>
      <c r="J96" s="7" t="s">
        <v>1244</v>
      </c>
      <c r="K96" s="7" t="s">
        <v>428</v>
      </c>
      <c r="L96" s="18">
        <v>1</v>
      </c>
      <c r="M96" s="17"/>
      <c r="N96" s="17"/>
      <c r="O96" s="17"/>
      <c r="P96" s="17"/>
      <c r="Q96" s="17"/>
      <c r="R96" s="17"/>
      <c r="S96" s="17"/>
      <c r="T96" s="17">
        <f>IF(ISERROR(SEARCH("NDD",Tabella1[[#This Row],[Attività lavorativa]],1)),0,1)</f>
        <v>0</v>
      </c>
      <c r="U96" s="7" t="s">
        <v>8</v>
      </c>
      <c r="V96" s="22"/>
      <c r="W96" s="22">
        <f>IF(ISERROR(SEARCH("ex",Tabella1[[#This Row],[Fumo]],1)),0,1)</f>
        <v>0</v>
      </c>
      <c r="X96" s="22">
        <f>IF(ISERROR(SEARCH("no",Tabella1[[#This Row],[Fumo]],1)),0,1)</f>
        <v>1</v>
      </c>
      <c r="Y96" s="7" t="s">
        <v>25</v>
      </c>
      <c r="Z96" s="17">
        <f>IF(ISERROR(SEARCH("NDD",Tabella1[[#This Row],[Bevitore alcolici]],1)),0,1)</f>
        <v>0</v>
      </c>
      <c r="AA96" s="17">
        <f>IF(ISERROR(SEARCH("raro",Tabella1[[#This Row],[Bevitore alcolici]],1)),0,1)</f>
        <v>0</v>
      </c>
      <c r="AB96" s="17">
        <f>IF(ISERROR(SEARCH("saltuariamente",Tabella1[[#This Row],[Bevitore alcolici]],1)),0,1)</f>
        <v>0</v>
      </c>
      <c r="AC96" s="17">
        <f>IF(ISERROR(SEARCH("nega",Tabella1[[#This Row],[Bevitore alcolici]],1)),0,1)</f>
        <v>1</v>
      </c>
      <c r="AD96" s="17">
        <f>IF(ISERROR(SEARCH("potus",Tabella1[[#This Row],[Bevitore alcolici]],1)),0,1)</f>
        <v>0</v>
      </c>
      <c r="AE96" s="7" t="s">
        <v>657</v>
      </c>
      <c r="AF96" s="17"/>
      <c r="AG96" s="17"/>
      <c r="AH96" s="17"/>
      <c r="AI96" s="17"/>
      <c r="AJ96" s="17"/>
      <c r="AK96" s="7" t="s">
        <v>8</v>
      </c>
      <c r="AL96" s="17">
        <f>IF(ISERROR(SEARCH("si",Tabella1[[#This Row],[Patente di guida]],1)),0,1)</f>
        <v>0</v>
      </c>
      <c r="AM96" s="7" t="s">
        <v>28</v>
      </c>
      <c r="AN96" s="17">
        <f>IF(ISERROR(SEARCH("no",Tabella1[[#This Row],[Ipertensione]],1)),0,1)</f>
        <v>0</v>
      </c>
      <c r="AO96" s="7" t="s">
        <v>382</v>
      </c>
      <c r="AP96" s="18">
        <f>IF(ISERROR(SEARCH("NO",Tabella1[[#This Row],[Cardiopatia ischemica]],1)),1,0)</f>
        <v>0</v>
      </c>
      <c r="AQ96" s="17">
        <f>IF(ISERROR(SEARCH("sconosciuto",Tabella1[[#This Row],[Cardiopatia ischemica]],1)),0,1)</f>
        <v>0</v>
      </c>
      <c r="AR96" s="7" t="s">
        <v>25</v>
      </c>
      <c r="AS96" s="22">
        <f>IF(ISERROR(SEARCH("nega",Tabella1[[#This Row],[Artimie]],1)),0,1)</f>
        <v>1</v>
      </c>
      <c r="AT96" s="7" t="s">
        <v>28</v>
      </c>
      <c r="AU96" s="22">
        <f>IF(ISERROR(SEARCH("nega",Tabella1[[#This Row],[Ipercolesterolemia]],1)),0,1)</f>
        <v>0</v>
      </c>
      <c r="AV96" s="22">
        <f>IF(ISERROR(SEARCH("boh",Tabella1[[#This Row],[Ipercolesterolemia]],1)),0,1)</f>
        <v>0</v>
      </c>
      <c r="AW96" s="7" t="s">
        <v>8</v>
      </c>
      <c r="AX96" s="22">
        <f>IF(ISERROR(SEARCH("Intolleranza",Tabella1[[#This Row],[Diabete]],1)),0,1)</f>
        <v>0</v>
      </c>
      <c r="AY96" s="22">
        <f>IF(ISERROR(SEARCH("si",Tabella1[[#This Row],[Diabete]],1)),0,1)</f>
        <v>0</v>
      </c>
      <c r="AZ96" s="7" t="s">
        <v>8</v>
      </c>
      <c r="BA96" s="17">
        <f>IF(ISERROR(SEARCH("NDD",Tabella1[[#This Row],[Patologia Tiroidea]],1)),0,1)</f>
        <v>0</v>
      </c>
      <c r="BB96" s="22">
        <f>IF(ISERROR(SEARCH("TIROIDITE",Tabella1[[#This Row],[Patologia Tiroidea]],1)),0,1)</f>
        <v>0</v>
      </c>
      <c r="BC96" s="22">
        <f>IF(ISERROR(SEARCH("HASHIMOTO",Tabella1[[#This Row],[Patologia Tiroidea]],1)),0,1)</f>
        <v>0</v>
      </c>
      <c r="BD96" s="22">
        <f>IF(ISERROR(SEARCH("BASEDOW",Tabella1[[#This Row],[Patologia Tiroidea]],1)),0,1)</f>
        <v>0</v>
      </c>
      <c r="BE96" s="22">
        <f>IF(ISERROR(SEARCH("NOD",Tabella1[[#This Row],[Patologia Tiroidea]],1)),0,1)</f>
        <v>0</v>
      </c>
      <c r="BF96" s="22">
        <f>IF(ISERROR(SEARCH("GOZ",Tabella1[[#This Row],[Patologia Tiroidea]],1)),0,1)</f>
        <v>0</v>
      </c>
      <c r="BG96" s="7" t="s">
        <v>28</v>
      </c>
      <c r="BH96" s="17">
        <f>IF(Tabella1[[#This Row],[Obesità]]="no",0,1)</f>
        <v>1</v>
      </c>
      <c r="BI96" s="7" t="s">
        <v>25</v>
      </c>
      <c r="BJ96" s="22">
        <f>IF(ISERROR(SEARCH("nega",Tabella1[[#This Row],[Reflusso gastroesofageo]],1)),1,0)</f>
        <v>0</v>
      </c>
      <c r="BK96" s="7" t="s">
        <v>8</v>
      </c>
      <c r="BL96" s="17">
        <f>IF(ISERROR(SEARCH("NDD",Tabella1[[#This Row],[Patologia respiratoria]],1)),0,1)</f>
        <v>0</v>
      </c>
      <c r="BM96" s="17">
        <f>IF(ISERROR(SEARCH("asma",Tabella1[[#This Row],[Patologia respiratoria]],1)),0,1)</f>
        <v>0</v>
      </c>
      <c r="BN96" s="17">
        <f>IF(ISERROR(SEARCH("BPCO",Tabella1[[#This Row],[Patologia respiratoria]],1)),0,1)</f>
        <v>0</v>
      </c>
      <c r="BO96" s="17">
        <f>IF(ISERROR(SEARCH("BRONCOPOLMONITE",Tabella1[[#This Row],[Patologia respiratoria]],1)),0,1)</f>
        <v>0</v>
      </c>
      <c r="BP96" s="17">
        <f>IF(ISERROR(SEARCH("ASMA, OSAS",Tabella1[[#This Row],[Patologia respiratoria]],1)),0,1)</f>
        <v>0</v>
      </c>
      <c r="BQ96" s="17">
        <f>IF(ISERROR(SEARCH("OSAS e BPCO",Tabella1[[#This Row],[Patologia respiratoria]],1)),0,1)</f>
        <v>0</v>
      </c>
      <c r="BR96" s="17">
        <f>IF(ISERROR(SEARCH("OSAS",Tabella1[[#This Row],[Patologia respiratoria]],1)),0,1)</f>
        <v>0</v>
      </c>
      <c r="BS96" s="7" t="s">
        <v>8</v>
      </c>
      <c r="BT96" s="7" t="s">
        <v>8</v>
      </c>
      <c r="BU96" s="7" t="s">
        <v>8</v>
      </c>
      <c r="BV96" s="17">
        <f>IF(ISERROR(SEARCH("ndd",Tabella1[[#This Row],[O2 terapia]],1)),0,1)</f>
        <v>0</v>
      </c>
      <c r="BW96" s="17">
        <v>0</v>
      </c>
      <c r="BX96" s="7"/>
      <c r="BY96" s="7" t="s">
        <v>1245</v>
      </c>
      <c r="BZ96" s="17">
        <v>1</v>
      </c>
      <c r="CA96" s="7" t="s">
        <v>28</v>
      </c>
      <c r="CB96" s="17">
        <v>1</v>
      </c>
      <c r="CC96" s="7" t="s">
        <v>28</v>
      </c>
      <c r="CD96" s="17">
        <v>1</v>
      </c>
      <c r="CE96" s="7" t="s">
        <v>8</v>
      </c>
      <c r="CF96" s="18">
        <v>0</v>
      </c>
      <c r="CG96" s="7" t="s">
        <v>1246</v>
      </c>
      <c r="CH96" s="17">
        <v>0</v>
      </c>
      <c r="CI96" s="7" t="s">
        <v>8</v>
      </c>
      <c r="CJ96" s="18">
        <v>0</v>
      </c>
      <c r="CK96" s="7" t="s">
        <v>28</v>
      </c>
      <c r="CL96" s="17">
        <v>1</v>
      </c>
      <c r="CM96" s="7" t="s">
        <v>1247</v>
      </c>
      <c r="CN96" s="17">
        <v>1</v>
      </c>
      <c r="CO96" s="7" t="s">
        <v>8</v>
      </c>
      <c r="CP96" s="18">
        <v>0</v>
      </c>
      <c r="CQ96" s="7" t="s">
        <v>69</v>
      </c>
      <c r="CR96" s="7" t="s">
        <v>318</v>
      </c>
      <c r="CS96" s="7" t="s">
        <v>71</v>
      </c>
      <c r="CT96" s="7" t="s">
        <v>736</v>
      </c>
      <c r="CU96" s="7" t="s">
        <v>1248</v>
      </c>
      <c r="CV96" s="8"/>
    </row>
    <row r="97" spans="1:100" ht="42.75">
      <c r="A97" s="1">
        <f t="shared" si="1"/>
        <v>96</v>
      </c>
      <c r="B97" s="9">
        <v>706</v>
      </c>
      <c r="C97" s="11"/>
      <c r="D97" s="11" t="s">
        <v>1249</v>
      </c>
      <c r="E97" s="10">
        <v>31207</v>
      </c>
      <c r="F97" s="29">
        <f ca="1">_xlfn.DAYS(NOW(),Tabella1[[#This Row],[Data di Nascita]])/365.25</f>
        <v>40.153319644079396</v>
      </c>
      <c r="G97" s="11"/>
      <c r="H97" s="11" t="s">
        <v>1250</v>
      </c>
      <c r="I97" s="11" t="s">
        <v>1251</v>
      </c>
      <c r="J97" s="11" t="s">
        <v>618</v>
      </c>
      <c r="K97" s="11" t="s">
        <v>1252</v>
      </c>
      <c r="L97" s="18">
        <f>IF(ISERROR(SEARCH("EX",Tabella1[[#This Row],[Attività lavorativa]],1)),0,1)</f>
        <v>0</v>
      </c>
      <c r="M97" s="18"/>
      <c r="N97" s="18"/>
      <c r="O97" s="18"/>
      <c r="P97" s="18"/>
      <c r="Q97" s="18"/>
      <c r="R97" s="18"/>
      <c r="S97" s="17">
        <v>1</v>
      </c>
      <c r="T97" s="17">
        <f>IF(ISERROR(SEARCH("NDD",Tabella1[[#This Row],[Attività lavorativa]],1)),0,1)</f>
        <v>0</v>
      </c>
      <c r="U97" s="11" t="s">
        <v>195</v>
      </c>
      <c r="V97" s="22"/>
      <c r="W97" s="22">
        <f>IF(ISERROR(SEARCH("ex",Tabella1[[#This Row],[Fumo]],1)),0,1)</f>
        <v>0</v>
      </c>
      <c r="X97" s="22">
        <f>IF(ISERROR(SEARCH("no",Tabella1[[#This Row],[Fumo]],1)),0,1)</f>
        <v>1</v>
      </c>
      <c r="Y97" s="11" t="s">
        <v>25</v>
      </c>
      <c r="Z97" s="18">
        <f>IF(ISERROR(SEARCH("NDD",Tabella1[[#This Row],[Bevitore alcolici]],1)),0,1)</f>
        <v>0</v>
      </c>
      <c r="AA97" s="17">
        <f>IF(ISERROR(SEARCH("raro",Tabella1[[#This Row],[Bevitore alcolici]],1)),0,1)</f>
        <v>0</v>
      </c>
      <c r="AB97" s="17">
        <f>IF(ISERROR(SEARCH("saltuariamente",Tabella1[[#This Row],[Bevitore alcolici]],1)),0,1)</f>
        <v>0</v>
      </c>
      <c r="AC97" s="17">
        <f>IF(ISERROR(SEARCH("nega",Tabella1[[#This Row],[Bevitore alcolici]],1)),0,1)</f>
        <v>1</v>
      </c>
      <c r="AD97" s="17">
        <f>IF(ISERROR(SEARCH("potus",Tabella1[[#This Row],[Bevitore alcolici]],1)),0,1)</f>
        <v>0</v>
      </c>
      <c r="AE97" s="11" t="s">
        <v>657</v>
      </c>
      <c r="AF97" s="18"/>
      <c r="AG97" s="18"/>
      <c r="AH97" s="18"/>
      <c r="AI97" s="18"/>
      <c r="AJ97" s="18"/>
      <c r="AK97" s="11" t="s">
        <v>8</v>
      </c>
      <c r="AL97" s="18">
        <f>IF(ISERROR(SEARCH("si",Tabella1[[#This Row],[Patente di guida]],1)),0,1)</f>
        <v>0</v>
      </c>
      <c r="AM97" s="11" t="s">
        <v>8</v>
      </c>
      <c r="AN97" s="18">
        <f>IF(ISERROR(SEARCH("no",Tabella1[[#This Row],[Ipertensione]],1)),0,1)</f>
        <v>1</v>
      </c>
      <c r="AO97" s="11" t="s">
        <v>382</v>
      </c>
      <c r="AP97" s="18">
        <f>IF(ISERROR(SEARCH("NO",Tabella1[[#This Row],[Cardiopatia ischemica]],1)),1,0)</f>
        <v>0</v>
      </c>
      <c r="AQ97" s="17">
        <f>IF(ISERROR(SEARCH("sconosciuto",Tabella1[[#This Row],[Cardiopatia ischemica]],1)),0,1)</f>
        <v>0</v>
      </c>
      <c r="AR97" s="11" t="s">
        <v>25</v>
      </c>
      <c r="AS97" s="22">
        <f>IF(ISERROR(SEARCH("nega",Tabella1[[#This Row],[Artimie]],1)),0,1)</f>
        <v>1</v>
      </c>
      <c r="AT97" s="11" t="s">
        <v>25</v>
      </c>
      <c r="AU97" s="22">
        <f>IF(ISERROR(SEARCH("nega",Tabella1[[#This Row],[Ipercolesterolemia]],1)),0,1)</f>
        <v>1</v>
      </c>
      <c r="AV97" s="22">
        <f>IF(ISERROR(SEARCH("boh",Tabella1[[#This Row],[Ipercolesterolemia]],1)),0,1)</f>
        <v>0</v>
      </c>
      <c r="AW97" s="11" t="s">
        <v>8</v>
      </c>
      <c r="AX97" s="22">
        <f>IF(ISERROR(SEARCH("Intolleranza",Tabella1[[#This Row],[Diabete]],1)),0,1)</f>
        <v>0</v>
      </c>
      <c r="AY97" s="22">
        <f>IF(ISERROR(SEARCH("si",Tabella1[[#This Row],[Diabete]],1)),0,1)</f>
        <v>0</v>
      </c>
      <c r="AZ97" s="11" t="s">
        <v>8</v>
      </c>
      <c r="BA97" s="18">
        <f>IF(ISERROR(SEARCH("NDD",Tabella1[[#This Row],[Patologia Tiroidea]],1)),0,1)</f>
        <v>0</v>
      </c>
      <c r="BB97" s="22">
        <f>IF(ISERROR(SEARCH("TIROIDITE",Tabella1[[#This Row],[Patologia Tiroidea]],1)),0,1)</f>
        <v>0</v>
      </c>
      <c r="BC97" s="22">
        <f>IF(ISERROR(SEARCH("HASHIMOTO",Tabella1[[#This Row],[Patologia Tiroidea]],1)),0,1)</f>
        <v>0</v>
      </c>
      <c r="BD97" s="22">
        <f>IF(ISERROR(SEARCH("BASEDOW",Tabella1[[#This Row],[Patologia Tiroidea]],1)),0,1)</f>
        <v>0</v>
      </c>
      <c r="BE97" s="22">
        <f>IF(ISERROR(SEARCH("NOD",Tabella1[[#This Row],[Patologia Tiroidea]],1)),0,1)</f>
        <v>0</v>
      </c>
      <c r="BF97" s="22">
        <f>IF(ISERROR(SEARCH("GOZ",Tabella1[[#This Row],[Patologia Tiroidea]],1)),0,1)</f>
        <v>0</v>
      </c>
      <c r="BG97" s="11" t="s">
        <v>8</v>
      </c>
      <c r="BH97" s="18">
        <f>IF(Tabella1[[#This Row],[Obesità]]="no",0,1)</f>
        <v>0</v>
      </c>
      <c r="BI97" s="11" t="s">
        <v>25</v>
      </c>
      <c r="BJ97" s="22">
        <f>IF(ISERROR(SEARCH("nega",Tabella1[[#This Row],[Reflusso gastroesofageo]],1)),1,0)</f>
        <v>0</v>
      </c>
      <c r="BK97" s="11" t="s">
        <v>8</v>
      </c>
      <c r="BL97" s="18">
        <f>IF(ISERROR(SEARCH("NDD",Tabella1[[#This Row],[Patologia respiratoria]],1)),0,1)</f>
        <v>0</v>
      </c>
      <c r="BM97" s="18">
        <f>IF(ISERROR(SEARCH("asma",Tabella1[[#This Row],[Patologia respiratoria]],1)),0,1)</f>
        <v>0</v>
      </c>
      <c r="BN97" s="18">
        <f>IF(ISERROR(SEARCH("BPCO",Tabella1[[#This Row],[Patologia respiratoria]],1)),0,1)</f>
        <v>0</v>
      </c>
      <c r="BO97" s="18">
        <f>IF(ISERROR(SEARCH("BRONCOPOLMONITE",Tabella1[[#This Row],[Patologia respiratoria]],1)),0,1)</f>
        <v>0</v>
      </c>
      <c r="BP97" s="18">
        <f>IF(ISERROR(SEARCH("ASMA, OSAS",Tabella1[[#This Row],[Patologia respiratoria]],1)),0,1)</f>
        <v>0</v>
      </c>
      <c r="BQ97" s="18">
        <f>IF(ISERROR(SEARCH("OSAS e BPCO",Tabella1[[#This Row],[Patologia respiratoria]],1)),0,1)</f>
        <v>0</v>
      </c>
      <c r="BR97" s="18">
        <f>IF(ISERROR(SEARCH("OSAS",Tabella1[[#This Row],[Patologia respiratoria]],1)),0,1)</f>
        <v>0</v>
      </c>
      <c r="BS97" s="11" t="s">
        <v>8</v>
      </c>
      <c r="BT97" s="11" t="s">
        <v>8</v>
      </c>
      <c r="BU97" s="11" t="s">
        <v>8</v>
      </c>
      <c r="BV97" s="18">
        <f>IF(ISERROR(SEARCH("ndd",Tabella1[[#This Row],[O2 terapia]],1)),0,1)</f>
        <v>0</v>
      </c>
      <c r="BW97" s="17">
        <v>0</v>
      </c>
      <c r="BX97" s="11"/>
      <c r="BY97" s="11" t="s">
        <v>8</v>
      </c>
      <c r="BZ97" s="18">
        <v>0</v>
      </c>
      <c r="CA97" s="11" t="s">
        <v>8</v>
      </c>
      <c r="CB97" s="17">
        <v>0</v>
      </c>
      <c r="CC97" s="11" t="s">
        <v>8</v>
      </c>
      <c r="CD97" s="18">
        <v>0</v>
      </c>
      <c r="CE97" s="11" t="s">
        <v>8</v>
      </c>
      <c r="CF97" s="18">
        <v>0</v>
      </c>
      <c r="CG97" s="11" t="s">
        <v>8</v>
      </c>
      <c r="CH97" s="17">
        <v>0</v>
      </c>
      <c r="CI97" s="11" t="s">
        <v>8</v>
      </c>
      <c r="CJ97" s="18">
        <v>0</v>
      </c>
      <c r="CK97" s="11" t="s">
        <v>8</v>
      </c>
      <c r="CL97" s="17">
        <v>0</v>
      </c>
      <c r="CM97" s="11" t="s">
        <v>8</v>
      </c>
      <c r="CN97" s="17">
        <v>0</v>
      </c>
      <c r="CO97" s="11" t="s">
        <v>8</v>
      </c>
      <c r="CP97" s="18">
        <v>0</v>
      </c>
      <c r="CQ97" s="11" t="s">
        <v>54</v>
      </c>
      <c r="CR97" s="11" t="s">
        <v>135</v>
      </c>
      <c r="CS97" s="11" t="s">
        <v>37</v>
      </c>
      <c r="CT97" s="11" t="s">
        <v>184</v>
      </c>
      <c r="CU97" s="11" t="s">
        <v>1210</v>
      </c>
      <c r="CV97" s="12"/>
    </row>
    <row r="98" spans="1:100" ht="99.75">
      <c r="A98" s="1">
        <f t="shared" si="1"/>
        <v>97</v>
      </c>
      <c r="B98" s="5">
        <v>707</v>
      </c>
      <c r="C98" s="6">
        <v>44944</v>
      </c>
      <c r="D98" s="7" t="s">
        <v>1253</v>
      </c>
      <c r="E98" s="6">
        <v>28680</v>
      </c>
      <c r="F98" s="29">
        <f ca="1">_xlfn.DAYS(NOW(),Tabella1[[#This Row],[Data di Nascita]])/365.25</f>
        <v>47.071868583162221</v>
      </c>
      <c r="G98" s="7"/>
      <c r="H98" s="7" t="s">
        <v>1254</v>
      </c>
      <c r="I98" s="7" t="s">
        <v>880</v>
      </c>
      <c r="J98" s="7" t="s">
        <v>1215</v>
      </c>
      <c r="K98" s="7" t="s">
        <v>1255</v>
      </c>
      <c r="L98" s="17">
        <f>IF(ISERROR(SEARCH("EX",Tabella1[[#This Row],[Attività lavorativa]],1)),0,1)</f>
        <v>0</v>
      </c>
      <c r="M98" s="17"/>
      <c r="N98" s="17"/>
      <c r="O98" s="17"/>
      <c r="P98" s="17"/>
      <c r="Q98" s="17"/>
      <c r="R98" s="17"/>
      <c r="S98" s="17"/>
      <c r="T98" s="17">
        <f>IF(ISERROR(SEARCH("NDD",Tabella1[[#This Row],[Attività lavorativa]],1)),0,1)</f>
        <v>0</v>
      </c>
      <c r="U98" s="7" t="s">
        <v>8</v>
      </c>
      <c r="V98" s="22"/>
      <c r="W98" s="22">
        <f>IF(ISERROR(SEARCH("ex",Tabella1[[#This Row],[Fumo]],1)),0,1)</f>
        <v>0</v>
      </c>
      <c r="X98" s="22">
        <f>IF(ISERROR(SEARCH("no",Tabella1[[#This Row],[Fumo]],1)),0,1)</f>
        <v>1</v>
      </c>
      <c r="Y98" s="7" t="s">
        <v>25</v>
      </c>
      <c r="Z98" s="17">
        <f>IF(ISERROR(SEARCH("NDD",Tabella1[[#This Row],[Bevitore alcolici]],1)),0,1)</f>
        <v>0</v>
      </c>
      <c r="AA98" s="17">
        <f>IF(ISERROR(SEARCH("raro",Tabella1[[#This Row],[Bevitore alcolici]],1)),0,1)</f>
        <v>0</v>
      </c>
      <c r="AB98" s="17">
        <f>IF(ISERROR(SEARCH("saltuariamente",Tabella1[[#This Row],[Bevitore alcolici]],1)),0,1)</f>
        <v>0</v>
      </c>
      <c r="AC98" s="17">
        <f>IF(ISERROR(SEARCH("nega",Tabella1[[#This Row],[Bevitore alcolici]],1)),0,1)</f>
        <v>1</v>
      </c>
      <c r="AD98" s="17">
        <f>IF(ISERROR(SEARCH("potus",Tabella1[[#This Row],[Bevitore alcolici]],1)),0,1)</f>
        <v>0</v>
      </c>
      <c r="AE98" s="7" t="s">
        <v>1256</v>
      </c>
      <c r="AF98" s="17"/>
      <c r="AG98" s="18">
        <v>1</v>
      </c>
      <c r="AH98" s="18"/>
      <c r="AI98" s="18"/>
      <c r="AJ98" s="18"/>
      <c r="AK98" s="7" t="s">
        <v>28</v>
      </c>
      <c r="AL98" s="17">
        <f>IF(ISERROR(SEARCH("si",Tabella1[[#This Row],[Patente di guida]],1)),0,1)</f>
        <v>1</v>
      </c>
      <c r="AM98" s="7" t="s">
        <v>8</v>
      </c>
      <c r="AN98" s="17">
        <f>IF(ISERROR(SEARCH("no",Tabella1[[#This Row],[Ipertensione]],1)),0,1)</f>
        <v>1</v>
      </c>
      <c r="AO98" s="7" t="s">
        <v>382</v>
      </c>
      <c r="AP98" s="18">
        <f>IF(ISERROR(SEARCH("NO",Tabella1[[#This Row],[Cardiopatia ischemica]],1)),1,0)</f>
        <v>0</v>
      </c>
      <c r="AQ98" s="17">
        <f>IF(ISERROR(SEARCH("sconosciuto",Tabella1[[#This Row],[Cardiopatia ischemica]],1)),0,1)</f>
        <v>0</v>
      </c>
      <c r="AR98" s="7" t="s">
        <v>25</v>
      </c>
      <c r="AS98" s="22">
        <f>IF(ISERROR(SEARCH("nega",Tabella1[[#This Row],[Artimie]],1)),0,1)</f>
        <v>1</v>
      </c>
      <c r="AT98" s="7" t="s">
        <v>25</v>
      </c>
      <c r="AU98" s="22">
        <f>IF(ISERROR(SEARCH("nega",Tabella1[[#This Row],[Ipercolesterolemia]],1)),0,1)</f>
        <v>1</v>
      </c>
      <c r="AV98" s="22">
        <f>IF(ISERROR(SEARCH("boh",Tabella1[[#This Row],[Ipercolesterolemia]],1)),0,1)</f>
        <v>0</v>
      </c>
      <c r="AW98" s="7" t="s">
        <v>8</v>
      </c>
      <c r="AX98" s="22">
        <f>IF(ISERROR(SEARCH("Intolleranza",Tabella1[[#This Row],[Diabete]],1)),0,1)</f>
        <v>0</v>
      </c>
      <c r="AY98" s="22">
        <f>IF(ISERROR(SEARCH("si",Tabella1[[#This Row],[Diabete]],1)),0,1)</f>
        <v>0</v>
      </c>
      <c r="AZ98" s="7" t="s">
        <v>8</v>
      </c>
      <c r="BA98" s="17">
        <f>IF(ISERROR(SEARCH("NDD",Tabella1[[#This Row],[Patologia Tiroidea]],1)),0,1)</f>
        <v>0</v>
      </c>
      <c r="BB98" s="22">
        <f>IF(ISERROR(SEARCH("TIROIDITE",Tabella1[[#This Row],[Patologia Tiroidea]],1)),0,1)</f>
        <v>0</v>
      </c>
      <c r="BC98" s="22">
        <f>IF(ISERROR(SEARCH("HASHIMOTO",Tabella1[[#This Row],[Patologia Tiroidea]],1)),0,1)</f>
        <v>0</v>
      </c>
      <c r="BD98" s="22">
        <f>IF(ISERROR(SEARCH("BASEDOW",Tabella1[[#This Row],[Patologia Tiroidea]],1)),0,1)</f>
        <v>0</v>
      </c>
      <c r="BE98" s="22">
        <f>IF(ISERROR(SEARCH("NOD",Tabella1[[#This Row],[Patologia Tiroidea]],1)),0,1)</f>
        <v>0</v>
      </c>
      <c r="BF98" s="22">
        <f>IF(ISERROR(SEARCH("GOZ",Tabella1[[#This Row],[Patologia Tiroidea]],1)),0,1)</f>
        <v>0</v>
      </c>
      <c r="BG98" s="7" t="s">
        <v>28</v>
      </c>
      <c r="BH98" s="17">
        <f>IF(Tabella1[[#This Row],[Obesità]]="no",0,1)</f>
        <v>1</v>
      </c>
      <c r="BI98" s="7" t="s">
        <v>28</v>
      </c>
      <c r="BJ98" s="22">
        <f>IF(ISERROR(SEARCH("nega",Tabella1[[#This Row],[Reflusso gastroesofageo]],1)),1,0)</f>
        <v>1</v>
      </c>
      <c r="BK98" s="7" t="s">
        <v>8</v>
      </c>
      <c r="BL98" s="17">
        <f>IF(ISERROR(SEARCH("NDD",Tabella1[[#This Row],[Patologia respiratoria]],1)),0,1)</f>
        <v>0</v>
      </c>
      <c r="BM98" s="17">
        <f>IF(ISERROR(SEARCH("asma",Tabella1[[#This Row],[Patologia respiratoria]],1)),0,1)</f>
        <v>0</v>
      </c>
      <c r="BN98" s="17">
        <f>IF(ISERROR(SEARCH("BPCO",Tabella1[[#This Row],[Patologia respiratoria]],1)),0,1)</f>
        <v>0</v>
      </c>
      <c r="BO98" s="17">
        <f>IF(ISERROR(SEARCH("BRONCOPOLMONITE",Tabella1[[#This Row],[Patologia respiratoria]],1)),0,1)</f>
        <v>0</v>
      </c>
      <c r="BP98" s="17">
        <f>IF(ISERROR(SEARCH("ASMA, OSAS",Tabella1[[#This Row],[Patologia respiratoria]],1)),0,1)</f>
        <v>0</v>
      </c>
      <c r="BQ98" s="17">
        <f>IF(ISERROR(SEARCH("OSAS e BPCO",Tabella1[[#This Row],[Patologia respiratoria]],1)),0,1)</f>
        <v>0</v>
      </c>
      <c r="BR98" s="17">
        <f>IF(ISERROR(SEARCH("OSAS",Tabella1[[#This Row],[Patologia respiratoria]],1)),0,1)</f>
        <v>0</v>
      </c>
      <c r="BS98" s="7" t="s">
        <v>8</v>
      </c>
      <c r="BT98" s="7"/>
      <c r="BU98" s="7" t="s">
        <v>1257</v>
      </c>
      <c r="BV98" s="17">
        <f>IF(ISERROR(SEARCH("ndd",Tabella1[[#This Row],[O2 terapia]],1)),0,1)</f>
        <v>0</v>
      </c>
      <c r="BW98" s="17">
        <v>0</v>
      </c>
      <c r="BX98" s="7"/>
      <c r="BY98" s="7" t="s">
        <v>1258</v>
      </c>
      <c r="BZ98" s="17">
        <v>1</v>
      </c>
      <c r="CA98" s="7" t="s">
        <v>8</v>
      </c>
      <c r="CB98" s="17">
        <v>0</v>
      </c>
      <c r="CC98" s="7" t="s">
        <v>8</v>
      </c>
      <c r="CD98" s="18">
        <v>0</v>
      </c>
      <c r="CE98" s="7" t="s">
        <v>8</v>
      </c>
      <c r="CF98" s="18">
        <v>0</v>
      </c>
      <c r="CG98" s="7" t="s">
        <v>1259</v>
      </c>
      <c r="CH98" s="17">
        <v>1</v>
      </c>
      <c r="CI98" s="7" t="s">
        <v>8</v>
      </c>
      <c r="CJ98" s="18">
        <v>0</v>
      </c>
      <c r="CK98" s="7" t="s">
        <v>8</v>
      </c>
      <c r="CL98" s="17">
        <v>0</v>
      </c>
      <c r="CM98" s="7" t="s">
        <v>8</v>
      </c>
      <c r="CN98" s="17">
        <v>0</v>
      </c>
      <c r="CO98" s="7" t="s">
        <v>1260</v>
      </c>
      <c r="CP98" s="17">
        <v>1</v>
      </c>
      <c r="CQ98" s="7" t="s">
        <v>69</v>
      </c>
      <c r="CR98" s="7" t="s">
        <v>318</v>
      </c>
      <c r="CS98" s="7" t="s">
        <v>71</v>
      </c>
      <c r="CT98" s="7" t="s">
        <v>1181</v>
      </c>
      <c r="CU98" s="7" t="s">
        <v>1210</v>
      </c>
      <c r="CV98" s="8" t="s">
        <v>1261</v>
      </c>
    </row>
    <row r="99" spans="1:100" ht="42.75">
      <c r="A99" s="1">
        <f t="shared" si="1"/>
        <v>98</v>
      </c>
      <c r="B99" s="9">
        <v>710</v>
      </c>
      <c r="C99" s="10">
        <v>44944</v>
      </c>
      <c r="D99" s="11" t="s">
        <v>1262</v>
      </c>
      <c r="E99" s="10">
        <v>18343</v>
      </c>
      <c r="F99" s="29">
        <f ca="1">_xlfn.DAYS(NOW(),Tabella1[[#This Row],[Data di Nascita]])/365.25</f>
        <v>75.37303216974675</v>
      </c>
      <c r="G99" s="11"/>
      <c r="H99" s="11" t="s">
        <v>1263</v>
      </c>
      <c r="I99" s="11" t="s">
        <v>439</v>
      </c>
      <c r="J99" s="11" t="s">
        <v>1264</v>
      </c>
      <c r="K99" s="11" t="s">
        <v>1265</v>
      </c>
      <c r="L99" s="18">
        <f>IF(ISERROR(SEARCH("EX",Tabella1[[#This Row],[Attività lavorativa]],1)),0,1)</f>
        <v>1</v>
      </c>
      <c r="M99" s="18"/>
      <c r="N99" s="18"/>
      <c r="O99" s="18"/>
      <c r="P99" s="18"/>
      <c r="Q99" s="18"/>
      <c r="R99" s="18"/>
      <c r="S99" s="17">
        <v>1</v>
      </c>
      <c r="T99" s="17">
        <f>IF(ISERROR(SEARCH("NDD",Tabella1[[#This Row],[Attività lavorativa]],1)),0,1)</f>
        <v>0</v>
      </c>
      <c r="U99" s="11" t="s">
        <v>1266</v>
      </c>
      <c r="V99" s="22">
        <v>30</v>
      </c>
      <c r="W99" s="22">
        <f>IF(ISERROR(SEARCH("ex",Tabella1[[#This Row],[Fumo]],1)),0,1)</f>
        <v>0</v>
      </c>
      <c r="X99" s="22">
        <f>IF(ISERROR(SEARCH("no",Tabella1[[#This Row],[Fumo]],1)),0,1)</f>
        <v>0</v>
      </c>
      <c r="Y99" s="11" t="s">
        <v>25</v>
      </c>
      <c r="Z99" s="18">
        <f>IF(ISERROR(SEARCH("NDD",Tabella1[[#This Row],[Bevitore alcolici]],1)),0,1)</f>
        <v>0</v>
      </c>
      <c r="AA99" s="17">
        <f>IF(ISERROR(SEARCH("raro",Tabella1[[#This Row],[Bevitore alcolici]],1)),0,1)</f>
        <v>0</v>
      </c>
      <c r="AB99" s="17">
        <f>IF(ISERROR(SEARCH("saltuariamente",Tabella1[[#This Row],[Bevitore alcolici]],1)),0,1)</f>
        <v>0</v>
      </c>
      <c r="AC99" s="17">
        <f>IF(ISERROR(SEARCH("nega",Tabella1[[#This Row],[Bevitore alcolici]],1)),0,1)</f>
        <v>1</v>
      </c>
      <c r="AD99" s="17">
        <f>IF(ISERROR(SEARCH("potus",Tabella1[[#This Row],[Bevitore alcolici]],1)),0,1)</f>
        <v>0</v>
      </c>
      <c r="AE99" s="11" t="s">
        <v>1267</v>
      </c>
      <c r="AF99" s="18"/>
      <c r="AG99" s="18">
        <v>1</v>
      </c>
      <c r="AH99" s="18"/>
      <c r="AI99" s="18"/>
      <c r="AJ99" s="18">
        <v>1</v>
      </c>
      <c r="AK99" s="11" t="s">
        <v>28</v>
      </c>
      <c r="AL99" s="18">
        <f>IF(ISERROR(SEARCH("si",Tabella1[[#This Row],[Patente di guida]],1)),0,1)</f>
        <v>1</v>
      </c>
      <c r="AM99" s="11" t="s">
        <v>8</v>
      </c>
      <c r="AN99" s="18">
        <f>IF(ISERROR(SEARCH("no",Tabella1[[#This Row],[Ipertensione]],1)),0,1)</f>
        <v>1</v>
      </c>
      <c r="AO99" s="11" t="s">
        <v>382</v>
      </c>
      <c r="AP99" s="18">
        <f>IF(ISERROR(SEARCH("NO",Tabella1[[#This Row],[Cardiopatia ischemica]],1)),1,0)</f>
        <v>0</v>
      </c>
      <c r="AQ99" s="17">
        <f>IF(ISERROR(SEARCH("sconosciuto",Tabella1[[#This Row],[Cardiopatia ischemica]],1)),0,1)</f>
        <v>0</v>
      </c>
      <c r="AR99" s="11" t="s">
        <v>25</v>
      </c>
      <c r="AS99" s="22">
        <f>IF(ISERROR(SEARCH("nega",Tabella1[[#This Row],[Artimie]],1)),0,1)</f>
        <v>1</v>
      </c>
      <c r="AT99" s="11" t="s">
        <v>25</v>
      </c>
      <c r="AU99" s="22">
        <f>IF(ISERROR(SEARCH("nega",Tabella1[[#This Row],[Ipercolesterolemia]],1)),0,1)</f>
        <v>1</v>
      </c>
      <c r="AV99" s="22">
        <f>IF(ISERROR(SEARCH("boh",Tabella1[[#This Row],[Ipercolesterolemia]],1)),0,1)</f>
        <v>0</v>
      </c>
      <c r="AW99" s="11" t="s">
        <v>8</v>
      </c>
      <c r="AX99" s="22">
        <f>IF(ISERROR(SEARCH("Intolleranza",Tabella1[[#This Row],[Diabete]],1)),0,1)</f>
        <v>0</v>
      </c>
      <c r="AY99" s="22">
        <f>IF(ISERROR(SEARCH("si",Tabella1[[#This Row],[Diabete]],1)),0,1)</f>
        <v>0</v>
      </c>
      <c r="AZ99" s="11" t="s">
        <v>8</v>
      </c>
      <c r="BA99" s="18">
        <f>IF(ISERROR(SEARCH("NDD",Tabella1[[#This Row],[Patologia Tiroidea]],1)),0,1)</f>
        <v>0</v>
      </c>
      <c r="BB99" s="22">
        <f>IF(ISERROR(SEARCH("TIROIDITE",Tabella1[[#This Row],[Patologia Tiroidea]],1)),0,1)</f>
        <v>0</v>
      </c>
      <c r="BC99" s="22">
        <f>IF(ISERROR(SEARCH("HASHIMOTO",Tabella1[[#This Row],[Patologia Tiroidea]],1)),0,1)</f>
        <v>0</v>
      </c>
      <c r="BD99" s="22">
        <f>IF(ISERROR(SEARCH("BASEDOW",Tabella1[[#This Row],[Patologia Tiroidea]],1)),0,1)</f>
        <v>0</v>
      </c>
      <c r="BE99" s="22">
        <f>IF(ISERROR(SEARCH("NOD",Tabella1[[#This Row],[Patologia Tiroidea]],1)),0,1)</f>
        <v>0</v>
      </c>
      <c r="BF99" s="22">
        <f>IF(ISERROR(SEARCH("GOZ",Tabella1[[#This Row],[Patologia Tiroidea]],1)),0,1)</f>
        <v>0</v>
      </c>
      <c r="BG99" s="11" t="s">
        <v>28</v>
      </c>
      <c r="BH99" s="18">
        <f>IF(Tabella1[[#This Row],[Obesità]]="no",0,1)</f>
        <v>1</v>
      </c>
      <c r="BI99" s="11" t="s">
        <v>25</v>
      </c>
      <c r="BJ99" s="22">
        <f>IF(ISERROR(SEARCH("nega",Tabella1[[#This Row],[Reflusso gastroesofageo]],1)),1,0)</f>
        <v>0</v>
      </c>
      <c r="BK99" s="11" t="s">
        <v>8</v>
      </c>
      <c r="BL99" s="18">
        <f>IF(ISERROR(SEARCH("NDD",Tabella1[[#This Row],[Patologia respiratoria]],1)),0,1)</f>
        <v>0</v>
      </c>
      <c r="BM99" s="18">
        <f>IF(ISERROR(SEARCH("asma",Tabella1[[#This Row],[Patologia respiratoria]],1)),0,1)</f>
        <v>0</v>
      </c>
      <c r="BN99" s="18">
        <f>IF(ISERROR(SEARCH("BPCO",Tabella1[[#This Row],[Patologia respiratoria]],1)),0,1)</f>
        <v>0</v>
      </c>
      <c r="BO99" s="18">
        <f>IF(ISERROR(SEARCH("BRONCOPOLMONITE",Tabella1[[#This Row],[Patologia respiratoria]],1)),0,1)</f>
        <v>0</v>
      </c>
      <c r="BP99" s="18">
        <f>IF(ISERROR(SEARCH("ASMA, OSAS",Tabella1[[#This Row],[Patologia respiratoria]],1)),0,1)</f>
        <v>0</v>
      </c>
      <c r="BQ99" s="18">
        <f>IF(ISERROR(SEARCH("OSAS e BPCO",Tabella1[[#This Row],[Patologia respiratoria]],1)),0,1)</f>
        <v>0</v>
      </c>
      <c r="BR99" s="18">
        <f>IF(ISERROR(SEARCH("OSAS",Tabella1[[#This Row],[Patologia respiratoria]],1)),0,1)</f>
        <v>0</v>
      </c>
      <c r="BS99" s="11"/>
      <c r="BT99" s="11"/>
      <c r="BU99" s="11" t="s">
        <v>1268</v>
      </c>
      <c r="BV99" s="18">
        <f>IF(ISERROR(SEARCH("ndd",Tabella1[[#This Row],[O2 terapia]],1)),0,1)</f>
        <v>0</v>
      </c>
      <c r="BW99" s="17">
        <v>0</v>
      </c>
      <c r="BX99" s="11"/>
      <c r="BY99" s="11" t="s">
        <v>8</v>
      </c>
      <c r="BZ99" s="18">
        <v>0</v>
      </c>
      <c r="CA99" s="11" t="s">
        <v>28</v>
      </c>
      <c r="CB99" s="17">
        <v>1</v>
      </c>
      <c r="CC99" s="11" t="s">
        <v>1269</v>
      </c>
      <c r="CD99" s="17">
        <v>1</v>
      </c>
      <c r="CE99" s="11" t="s">
        <v>8</v>
      </c>
      <c r="CF99" s="18">
        <v>0</v>
      </c>
      <c r="CG99" s="11" t="s">
        <v>8</v>
      </c>
      <c r="CH99" s="17">
        <v>0</v>
      </c>
      <c r="CI99" s="11" t="s">
        <v>8</v>
      </c>
      <c r="CJ99" s="18">
        <v>0</v>
      </c>
      <c r="CK99" s="11" t="s">
        <v>28</v>
      </c>
      <c r="CL99" s="17">
        <v>1</v>
      </c>
      <c r="CM99" s="11" t="s">
        <v>8</v>
      </c>
      <c r="CN99" s="17">
        <v>0</v>
      </c>
      <c r="CO99" s="11" t="s">
        <v>8</v>
      </c>
      <c r="CP99" s="18">
        <v>0</v>
      </c>
      <c r="CQ99" s="11" t="s">
        <v>85</v>
      </c>
      <c r="CR99" s="11" t="s">
        <v>135</v>
      </c>
      <c r="CS99" s="11"/>
      <c r="CT99" s="11"/>
      <c r="CU99" s="11" t="s">
        <v>1210</v>
      </c>
      <c r="CV99" s="12"/>
    </row>
    <row r="100" spans="1:100" ht="42.75">
      <c r="A100" s="1">
        <f t="shared" si="1"/>
        <v>99</v>
      </c>
      <c r="B100" s="5">
        <v>714</v>
      </c>
      <c r="C100" s="6">
        <v>44945</v>
      </c>
      <c r="D100" s="7" t="s">
        <v>642</v>
      </c>
      <c r="E100" s="6">
        <v>24915</v>
      </c>
      <c r="F100" s="29">
        <f ca="1">_xlfn.DAYS(NOW(),Tabella1[[#This Row],[Data di Nascita]])/365.25</f>
        <v>57.379876796714576</v>
      </c>
      <c r="G100" s="7"/>
      <c r="H100" s="7" t="s">
        <v>644</v>
      </c>
      <c r="I100" s="7" t="s">
        <v>439</v>
      </c>
      <c r="J100" s="7" t="s">
        <v>1270</v>
      </c>
      <c r="K100" s="7" t="s">
        <v>1271</v>
      </c>
      <c r="L100" s="17">
        <f>IF(ISERROR(SEARCH("EX",Tabella1[[#This Row],[Attività lavorativa]],1)),0,1)</f>
        <v>0</v>
      </c>
      <c r="M100" s="17"/>
      <c r="N100" s="17"/>
      <c r="O100" s="17"/>
      <c r="P100" s="17"/>
      <c r="Q100" s="17"/>
      <c r="R100" s="17"/>
      <c r="S100" s="17"/>
      <c r="T100" s="17">
        <f>IF(ISERROR(SEARCH("NDD",Tabella1[[#This Row],[Attività lavorativa]],1)),0,1)</f>
        <v>0</v>
      </c>
      <c r="U100" s="7" t="s">
        <v>8</v>
      </c>
      <c r="V100" s="22"/>
      <c r="W100" s="22">
        <f>IF(ISERROR(SEARCH("ex",Tabella1[[#This Row],[Fumo]],1)),0,1)</f>
        <v>0</v>
      </c>
      <c r="X100" s="22">
        <f>IF(ISERROR(SEARCH("no",Tabella1[[#This Row],[Fumo]],1)),0,1)</f>
        <v>1</v>
      </c>
      <c r="Y100" s="7" t="s">
        <v>25</v>
      </c>
      <c r="Z100" s="17">
        <f>IF(ISERROR(SEARCH("NDD",Tabella1[[#This Row],[Bevitore alcolici]],1)),0,1)</f>
        <v>0</v>
      </c>
      <c r="AA100" s="17">
        <f>IF(ISERROR(SEARCH("raro",Tabella1[[#This Row],[Bevitore alcolici]],1)),0,1)</f>
        <v>0</v>
      </c>
      <c r="AB100" s="17">
        <f>IF(ISERROR(SEARCH("saltuariamente",Tabella1[[#This Row],[Bevitore alcolici]],1)),0,1)</f>
        <v>0</v>
      </c>
      <c r="AC100" s="17">
        <f>IF(ISERROR(SEARCH("nega",Tabella1[[#This Row],[Bevitore alcolici]],1)),0,1)</f>
        <v>1</v>
      </c>
      <c r="AD100" s="17">
        <f>IF(ISERROR(SEARCH("potus",Tabella1[[#This Row],[Bevitore alcolici]],1)),0,1)</f>
        <v>0</v>
      </c>
      <c r="AE100" s="7" t="s">
        <v>657</v>
      </c>
      <c r="AF100" s="17"/>
      <c r="AG100" s="17"/>
      <c r="AH100" s="17"/>
      <c r="AI100" s="17"/>
      <c r="AJ100" s="17"/>
      <c r="AK100" s="7" t="s">
        <v>28</v>
      </c>
      <c r="AL100" s="17">
        <f>IF(ISERROR(SEARCH("si",Tabella1[[#This Row],[Patente di guida]],1)),0,1)</f>
        <v>1</v>
      </c>
      <c r="AM100" s="7" t="s">
        <v>8</v>
      </c>
      <c r="AN100" s="17">
        <f>IF(ISERROR(SEARCH("no",Tabella1[[#This Row],[Ipertensione]],1)),0,1)</f>
        <v>1</v>
      </c>
      <c r="AO100" s="7" t="s">
        <v>382</v>
      </c>
      <c r="AP100" s="18">
        <f>IF(ISERROR(SEARCH("NO",Tabella1[[#This Row],[Cardiopatia ischemica]],1)),1,0)</f>
        <v>0</v>
      </c>
      <c r="AQ100" s="17">
        <f>IF(ISERROR(SEARCH("sconosciuto",Tabella1[[#This Row],[Cardiopatia ischemica]],1)),0,1)</f>
        <v>0</v>
      </c>
      <c r="AR100" s="7" t="s">
        <v>25</v>
      </c>
      <c r="AS100" s="22">
        <f>IF(ISERROR(SEARCH("nega",Tabella1[[#This Row],[Artimie]],1)),0,1)</f>
        <v>1</v>
      </c>
      <c r="AT100" s="7" t="s">
        <v>25</v>
      </c>
      <c r="AU100" s="22">
        <f>IF(ISERROR(SEARCH("nega",Tabella1[[#This Row],[Ipercolesterolemia]],1)),0,1)</f>
        <v>1</v>
      </c>
      <c r="AV100" s="22">
        <f>IF(ISERROR(SEARCH("boh",Tabella1[[#This Row],[Ipercolesterolemia]],1)),0,1)</f>
        <v>0</v>
      </c>
      <c r="AW100" s="7" t="s">
        <v>8</v>
      </c>
      <c r="AX100" s="22">
        <f>IF(ISERROR(SEARCH("Intolleranza",Tabella1[[#This Row],[Diabete]],1)),0,1)</f>
        <v>0</v>
      </c>
      <c r="AY100" s="22">
        <f>IF(ISERROR(SEARCH("si",Tabella1[[#This Row],[Diabete]],1)),0,1)</f>
        <v>0</v>
      </c>
      <c r="AZ100" s="7" t="s">
        <v>8</v>
      </c>
      <c r="BA100" s="17">
        <f>IF(ISERROR(SEARCH("NDD",Tabella1[[#This Row],[Patologia Tiroidea]],1)),0,1)</f>
        <v>0</v>
      </c>
      <c r="BB100" s="22">
        <f>IF(ISERROR(SEARCH("TIROIDITE",Tabella1[[#This Row],[Patologia Tiroidea]],1)),0,1)</f>
        <v>0</v>
      </c>
      <c r="BC100" s="22">
        <f>IF(ISERROR(SEARCH("HASHIMOTO",Tabella1[[#This Row],[Patologia Tiroidea]],1)),0,1)</f>
        <v>0</v>
      </c>
      <c r="BD100" s="22">
        <f>IF(ISERROR(SEARCH("BASEDOW",Tabella1[[#This Row],[Patologia Tiroidea]],1)),0,1)</f>
        <v>0</v>
      </c>
      <c r="BE100" s="22">
        <f>IF(ISERROR(SEARCH("NOD",Tabella1[[#This Row],[Patologia Tiroidea]],1)),0,1)</f>
        <v>0</v>
      </c>
      <c r="BF100" s="22">
        <f>IF(ISERROR(SEARCH("GOZ",Tabella1[[#This Row],[Patologia Tiroidea]],1)),0,1)</f>
        <v>0</v>
      </c>
      <c r="BG100" s="7" t="s">
        <v>8</v>
      </c>
      <c r="BH100" s="17">
        <f>IF(Tabella1[[#This Row],[Obesità]]="no",0,1)</f>
        <v>0</v>
      </c>
      <c r="BI100" s="7" t="s">
        <v>28</v>
      </c>
      <c r="BJ100" s="22">
        <f>IF(ISERROR(SEARCH("nega",Tabella1[[#This Row],[Reflusso gastroesofageo]],1)),1,0)</f>
        <v>1</v>
      </c>
      <c r="BK100" s="7" t="s">
        <v>8</v>
      </c>
      <c r="BL100" s="17">
        <f>IF(ISERROR(SEARCH("NDD",Tabella1[[#This Row],[Patologia respiratoria]],1)),0,1)</f>
        <v>0</v>
      </c>
      <c r="BM100" s="17">
        <f>IF(ISERROR(SEARCH("asma",Tabella1[[#This Row],[Patologia respiratoria]],1)),0,1)</f>
        <v>0</v>
      </c>
      <c r="BN100" s="17">
        <f>IF(ISERROR(SEARCH("BPCO",Tabella1[[#This Row],[Patologia respiratoria]],1)),0,1)</f>
        <v>0</v>
      </c>
      <c r="BO100" s="17">
        <f>IF(ISERROR(SEARCH("BRONCOPOLMONITE",Tabella1[[#This Row],[Patologia respiratoria]],1)),0,1)</f>
        <v>0</v>
      </c>
      <c r="BP100" s="17">
        <f>IF(ISERROR(SEARCH("ASMA, OSAS",Tabella1[[#This Row],[Patologia respiratoria]],1)),0,1)</f>
        <v>0</v>
      </c>
      <c r="BQ100" s="17">
        <f>IF(ISERROR(SEARCH("OSAS e BPCO",Tabella1[[#This Row],[Patologia respiratoria]],1)),0,1)</f>
        <v>0</v>
      </c>
      <c r="BR100" s="17">
        <f>IF(ISERROR(SEARCH("OSAS",Tabella1[[#This Row],[Patologia respiratoria]],1)),0,1)</f>
        <v>0</v>
      </c>
      <c r="BS100" s="7" t="s">
        <v>8</v>
      </c>
      <c r="BT100" s="7" t="s">
        <v>8</v>
      </c>
      <c r="BU100" s="7" t="s">
        <v>8</v>
      </c>
      <c r="BV100" s="17">
        <f>IF(ISERROR(SEARCH("ndd",Tabella1[[#This Row],[O2 terapia]],1)),0,1)</f>
        <v>0</v>
      </c>
      <c r="BW100" s="17">
        <v>0</v>
      </c>
      <c r="BX100" s="7"/>
      <c r="BY100" s="7" t="s">
        <v>8</v>
      </c>
      <c r="BZ100" s="18">
        <v>0</v>
      </c>
      <c r="CA100" s="7" t="s">
        <v>28</v>
      </c>
      <c r="CB100" s="17">
        <v>1</v>
      </c>
      <c r="CC100" s="7" t="s">
        <v>8</v>
      </c>
      <c r="CD100" s="18">
        <v>0</v>
      </c>
      <c r="CE100" s="7" t="s">
        <v>8</v>
      </c>
      <c r="CF100" s="18">
        <v>0</v>
      </c>
      <c r="CG100" s="7" t="s">
        <v>8</v>
      </c>
      <c r="CH100" s="17">
        <v>0</v>
      </c>
      <c r="CI100" s="7" t="s">
        <v>8</v>
      </c>
      <c r="CJ100" s="18">
        <v>0</v>
      </c>
      <c r="CK100" s="7" t="s">
        <v>8</v>
      </c>
      <c r="CL100" s="17">
        <v>0</v>
      </c>
      <c r="CM100" s="7" t="s">
        <v>8</v>
      </c>
      <c r="CN100" s="17">
        <v>0</v>
      </c>
      <c r="CO100" s="7" t="s">
        <v>8</v>
      </c>
      <c r="CP100" s="18">
        <v>0</v>
      </c>
      <c r="CQ100" s="7" t="s">
        <v>54</v>
      </c>
      <c r="CR100" s="7" t="s">
        <v>1272</v>
      </c>
      <c r="CS100" s="7" t="s">
        <v>105</v>
      </c>
      <c r="CT100" s="7" t="s">
        <v>16</v>
      </c>
      <c r="CU100" s="7" t="s">
        <v>1210</v>
      </c>
      <c r="CV100" s="8" t="s">
        <v>1273</v>
      </c>
    </row>
    <row r="101" spans="1:100" ht="42.75">
      <c r="A101" s="1">
        <f t="shared" si="1"/>
        <v>100</v>
      </c>
      <c r="B101" s="9">
        <v>718</v>
      </c>
      <c r="C101" s="11"/>
      <c r="D101" s="11" t="s">
        <v>1274</v>
      </c>
      <c r="E101" s="10">
        <v>27146</v>
      </c>
      <c r="F101" s="29">
        <f ca="1">_xlfn.DAYS(NOW(),Tabella1[[#This Row],[Data di Nascita]])/365.25</f>
        <v>51.271731690622858</v>
      </c>
      <c r="G101" s="11"/>
      <c r="H101" s="11" t="s">
        <v>1275</v>
      </c>
      <c r="I101" s="11" t="s">
        <v>1276</v>
      </c>
      <c r="J101" s="11" t="s">
        <v>618</v>
      </c>
      <c r="K101" s="11" t="s">
        <v>881</v>
      </c>
      <c r="L101" s="18">
        <f>IF(ISERROR(SEARCH("EX",Tabella1[[#This Row],[Attività lavorativa]],1)),0,1)</f>
        <v>0</v>
      </c>
      <c r="M101" s="18"/>
      <c r="N101" s="18"/>
      <c r="O101" s="18"/>
      <c r="P101" s="18"/>
      <c r="Q101" s="18"/>
      <c r="R101" s="18"/>
      <c r="S101" s="18"/>
      <c r="T101" s="17">
        <f>IF(ISERROR(SEARCH("NDD",Tabella1[[#This Row],[Attività lavorativa]],1)),0,1)</f>
        <v>0</v>
      </c>
      <c r="U101" s="11" t="s">
        <v>8</v>
      </c>
      <c r="V101" s="22"/>
      <c r="W101" s="22">
        <f>IF(ISERROR(SEARCH("ex",Tabella1[[#This Row],[Fumo]],1)),0,1)</f>
        <v>0</v>
      </c>
      <c r="X101" s="22">
        <f>IF(ISERROR(SEARCH("no",Tabella1[[#This Row],[Fumo]],1)),0,1)</f>
        <v>1</v>
      </c>
      <c r="Y101" s="11" t="s">
        <v>25</v>
      </c>
      <c r="Z101" s="18">
        <f>IF(ISERROR(SEARCH("NDD",Tabella1[[#This Row],[Bevitore alcolici]],1)),0,1)</f>
        <v>0</v>
      </c>
      <c r="AA101" s="17">
        <f>IF(ISERROR(SEARCH("raro",Tabella1[[#This Row],[Bevitore alcolici]],1)),0,1)</f>
        <v>0</v>
      </c>
      <c r="AB101" s="17">
        <f>IF(ISERROR(SEARCH("saltuariamente",Tabella1[[#This Row],[Bevitore alcolici]],1)),0,1)</f>
        <v>0</v>
      </c>
      <c r="AC101" s="17">
        <f>IF(ISERROR(SEARCH("nega",Tabella1[[#This Row],[Bevitore alcolici]],1)),0,1)</f>
        <v>1</v>
      </c>
      <c r="AD101" s="17">
        <f>IF(ISERROR(SEARCH("potus",Tabella1[[#This Row],[Bevitore alcolici]],1)),0,1)</f>
        <v>0</v>
      </c>
      <c r="AE101" s="11" t="s">
        <v>657</v>
      </c>
      <c r="AF101" s="18"/>
      <c r="AG101" s="18"/>
      <c r="AH101" s="18"/>
      <c r="AI101" s="18"/>
      <c r="AJ101" s="18"/>
      <c r="AK101" s="11" t="s">
        <v>28</v>
      </c>
      <c r="AL101" s="18">
        <f>IF(ISERROR(SEARCH("si",Tabella1[[#This Row],[Patente di guida]],1)),0,1)</f>
        <v>1</v>
      </c>
      <c r="AM101" s="11" t="s">
        <v>8</v>
      </c>
      <c r="AN101" s="18">
        <f>IF(ISERROR(SEARCH("no",Tabella1[[#This Row],[Ipertensione]],1)),0,1)</f>
        <v>1</v>
      </c>
      <c r="AO101" s="11" t="s">
        <v>382</v>
      </c>
      <c r="AP101" s="18">
        <f>IF(ISERROR(SEARCH("NO",Tabella1[[#This Row],[Cardiopatia ischemica]],1)),1,0)</f>
        <v>0</v>
      </c>
      <c r="AQ101" s="17">
        <f>IF(ISERROR(SEARCH("sconosciuto",Tabella1[[#This Row],[Cardiopatia ischemica]],1)),0,1)</f>
        <v>0</v>
      </c>
      <c r="AR101" s="11" t="s">
        <v>25</v>
      </c>
      <c r="AS101" s="18">
        <f>IF(ISERROR(SEARCH("nega",Tabella1[[#This Row],[Artimie]],1)),0,1)</f>
        <v>1</v>
      </c>
      <c r="AT101" s="11" t="s">
        <v>25</v>
      </c>
      <c r="AU101" s="18">
        <f>IF(ISERROR(SEARCH("nega",Tabella1[[#This Row],[Ipercolesterolemia]],1)),0,1)</f>
        <v>1</v>
      </c>
      <c r="AV101" s="18">
        <f>IF(ISERROR(SEARCH("boh",Tabella1[[#This Row],[Ipercolesterolemia]],1)),0,1)</f>
        <v>0</v>
      </c>
      <c r="AW101" s="11" t="s">
        <v>8</v>
      </c>
      <c r="AX101" s="18">
        <f>IF(ISERROR(SEARCH("Intolleranza",Tabella1[[#This Row],[Diabete]],1)),0,1)</f>
        <v>0</v>
      </c>
      <c r="AY101" s="18">
        <f>IF(ISERROR(SEARCH("si",Tabella1[[#This Row],[Diabete]],1)),0,1)</f>
        <v>0</v>
      </c>
      <c r="AZ101" s="11" t="s">
        <v>8</v>
      </c>
      <c r="BA101" s="18">
        <f>IF(ISERROR(SEARCH("NDD",Tabella1[[#This Row],[Patologia Tiroidea]],1)),0,1)</f>
        <v>0</v>
      </c>
      <c r="BB101" s="18">
        <f>IF(ISERROR(SEARCH("TIROIDITE",Tabella1[[#This Row],[Patologia Tiroidea]],1)),0,1)</f>
        <v>0</v>
      </c>
      <c r="BC101" s="18">
        <f>IF(ISERROR(SEARCH("HASHIMOTO",Tabella1[[#This Row],[Patologia Tiroidea]],1)),0,1)</f>
        <v>0</v>
      </c>
      <c r="BD101" s="18">
        <f>IF(ISERROR(SEARCH("BASEDOW",Tabella1[[#This Row],[Patologia Tiroidea]],1)),0,1)</f>
        <v>0</v>
      </c>
      <c r="BE101" s="18">
        <f>IF(ISERROR(SEARCH("NOD",Tabella1[[#This Row],[Patologia Tiroidea]],1)),0,1)</f>
        <v>0</v>
      </c>
      <c r="BF101" s="18">
        <f>IF(ISERROR(SEARCH("GOZ",Tabella1[[#This Row],[Patologia Tiroidea]],1)),0,1)</f>
        <v>0</v>
      </c>
      <c r="BG101" s="11" t="s">
        <v>28</v>
      </c>
      <c r="BH101" s="18">
        <f>IF(Tabella1[[#This Row],[Obesità]]="no",0,1)</f>
        <v>1</v>
      </c>
      <c r="BI101" s="11" t="s">
        <v>28</v>
      </c>
      <c r="BJ101" s="22">
        <f>IF(ISERROR(SEARCH("nega",Tabella1[[#This Row],[Reflusso gastroesofageo]],1)),1,0)</f>
        <v>1</v>
      </c>
      <c r="BK101" s="11" t="s">
        <v>1277</v>
      </c>
      <c r="BL101" s="18">
        <f>IF(ISERROR(SEARCH("NDD",Tabella1[[#This Row],[Patologia respiratoria]],1)),0,1)</f>
        <v>0</v>
      </c>
      <c r="BM101" s="18">
        <f>IF(ISERROR(SEARCH("asma",Tabella1[[#This Row],[Patologia respiratoria]],1)),0,1)</f>
        <v>0</v>
      </c>
      <c r="BN101" s="18">
        <f>IF(ISERROR(SEARCH("BPCO",Tabella1[[#This Row],[Patologia respiratoria]],1)),0,1)</f>
        <v>0</v>
      </c>
      <c r="BO101" s="18">
        <f>IF(ISERROR(SEARCH("BRONCOPOLMONITE",Tabella1[[#This Row],[Patologia respiratoria]],1)),0,1)</f>
        <v>0</v>
      </c>
      <c r="BP101" s="18">
        <f>IF(ISERROR(SEARCH("ASMA, OSAS",Tabella1[[#This Row],[Patologia respiratoria]],1)),0,1)</f>
        <v>0</v>
      </c>
      <c r="BQ101" s="18">
        <f>IF(ISERROR(SEARCH("OSAS e BPCO",Tabella1[[#This Row],[Patologia respiratoria]],1)),0,1)</f>
        <v>0</v>
      </c>
      <c r="BR101" s="18">
        <f>IF(ISERROR(SEARCH("OSAS",Tabella1[[#This Row],[Patologia respiratoria]],1)),0,1)</f>
        <v>0</v>
      </c>
      <c r="BS101" s="11"/>
      <c r="BT101" s="11"/>
      <c r="BU101" s="7" t="s">
        <v>5477</v>
      </c>
      <c r="BV101" s="17">
        <f>IF(ISERROR(SEARCH("ndd",Tabella1[[#This Row],[O2 terapia]],1)),0,1)</f>
        <v>1</v>
      </c>
      <c r="BW101" s="18"/>
      <c r="BX101" s="11"/>
      <c r="BY101" s="11" t="s">
        <v>1278</v>
      </c>
      <c r="BZ101" s="17">
        <v>1</v>
      </c>
      <c r="CA101" s="11" t="s">
        <v>1279</v>
      </c>
      <c r="CB101" s="17">
        <v>1</v>
      </c>
      <c r="CC101" s="11" t="s">
        <v>28</v>
      </c>
      <c r="CD101" s="17">
        <v>1</v>
      </c>
      <c r="CE101" s="11" t="s">
        <v>8</v>
      </c>
      <c r="CF101" s="18">
        <v>0</v>
      </c>
      <c r="CG101" s="11" t="s">
        <v>8</v>
      </c>
      <c r="CH101" s="17">
        <v>0</v>
      </c>
      <c r="CI101" s="11" t="s">
        <v>8</v>
      </c>
      <c r="CJ101" s="18">
        <v>0</v>
      </c>
      <c r="CK101" s="11" t="s">
        <v>8</v>
      </c>
      <c r="CL101" s="17">
        <v>0</v>
      </c>
      <c r="CM101" s="11" t="s">
        <v>8</v>
      </c>
      <c r="CN101" s="17">
        <v>0</v>
      </c>
      <c r="CO101" s="11" t="s">
        <v>28</v>
      </c>
      <c r="CP101" s="17">
        <v>1</v>
      </c>
      <c r="CQ101" s="11" t="s">
        <v>85</v>
      </c>
      <c r="CR101" s="11" t="s">
        <v>431</v>
      </c>
      <c r="CS101" s="11" t="s">
        <v>37</v>
      </c>
      <c r="CT101" s="11" t="s">
        <v>169</v>
      </c>
      <c r="CU101" s="11" t="s">
        <v>1280</v>
      </c>
      <c r="CV101" s="12"/>
    </row>
    <row r="102" spans="1:100" ht="28.5">
      <c r="A102" s="1">
        <f t="shared" si="1"/>
        <v>101</v>
      </c>
      <c r="B102" s="5">
        <v>719</v>
      </c>
      <c r="C102" s="6">
        <v>44950</v>
      </c>
      <c r="D102" s="7" t="s">
        <v>1281</v>
      </c>
      <c r="E102" s="6">
        <v>26533</v>
      </c>
      <c r="F102" s="29">
        <f ca="1">_xlfn.DAYS(NOW(),Tabella1[[#This Row],[Data di Nascita]])/365.25</f>
        <v>52.950034223134843</v>
      </c>
      <c r="G102" s="7"/>
      <c r="H102" s="7" t="s">
        <v>1282</v>
      </c>
      <c r="I102" s="7" t="s">
        <v>439</v>
      </c>
      <c r="J102" s="7" t="s">
        <v>618</v>
      </c>
      <c r="K102" s="7" t="s">
        <v>1283</v>
      </c>
      <c r="L102" s="17">
        <f>IF(ISERROR(SEARCH("EX",Tabella1[[#This Row],[Attività lavorativa]],1)),0,1)</f>
        <v>0</v>
      </c>
      <c r="M102" s="17"/>
      <c r="N102" s="17"/>
      <c r="O102" s="17"/>
      <c r="P102" s="17"/>
      <c r="Q102" s="17"/>
      <c r="R102" s="17"/>
      <c r="S102" s="17"/>
      <c r="T102" s="17">
        <f>IF(ISERROR(SEARCH("NDD",Tabella1[[#This Row],[Attività lavorativa]],1)),0,1)</f>
        <v>0</v>
      </c>
      <c r="U102" s="7" t="s">
        <v>8</v>
      </c>
      <c r="V102" s="22"/>
      <c r="W102" s="22">
        <f>IF(ISERROR(SEARCH("ex",Tabella1[[#This Row],[Fumo]],1)),0,1)</f>
        <v>0</v>
      </c>
      <c r="X102" s="22">
        <f>IF(ISERROR(SEARCH("no",Tabella1[[#This Row],[Fumo]],1)),0,1)</f>
        <v>1</v>
      </c>
      <c r="Y102" s="7" t="s">
        <v>25</v>
      </c>
      <c r="Z102" s="17">
        <f>IF(ISERROR(SEARCH("NDD",Tabella1[[#This Row],[Bevitore alcolici]],1)),0,1)</f>
        <v>0</v>
      </c>
      <c r="AA102" s="17">
        <f>IF(ISERROR(SEARCH("raro",Tabella1[[#This Row],[Bevitore alcolici]],1)),0,1)</f>
        <v>0</v>
      </c>
      <c r="AB102" s="17">
        <f>IF(ISERROR(SEARCH("saltuariamente",Tabella1[[#This Row],[Bevitore alcolici]],1)),0,1)</f>
        <v>0</v>
      </c>
      <c r="AC102" s="17">
        <f>IF(ISERROR(SEARCH("nega",Tabella1[[#This Row],[Bevitore alcolici]],1)),0,1)</f>
        <v>1</v>
      </c>
      <c r="AD102" s="17">
        <f>IF(ISERROR(SEARCH("potus",Tabella1[[#This Row],[Bevitore alcolici]],1)),0,1)</f>
        <v>0</v>
      </c>
      <c r="AE102" s="7" t="s">
        <v>657</v>
      </c>
      <c r="AF102" s="17"/>
      <c r="AG102" s="17"/>
      <c r="AH102" s="17"/>
      <c r="AI102" s="17"/>
      <c r="AJ102" s="17"/>
      <c r="AK102" s="7" t="s">
        <v>28</v>
      </c>
      <c r="AL102" s="17">
        <f>IF(ISERROR(SEARCH("si",Tabella1[[#This Row],[Patente di guida]],1)),0,1)</f>
        <v>1</v>
      </c>
      <c r="AM102" s="7" t="s">
        <v>28</v>
      </c>
      <c r="AN102" s="17">
        <f>IF(ISERROR(SEARCH("no",Tabella1[[#This Row],[Ipertensione]],1)),0,1)</f>
        <v>0</v>
      </c>
      <c r="AO102" s="7" t="s">
        <v>382</v>
      </c>
      <c r="AP102" s="18">
        <f>IF(ISERROR(SEARCH("NO",Tabella1[[#This Row],[Cardiopatia ischemica]],1)),1,0)</f>
        <v>0</v>
      </c>
      <c r="AQ102" s="17">
        <f>IF(ISERROR(SEARCH("sconosciuto",Tabella1[[#This Row],[Cardiopatia ischemica]],1)),0,1)</f>
        <v>0</v>
      </c>
      <c r="AR102" s="7" t="s">
        <v>25</v>
      </c>
      <c r="AS102" s="22">
        <f>IF(ISERROR(SEARCH("nega",Tabella1[[#This Row],[Artimie]],1)),0,1)</f>
        <v>1</v>
      </c>
      <c r="AT102" s="7" t="s">
        <v>25</v>
      </c>
      <c r="AU102" s="22">
        <f>IF(ISERROR(SEARCH("nega",Tabella1[[#This Row],[Ipercolesterolemia]],1)),0,1)</f>
        <v>1</v>
      </c>
      <c r="AV102" s="22">
        <f>IF(ISERROR(SEARCH("boh",Tabella1[[#This Row],[Ipercolesterolemia]],1)),0,1)</f>
        <v>0</v>
      </c>
      <c r="AW102" s="7" t="s">
        <v>8</v>
      </c>
      <c r="AX102" s="22">
        <f>IF(ISERROR(SEARCH("Intolleranza",Tabella1[[#This Row],[Diabete]],1)),0,1)</f>
        <v>0</v>
      </c>
      <c r="AY102" s="22">
        <f>IF(ISERROR(SEARCH("si",Tabella1[[#This Row],[Diabete]],1)),0,1)</f>
        <v>0</v>
      </c>
      <c r="AZ102" s="7" t="s">
        <v>8</v>
      </c>
      <c r="BA102" s="17">
        <f>IF(ISERROR(SEARCH("NDD",Tabella1[[#This Row],[Patologia Tiroidea]],1)),0,1)</f>
        <v>0</v>
      </c>
      <c r="BB102" s="22">
        <f>IF(ISERROR(SEARCH("TIROIDITE",Tabella1[[#This Row],[Patologia Tiroidea]],1)),0,1)</f>
        <v>0</v>
      </c>
      <c r="BC102" s="22">
        <f>IF(ISERROR(SEARCH("HASHIMOTO",Tabella1[[#This Row],[Patologia Tiroidea]],1)),0,1)</f>
        <v>0</v>
      </c>
      <c r="BD102" s="22">
        <f>IF(ISERROR(SEARCH("BASEDOW",Tabella1[[#This Row],[Patologia Tiroidea]],1)),0,1)</f>
        <v>0</v>
      </c>
      <c r="BE102" s="22">
        <f>IF(ISERROR(SEARCH("NOD",Tabella1[[#This Row],[Patologia Tiroidea]],1)),0,1)</f>
        <v>0</v>
      </c>
      <c r="BF102" s="22">
        <f>IF(ISERROR(SEARCH("GOZ",Tabella1[[#This Row],[Patologia Tiroidea]],1)),0,1)</f>
        <v>0</v>
      </c>
      <c r="BG102" s="7" t="s">
        <v>28</v>
      </c>
      <c r="BH102" s="17">
        <f>IF(Tabella1[[#This Row],[Obesità]]="no",0,1)</f>
        <v>1</v>
      </c>
      <c r="BI102" s="7" t="s">
        <v>25</v>
      </c>
      <c r="BJ102" s="22">
        <f>IF(ISERROR(SEARCH("nega",Tabella1[[#This Row],[Reflusso gastroesofageo]],1)),1,0)</f>
        <v>0</v>
      </c>
      <c r="BK102" s="7" t="s">
        <v>8</v>
      </c>
      <c r="BL102" s="17">
        <f>IF(ISERROR(SEARCH("NDD",Tabella1[[#This Row],[Patologia respiratoria]],1)),0,1)</f>
        <v>0</v>
      </c>
      <c r="BM102" s="17">
        <f>IF(ISERROR(SEARCH("asma",Tabella1[[#This Row],[Patologia respiratoria]],1)),0,1)</f>
        <v>0</v>
      </c>
      <c r="BN102" s="17">
        <f>IF(ISERROR(SEARCH("BPCO",Tabella1[[#This Row],[Patologia respiratoria]],1)),0,1)</f>
        <v>0</v>
      </c>
      <c r="BO102" s="17">
        <f>IF(ISERROR(SEARCH("BRONCOPOLMONITE",Tabella1[[#This Row],[Patologia respiratoria]],1)),0,1)</f>
        <v>0</v>
      </c>
      <c r="BP102" s="17">
        <f>IF(ISERROR(SEARCH("ASMA, OSAS",Tabella1[[#This Row],[Patologia respiratoria]],1)),0,1)</f>
        <v>0</v>
      </c>
      <c r="BQ102" s="17">
        <f>IF(ISERROR(SEARCH("OSAS e BPCO",Tabella1[[#This Row],[Patologia respiratoria]],1)),0,1)</f>
        <v>0</v>
      </c>
      <c r="BR102" s="17">
        <f>IF(ISERROR(SEARCH("OSAS",Tabella1[[#This Row],[Patologia respiratoria]],1)),0,1)</f>
        <v>0</v>
      </c>
      <c r="BS102" s="7" t="s">
        <v>8</v>
      </c>
      <c r="BT102" s="7" t="s">
        <v>8</v>
      </c>
      <c r="BU102" s="7" t="s">
        <v>1284</v>
      </c>
      <c r="BV102" s="17">
        <f>IF(ISERROR(SEARCH("ndd",Tabella1[[#This Row],[O2 terapia]],1)),0,1)</f>
        <v>0</v>
      </c>
      <c r="BW102" s="17">
        <v>0</v>
      </c>
      <c r="BX102" s="7"/>
      <c r="BY102" s="7" t="s">
        <v>1285</v>
      </c>
      <c r="BZ102" s="17">
        <v>1</v>
      </c>
      <c r="CA102" s="7" t="s">
        <v>28</v>
      </c>
      <c r="CB102" s="17">
        <v>1</v>
      </c>
      <c r="CC102" s="7" t="s">
        <v>8</v>
      </c>
      <c r="CD102" s="18">
        <v>0</v>
      </c>
      <c r="CE102" s="7" t="s">
        <v>8</v>
      </c>
      <c r="CF102" s="18">
        <v>0</v>
      </c>
      <c r="CG102" s="7" t="s">
        <v>8</v>
      </c>
      <c r="CH102" s="17">
        <v>0</v>
      </c>
      <c r="CI102" s="7" t="s">
        <v>8</v>
      </c>
      <c r="CJ102" s="18">
        <v>0</v>
      </c>
      <c r="CK102" s="7" t="s">
        <v>8</v>
      </c>
      <c r="CL102" s="17">
        <v>0</v>
      </c>
      <c r="CM102" s="7" t="s">
        <v>8</v>
      </c>
      <c r="CN102" s="17">
        <v>0</v>
      </c>
      <c r="CO102" s="7" t="s">
        <v>8</v>
      </c>
      <c r="CP102" s="18">
        <v>0</v>
      </c>
      <c r="CQ102" s="7" t="s">
        <v>54</v>
      </c>
      <c r="CR102" s="7" t="s">
        <v>279</v>
      </c>
      <c r="CS102" s="7" t="s">
        <v>37</v>
      </c>
      <c r="CT102" s="7" t="s">
        <v>184</v>
      </c>
      <c r="CU102" s="7" t="s">
        <v>1286</v>
      </c>
      <c r="CV102" s="8" t="s">
        <v>439</v>
      </c>
    </row>
    <row r="103" spans="1:100" ht="28.5">
      <c r="A103" s="1">
        <f t="shared" si="1"/>
        <v>102</v>
      </c>
      <c r="B103" s="9">
        <v>721</v>
      </c>
      <c r="C103" s="10">
        <v>44951</v>
      </c>
      <c r="D103" s="11" t="s">
        <v>1287</v>
      </c>
      <c r="E103" s="10">
        <v>29499</v>
      </c>
      <c r="F103" s="29">
        <f ca="1">_xlfn.DAYS(NOW(),Tabella1[[#This Row],[Data di Nascita]])/365.25</f>
        <v>44.829568788501028</v>
      </c>
      <c r="G103" s="11" t="s">
        <v>1288</v>
      </c>
      <c r="H103" s="11" t="s">
        <v>1289</v>
      </c>
      <c r="I103" s="11" t="s">
        <v>1243</v>
      </c>
      <c r="J103" s="11" t="s">
        <v>1290</v>
      </c>
      <c r="K103" s="11" t="s">
        <v>94</v>
      </c>
      <c r="L103" s="18">
        <f>IF(ISERROR(SEARCH("EX",Tabella1[[#This Row],[Attività lavorativa]],1)),0,1)</f>
        <v>0</v>
      </c>
      <c r="M103" s="18"/>
      <c r="N103" s="18"/>
      <c r="O103" s="18"/>
      <c r="P103" s="18"/>
      <c r="Q103" s="18"/>
      <c r="R103" s="18"/>
      <c r="S103" s="18"/>
      <c r="T103" s="17">
        <f>IF(ISERROR(SEARCH("NDD",Tabella1[[#This Row],[Attività lavorativa]],1)),0,1)</f>
        <v>0</v>
      </c>
      <c r="U103" s="11" t="s">
        <v>1291</v>
      </c>
      <c r="V103" s="22">
        <v>30</v>
      </c>
      <c r="W103" s="22">
        <f>IF(ISERROR(SEARCH("ex",Tabella1[[#This Row],[Fumo]],1)),0,1)</f>
        <v>0</v>
      </c>
      <c r="X103" s="22">
        <f>IF(ISERROR(SEARCH("no",Tabella1[[#This Row],[Fumo]],1)),0,1)</f>
        <v>0</v>
      </c>
      <c r="Y103" s="11" t="s">
        <v>25</v>
      </c>
      <c r="Z103" s="18">
        <f>IF(ISERROR(SEARCH("NDD",Tabella1[[#This Row],[Bevitore alcolici]],1)),0,1)</f>
        <v>0</v>
      </c>
      <c r="AA103" s="17">
        <f>IF(ISERROR(SEARCH("raro",Tabella1[[#This Row],[Bevitore alcolici]],1)),0,1)</f>
        <v>0</v>
      </c>
      <c r="AB103" s="17">
        <f>IF(ISERROR(SEARCH("saltuariamente",Tabella1[[#This Row],[Bevitore alcolici]],1)),0,1)</f>
        <v>0</v>
      </c>
      <c r="AC103" s="17">
        <f>IF(ISERROR(SEARCH("nega",Tabella1[[#This Row],[Bevitore alcolici]],1)),0,1)</f>
        <v>1</v>
      </c>
      <c r="AD103" s="17">
        <f>IF(ISERROR(SEARCH("potus",Tabella1[[#This Row],[Bevitore alcolici]],1)),0,1)</f>
        <v>0</v>
      </c>
      <c r="AE103" s="11" t="s">
        <v>1292</v>
      </c>
      <c r="AF103" s="18"/>
      <c r="AG103" s="18"/>
      <c r="AH103" s="18">
        <v>1</v>
      </c>
      <c r="AI103" s="18"/>
      <c r="AJ103" s="18"/>
      <c r="AK103" s="11" t="s">
        <v>28</v>
      </c>
      <c r="AL103" s="18">
        <f>IF(ISERROR(SEARCH("si",Tabella1[[#This Row],[Patente di guida]],1)),0,1)</f>
        <v>1</v>
      </c>
      <c r="AM103" s="11" t="s">
        <v>28</v>
      </c>
      <c r="AN103" s="18">
        <f>IF(ISERROR(SEARCH("no",Tabella1[[#This Row],[Ipertensione]],1)),0,1)</f>
        <v>0</v>
      </c>
      <c r="AO103" s="11" t="s">
        <v>382</v>
      </c>
      <c r="AP103" s="18">
        <f>IF(ISERROR(SEARCH("NO",Tabella1[[#This Row],[Cardiopatia ischemica]],1)),1,0)</f>
        <v>0</v>
      </c>
      <c r="AQ103" s="17">
        <f>IF(ISERROR(SEARCH("sconosciuto",Tabella1[[#This Row],[Cardiopatia ischemica]],1)),0,1)</f>
        <v>0</v>
      </c>
      <c r="AR103" s="11" t="s">
        <v>25</v>
      </c>
      <c r="AS103" s="18">
        <f>IF(ISERROR(SEARCH("nega",Tabella1[[#This Row],[Artimie]],1)),0,1)</f>
        <v>1</v>
      </c>
      <c r="AT103" s="11" t="s">
        <v>25</v>
      </c>
      <c r="AU103" s="18">
        <f>IF(ISERROR(SEARCH("nega",Tabella1[[#This Row],[Ipercolesterolemia]],1)),0,1)</f>
        <v>1</v>
      </c>
      <c r="AV103" s="18">
        <f>IF(ISERROR(SEARCH("boh",Tabella1[[#This Row],[Ipercolesterolemia]],1)),0,1)</f>
        <v>0</v>
      </c>
      <c r="AW103" s="11" t="s">
        <v>8</v>
      </c>
      <c r="AX103" s="18">
        <f>IF(ISERROR(SEARCH("Intolleranza",Tabella1[[#This Row],[Diabete]],1)),0,1)</f>
        <v>0</v>
      </c>
      <c r="AY103" s="18">
        <f>IF(ISERROR(SEARCH("si",Tabella1[[#This Row],[Diabete]],1)),0,1)</f>
        <v>0</v>
      </c>
      <c r="AZ103" s="11" t="s">
        <v>8</v>
      </c>
      <c r="BA103" s="18">
        <f>IF(ISERROR(SEARCH("NDD",Tabella1[[#This Row],[Patologia Tiroidea]],1)),0,1)</f>
        <v>0</v>
      </c>
      <c r="BB103" s="18">
        <f>IF(ISERROR(SEARCH("TIROIDITE",Tabella1[[#This Row],[Patologia Tiroidea]],1)),0,1)</f>
        <v>0</v>
      </c>
      <c r="BC103" s="18">
        <f>IF(ISERROR(SEARCH("HASHIMOTO",Tabella1[[#This Row],[Patologia Tiroidea]],1)),0,1)</f>
        <v>0</v>
      </c>
      <c r="BD103" s="18">
        <f>IF(ISERROR(SEARCH("BASEDOW",Tabella1[[#This Row],[Patologia Tiroidea]],1)),0,1)</f>
        <v>0</v>
      </c>
      <c r="BE103" s="18">
        <f>IF(ISERROR(SEARCH("NOD",Tabella1[[#This Row],[Patologia Tiroidea]],1)),0,1)</f>
        <v>0</v>
      </c>
      <c r="BF103" s="18">
        <f>IF(ISERROR(SEARCH("GOZ",Tabella1[[#This Row],[Patologia Tiroidea]],1)),0,1)</f>
        <v>0</v>
      </c>
      <c r="BG103" s="11" t="s">
        <v>8</v>
      </c>
      <c r="BH103" s="18">
        <f>IF(Tabella1[[#This Row],[Obesità]]="no",0,1)</f>
        <v>0</v>
      </c>
      <c r="BI103" s="11" t="s">
        <v>25</v>
      </c>
      <c r="BJ103" s="22">
        <f>IF(ISERROR(SEARCH("nega",Tabella1[[#This Row],[Reflusso gastroesofageo]],1)),1,0)</f>
        <v>0</v>
      </c>
      <c r="BK103" s="11" t="s">
        <v>8</v>
      </c>
      <c r="BL103" s="18">
        <f>IF(ISERROR(SEARCH("NDD",Tabella1[[#This Row],[Patologia respiratoria]],1)),0,1)</f>
        <v>0</v>
      </c>
      <c r="BM103" s="18">
        <f>IF(ISERROR(SEARCH("asma",Tabella1[[#This Row],[Patologia respiratoria]],1)),0,1)</f>
        <v>0</v>
      </c>
      <c r="BN103" s="18">
        <f>IF(ISERROR(SEARCH("BPCO",Tabella1[[#This Row],[Patologia respiratoria]],1)),0,1)</f>
        <v>0</v>
      </c>
      <c r="BO103" s="18">
        <f>IF(ISERROR(SEARCH("BRONCOPOLMONITE",Tabella1[[#This Row],[Patologia respiratoria]],1)),0,1)</f>
        <v>0</v>
      </c>
      <c r="BP103" s="18">
        <f>IF(ISERROR(SEARCH("ASMA, OSAS",Tabella1[[#This Row],[Patologia respiratoria]],1)),0,1)</f>
        <v>0</v>
      </c>
      <c r="BQ103" s="18">
        <f>IF(ISERROR(SEARCH("OSAS e BPCO",Tabella1[[#This Row],[Patologia respiratoria]],1)),0,1)</f>
        <v>0</v>
      </c>
      <c r="BR103" s="18">
        <f>IF(ISERROR(SEARCH("OSAS",Tabella1[[#This Row],[Patologia respiratoria]],1)),0,1)</f>
        <v>0</v>
      </c>
      <c r="BS103" s="11"/>
      <c r="BT103" s="11"/>
      <c r="BU103" s="7" t="s">
        <v>5477</v>
      </c>
      <c r="BV103" s="17">
        <f>IF(ISERROR(SEARCH("ndd",Tabella1[[#This Row],[O2 terapia]],1)),0,1)</f>
        <v>1</v>
      </c>
      <c r="BW103" s="18"/>
      <c r="BX103" s="11" t="s">
        <v>1293</v>
      </c>
      <c r="BY103" s="11" t="s">
        <v>8</v>
      </c>
      <c r="BZ103" s="18">
        <v>0</v>
      </c>
      <c r="CA103" s="11" t="s">
        <v>28</v>
      </c>
      <c r="CB103" s="17">
        <v>1</v>
      </c>
      <c r="CC103" s="11" t="s">
        <v>28</v>
      </c>
      <c r="CD103" s="17">
        <v>1</v>
      </c>
      <c r="CE103" s="11" t="s">
        <v>8</v>
      </c>
      <c r="CF103" s="18">
        <v>0</v>
      </c>
      <c r="CG103" s="11" t="s">
        <v>8</v>
      </c>
      <c r="CH103" s="17">
        <v>0</v>
      </c>
      <c r="CI103" s="11" t="s">
        <v>8</v>
      </c>
      <c r="CJ103" s="18">
        <v>0</v>
      </c>
      <c r="CK103" s="11" t="s">
        <v>28</v>
      </c>
      <c r="CL103" s="17">
        <v>1</v>
      </c>
      <c r="CM103" s="11" t="s">
        <v>8</v>
      </c>
      <c r="CN103" s="17">
        <v>0</v>
      </c>
      <c r="CO103" s="11" t="s">
        <v>28</v>
      </c>
      <c r="CP103" s="17">
        <v>1</v>
      </c>
      <c r="CQ103" s="11" t="s">
        <v>85</v>
      </c>
      <c r="CR103" s="11" t="s">
        <v>850</v>
      </c>
      <c r="CS103" s="11" t="s">
        <v>71</v>
      </c>
      <c r="CT103" s="11" t="s">
        <v>1181</v>
      </c>
      <c r="CU103" s="11" t="s">
        <v>1294</v>
      </c>
      <c r="CV103" s="12" t="s">
        <v>439</v>
      </c>
    </row>
    <row r="104" spans="1:100" ht="128.25">
      <c r="A104" s="1">
        <f t="shared" si="1"/>
        <v>103</v>
      </c>
      <c r="B104" s="5">
        <v>729</v>
      </c>
      <c r="C104" s="6">
        <v>44957</v>
      </c>
      <c r="D104" s="7" t="s">
        <v>1295</v>
      </c>
      <c r="E104" s="6">
        <v>24486</v>
      </c>
      <c r="F104" s="29">
        <f ca="1">_xlfn.DAYS(NOW(),Tabella1[[#This Row],[Data di Nascita]])/365.25</f>
        <v>58.554414784394254</v>
      </c>
      <c r="G104" s="7"/>
      <c r="H104" s="7" t="s">
        <v>1296</v>
      </c>
      <c r="I104" s="7" t="s">
        <v>1297</v>
      </c>
      <c r="J104" s="7" t="s">
        <v>1298</v>
      </c>
      <c r="K104" s="7" t="s">
        <v>1299</v>
      </c>
      <c r="L104" s="17">
        <f>IF(ISERROR(SEARCH("EX",Tabella1[[#This Row],[Attività lavorativa]],1)),0,1)</f>
        <v>0</v>
      </c>
      <c r="M104" s="17"/>
      <c r="N104" s="17"/>
      <c r="O104" s="17"/>
      <c r="P104" s="17"/>
      <c r="Q104" s="17"/>
      <c r="R104" s="17"/>
      <c r="S104" s="17"/>
      <c r="T104" s="17">
        <f>IF(ISERROR(SEARCH("NDD",Tabella1[[#This Row],[Attività lavorativa]],1)),0,1)</f>
        <v>0</v>
      </c>
      <c r="U104" s="7" t="s">
        <v>1300</v>
      </c>
      <c r="V104" s="22">
        <v>15</v>
      </c>
      <c r="W104" s="22">
        <f>IF(ISERROR(SEARCH("ex",Tabella1[[#This Row],[Fumo]],1)),0,1)</f>
        <v>0</v>
      </c>
      <c r="X104" s="22">
        <f>IF(ISERROR(SEARCH("no",Tabella1[[#This Row],[Fumo]],1)),0,1)</f>
        <v>0</v>
      </c>
      <c r="Y104" s="7" t="s">
        <v>25</v>
      </c>
      <c r="Z104" s="17">
        <f>IF(ISERROR(SEARCH("NDD",Tabella1[[#This Row],[Bevitore alcolici]],1)),0,1)</f>
        <v>0</v>
      </c>
      <c r="AA104" s="17">
        <f>IF(ISERROR(SEARCH("raro",Tabella1[[#This Row],[Bevitore alcolici]],1)),0,1)</f>
        <v>0</v>
      </c>
      <c r="AB104" s="17">
        <f>IF(ISERROR(SEARCH("saltuariamente",Tabella1[[#This Row],[Bevitore alcolici]],1)),0,1)</f>
        <v>0</v>
      </c>
      <c r="AC104" s="17">
        <f>IF(ISERROR(SEARCH("nega",Tabella1[[#This Row],[Bevitore alcolici]],1)),0,1)</f>
        <v>1</v>
      </c>
      <c r="AD104" s="17">
        <f>IF(ISERROR(SEARCH("potus",Tabella1[[#This Row],[Bevitore alcolici]],1)),0,1)</f>
        <v>0</v>
      </c>
      <c r="AE104" s="7" t="s">
        <v>657</v>
      </c>
      <c r="AF104" s="17"/>
      <c r="AG104" s="17"/>
      <c r="AH104" s="17"/>
      <c r="AI104" s="17"/>
      <c r="AJ104" s="17"/>
      <c r="AK104" s="7" t="s">
        <v>28</v>
      </c>
      <c r="AL104" s="17">
        <f>IF(ISERROR(SEARCH("si",Tabella1[[#This Row],[Patente di guida]],1)),0,1)</f>
        <v>1</v>
      </c>
      <c r="AM104" s="7" t="s">
        <v>28</v>
      </c>
      <c r="AN104" s="17">
        <f>IF(ISERROR(SEARCH("no",Tabella1[[#This Row],[Ipertensione]],1)),0,1)</f>
        <v>0</v>
      </c>
      <c r="AO104" s="7" t="s">
        <v>382</v>
      </c>
      <c r="AP104" s="18">
        <f>IF(ISERROR(SEARCH("NO",Tabella1[[#This Row],[Cardiopatia ischemica]],1)),1,0)</f>
        <v>0</v>
      </c>
      <c r="AQ104" s="17">
        <f>IF(ISERROR(SEARCH("sconosciuto",Tabella1[[#This Row],[Cardiopatia ischemica]],1)),0,1)</f>
        <v>0</v>
      </c>
      <c r="AR104" s="7" t="s">
        <v>25</v>
      </c>
      <c r="AS104" s="22">
        <f>IF(ISERROR(SEARCH("nega",Tabella1[[#This Row],[Artimie]],1)),0,1)</f>
        <v>1</v>
      </c>
      <c r="AT104" s="7" t="s">
        <v>25</v>
      </c>
      <c r="AU104" s="22">
        <f>IF(ISERROR(SEARCH("nega",Tabella1[[#This Row],[Ipercolesterolemia]],1)),0,1)</f>
        <v>1</v>
      </c>
      <c r="AV104" s="22">
        <f>IF(ISERROR(SEARCH("boh",Tabella1[[#This Row],[Ipercolesterolemia]],1)),0,1)</f>
        <v>0</v>
      </c>
      <c r="AW104" s="7" t="s">
        <v>8</v>
      </c>
      <c r="AX104" s="22">
        <f>IF(ISERROR(SEARCH("Intolleranza",Tabella1[[#This Row],[Diabete]],1)),0,1)</f>
        <v>0</v>
      </c>
      <c r="AY104" s="22">
        <f>IF(ISERROR(SEARCH("si",Tabella1[[#This Row],[Diabete]],1)),0,1)</f>
        <v>0</v>
      </c>
      <c r="AZ104" s="7" t="s">
        <v>8</v>
      </c>
      <c r="BA104" s="17">
        <f>IF(ISERROR(SEARCH("NDD",Tabella1[[#This Row],[Patologia Tiroidea]],1)),0,1)</f>
        <v>0</v>
      </c>
      <c r="BB104" s="22">
        <f>IF(ISERROR(SEARCH("TIROIDITE",Tabella1[[#This Row],[Patologia Tiroidea]],1)),0,1)</f>
        <v>0</v>
      </c>
      <c r="BC104" s="22">
        <f>IF(ISERROR(SEARCH("HASHIMOTO",Tabella1[[#This Row],[Patologia Tiroidea]],1)),0,1)</f>
        <v>0</v>
      </c>
      <c r="BD104" s="22">
        <f>IF(ISERROR(SEARCH("BASEDOW",Tabella1[[#This Row],[Patologia Tiroidea]],1)),0,1)</f>
        <v>0</v>
      </c>
      <c r="BE104" s="22">
        <f>IF(ISERROR(SEARCH("NOD",Tabella1[[#This Row],[Patologia Tiroidea]],1)),0,1)</f>
        <v>0</v>
      </c>
      <c r="BF104" s="22">
        <f>IF(ISERROR(SEARCH("GOZ",Tabella1[[#This Row],[Patologia Tiroidea]],1)),0,1)</f>
        <v>0</v>
      </c>
      <c r="BG104" s="7" t="s">
        <v>28</v>
      </c>
      <c r="BH104" s="17">
        <f>IF(Tabella1[[#This Row],[Obesità]]="no",0,1)</f>
        <v>1</v>
      </c>
      <c r="BI104" s="7" t="s">
        <v>25</v>
      </c>
      <c r="BJ104" s="22">
        <f>IF(ISERROR(SEARCH("nega",Tabella1[[#This Row],[Reflusso gastroesofageo]],1)),1,0)</f>
        <v>0</v>
      </c>
      <c r="BK104" s="7" t="s">
        <v>8</v>
      </c>
      <c r="BL104" s="17">
        <f>IF(ISERROR(SEARCH("NDD",Tabella1[[#This Row],[Patologia respiratoria]],1)),0,1)</f>
        <v>0</v>
      </c>
      <c r="BM104" s="17">
        <f>IF(ISERROR(SEARCH("asma",Tabella1[[#This Row],[Patologia respiratoria]],1)),0,1)</f>
        <v>0</v>
      </c>
      <c r="BN104" s="17">
        <f>IF(ISERROR(SEARCH("BPCO",Tabella1[[#This Row],[Patologia respiratoria]],1)),0,1)</f>
        <v>0</v>
      </c>
      <c r="BO104" s="17">
        <f>IF(ISERROR(SEARCH("BRONCOPOLMONITE",Tabella1[[#This Row],[Patologia respiratoria]],1)),0,1)</f>
        <v>0</v>
      </c>
      <c r="BP104" s="17">
        <f>IF(ISERROR(SEARCH("ASMA, OSAS",Tabella1[[#This Row],[Patologia respiratoria]],1)),0,1)</f>
        <v>0</v>
      </c>
      <c r="BQ104" s="17">
        <f>IF(ISERROR(SEARCH("OSAS e BPCO",Tabella1[[#This Row],[Patologia respiratoria]],1)),0,1)</f>
        <v>0</v>
      </c>
      <c r="BR104" s="17">
        <f>IF(ISERROR(SEARCH("OSAS",Tabella1[[#This Row],[Patologia respiratoria]],1)),0,1)</f>
        <v>0</v>
      </c>
      <c r="BS104" s="7" t="s">
        <v>8</v>
      </c>
      <c r="BT104" s="7" t="s">
        <v>8</v>
      </c>
      <c r="BU104" s="7" t="s">
        <v>8</v>
      </c>
      <c r="BV104" s="17">
        <f>IF(ISERROR(SEARCH("ndd",Tabella1[[#This Row],[O2 terapia]],1)),0,1)</f>
        <v>0</v>
      </c>
      <c r="BW104" s="17">
        <v>0</v>
      </c>
      <c r="BX104" s="7"/>
      <c r="BY104" s="7" t="s">
        <v>382</v>
      </c>
      <c r="BZ104" s="18">
        <v>0</v>
      </c>
      <c r="CA104" s="7" t="s">
        <v>28</v>
      </c>
      <c r="CB104" s="17">
        <v>1</v>
      </c>
      <c r="CC104" s="7" t="s">
        <v>28</v>
      </c>
      <c r="CD104" s="17">
        <v>1</v>
      </c>
      <c r="CE104" s="7" t="s">
        <v>8</v>
      </c>
      <c r="CF104" s="18">
        <v>0</v>
      </c>
      <c r="CG104" s="7" t="s">
        <v>8</v>
      </c>
      <c r="CH104" s="17">
        <v>0</v>
      </c>
      <c r="CI104" s="7" t="s">
        <v>8</v>
      </c>
      <c r="CJ104" s="18">
        <v>0</v>
      </c>
      <c r="CK104" s="7" t="s">
        <v>8</v>
      </c>
      <c r="CL104" s="17">
        <v>0</v>
      </c>
      <c r="CM104" s="7" t="s">
        <v>8</v>
      </c>
      <c r="CN104" s="17">
        <v>0</v>
      </c>
      <c r="CO104" s="7" t="s">
        <v>8</v>
      </c>
      <c r="CP104" s="18">
        <v>0</v>
      </c>
      <c r="CQ104" s="7" t="s">
        <v>13</v>
      </c>
      <c r="CR104" s="7" t="s">
        <v>1301</v>
      </c>
      <c r="CS104" s="7" t="s">
        <v>37</v>
      </c>
      <c r="CT104" s="7" t="s">
        <v>169</v>
      </c>
      <c r="CU104" s="7" t="s">
        <v>1294</v>
      </c>
      <c r="CV104" s="8" t="s">
        <v>1302</v>
      </c>
    </row>
    <row r="105" spans="1:100" ht="85.5">
      <c r="A105" s="1">
        <f t="shared" si="1"/>
        <v>104</v>
      </c>
      <c r="B105" s="9">
        <v>731</v>
      </c>
      <c r="C105" s="11"/>
      <c r="D105" s="11" t="s">
        <v>1303</v>
      </c>
      <c r="E105" s="10">
        <v>23350</v>
      </c>
      <c r="F105" s="29">
        <f ca="1">_xlfn.DAYS(NOW(),Tabella1[[#This Row],[Data di Nascita]])/365.25</f>
        <v>61.664613278576319</v>
      </c>
      <c r="G105" s="11"/>
      <c r="H105" s="11" t="s">
        <v>1304</v>
      </c>
      <c r="I105" s="11" t="s">
        <v>880</v>
      </c>
      <c r="J105" s="11" t="s">
        <v>618</v>
      </c>
      <c r="K105" s="11" t="s">
        <v>1305</v>
      </c>
      <c r="L105" s="18">
        <f>IF(ISERROR(SEARCH("EX",Tabella1[[#This Row],[Attività lavorativa]],1)),0,1)</f>
        <v>0</v>
      </c>
      <c r="M105" s="18"/>
      <c r="N105" s="18"/>
      <c r="O105" s="18"/>
      <c r="P105" s="18"/>
      <c r="Q105" s="18"/>
      <c r="R105" s="17">
        <v>1</v>
      </c>
      <c r="S105" s="17">
        <v>1</v>
      </c>
      <c r="T105" s="17">
        <f>IF(ISERROR(SEARCH("NDD",Tabella1[[#This Row],[Attività lavorativa]],1)),0,1)</f>
        <v>0</v>
      </c>
      <c r="U105" s="11" t="s">
        <v>1306</v>
      </c>
      <c r="V105" s="22">
        <v>9</v>
      </c>
      <c r="W105" s="22">
        <f>IF(ISERROR(SEARCH("ex",Tabella1[[#This Row],[Fumo]],1)),0,1)</f>
        <v>0</v>
      </c>
      <c r="X105" s="22">
        <f>IF(ISERROR(SEARCH("no",Tabella1[[#This Row],[Fumo]],1)),0,1)</f>
        <v>0</v>
      </c>
      <c r="Y105" s="11" t="s">
        <v>25</v>
      </c>
      <c r="Z105" s="18">
        <f>IF(ISERROR(SEARCH("NDD",Tabella1[[#This Row],[Bevitore alcolici]],1)),0,1)</f>
        <v>0</v>
      </c>
      <c r="AA105" s="17">
        <f>IF(ISERROR(SEARCH("raro",Tabella1[[#This Row],[Bevitore alcolici]],1)),0,1)</f>
        <v>0</v>
      </c>
      <c r="AB105" s="17">
        <f>IF(ISERROR(SEARCH("saltuariamente",Tabella1[[#This Row],[Bevitore alcolici]],1)),0,1)</f>
        <v>0</v>
      </c>
      <c r="AC105" s="17">
        <f>IF(ISERROR(SEARCH("nega",Tabella1[[#This Row],[Bevitore alcolici]],1)),0,1)</f>
        <v>1</v>
      </c>
      <c r="AD105" s="17">
        <f>IF(ISERROR(SEARCH("potus",Tabella1[[#This Row],[Bevitore alcolici]],1)),0,1)</f>
        <v>0</v>
      </c>
      <c r="AE105" s="11" t="s">
        <v>657</v>
      </c>
      <c r="AF105" s="18"/>
      <c r="AG105" s="18"/>
      <c r="AH105" s="18"/>
      <c r="AI105" s="18"/>
      <c r="AJ105" s="18"/>
      <c r="AK105" s="11" t="s">
        <v>28</v>
      </c>
      <c r="AL105" s="18">
        <f>IF(ISERROR(SEARCH("si",Tabella1[[#This Row],[Patente di guida]],1)),0,1)</f>
        <v>1</v>
      </c>
      <c r="AM105" s="11" t="s">
        <v>28</v>
      </c>
      <c r="AN105" s="18">
        <f>IF(ISERROR(SEARCH("no",Tabella1[[#This Row],[Ipertensione]],1)),0,1)</f>
        <v>0</v>
      </c>
      <c r="AO105" s="11" t="s">
        <v>3732</v>
      </c>
      <c r="AP105" s="18">
        <f>IF(ISERROR(SEARCH("NO",Tabella1[[#This Row],[Cardiopatia ischemica]],1)),1,0)</f>
        <v>0</v>
      </c>
      <c r="AQ105" s="17">
        <f>IF(ISERROR(SEARCH("sconosciuto",Tabella1[[#This Row],[Cardiopatia ischemica]],1)),0,1)</f>
        <v>0</v>
      </c>
      <c r="AR105" s="11" t="s">
        <v>25</v>
      </c>
      <c r="AS105" s="22">
        <f>IF(ISERROR(SEARCH("nega",Tabella1[[#This Row],[Artimie]],1)),0,1)</f>
        <v>1</v>
      </c>
      <c r="AT105" s="11" t="s">
        <v>25</v>
      </c>
      <c r="AU105" s="22">
        <f>IF(ISERROR(SEARCH("nega",Tabella1[[#This Row],[Ipercolesterolemia]],1)),0,1)</f>
        <v>1</v>
      </c>
      <c r="AV105" s="22">
        <f>IF(ISERROR(SEARCH("boh",Tabella1[[#This Row],[Ipercolesterolemia]],1)),0,1)</f>
        <v>0</v>
      </c>
      <c r="AW105" s="11" t="s">
        <v>8</v>
      </c>
      <c r="AX105" s="22">
        <f>IF(ISERROR(SEARCH("Intolleranza",Tabella1[[#This Row],[Diabete]],1)),0,1)</f>
        <v>0</v>
      </c>
      <c r="AY105" s="22">
        <f>IF(ISERROR(SEARCH("si",Tabella1[[#This Row],[Diabete]],1)),0,1)</f>
        <v>0</v>
      </c>
      <c r="AZ105" s="11" t="s">
        <v>8</v>
      </c>
      <c r="BA105" s="18">
        <f>IF(ISERROR(SEARCH("NDD",Tabella1[[#This Row],[Patologia Tiroidea]],1)),0,1)</f>
        <v>0</v>
      </c>
      <c r="BB105" s="22">
        <f>IF(ISERROR(SEARCH("TIROIDITE",Tabella1[[#This Row],[Patologia Tiroidea]],1)),0,1)</f>
        <v>0</v>
      </c>
      <c r="BC105" s="22">
        <f>IF(ISERROR(SEARCH("HASHIMOTO",Tabella1[[#This Row],[Patologia Tiroidea]],1)),0,1)</f>
        <v>0</v>
      </c>
      <c r="BD105" s="22">
        <f>IF(ISERROR(SEARCH("BASEDOW",Tabella1[[#This Row],[Patologia Tiroidea]],1)),0,1)</f>
        <v>0</v>
      </c>
      <c r="BE105" s="22">
        <f>IF(ISERROR(SEARCH("NOD",Tabella1[[#This Row],[Patologia Tiroidea]],1)),0,1)</f>
        <v>0</v>
      </c>
      <c r="BF105" s="22">
        <f>IF(ISERROR(SEARCH("GOZ",Tabella1[[#This Row],[Patologia Tiroidea]],1)),0,1)</f>
        <v>0</v>
      </c>
      <c r="BG105" s="11" t="s">
        <v>28</v>
      </c>
      <c r="BH105" s="18">
        <f>IF(Tabella1[[#This Row],[Obesità]]="no",0,1)</f>
        <v>1</v>
      </c>
      <c r="BI105" s="11" t="s">
        <v>25</v>
      </c>
      <c r="BJ105" s="22">
        <f>IF(ISERROR(SEARCH("nega",Tabella1[[#This Row],[Reflusso gastroesofageo]],1)),1,0)</f>
        <v>0</v>
      </c>
      <c r="BK105" s="11" t="s">
        <v>8</v>
      </c>
      <c r="BL105" s="18">
        <f>IF(ISERROR(SEARCH("NDD",Tabella1[[#This Row],[Patologia respiratoria]],1)),0,1)</f>
        <v>0</v>
      </c>
      <c r="BM105" s="18">
        <f>IF(ISERROR(SEARCH("asma",Tabella1[[#This Row],[Patologia respiratoria]],1)),0,1)</f>
        <v>0</v>
      </c>
      <c r="BN105" s="18">
        <f>IF(ISERROR(SEARCH("BPCO",Tabella1[[#This Row],[Patologia respiratoria]],1)),0,1)</f>
        <v>0</v>
      </c>
      <c r="BO105" s="18">
        <f>IF(ISERROR(SEARCH("BRONCOPOLMONITE",Tabella1[[#This Row],[Patologia respiratoria]],1)),0,1)</f>
        <v>0</v>
      </c>
      <c r="BP105" s="18">
        <f>IF(ISERROR(SEARCH("ASMA, OSAS",Tabella1[[#This Row],[Patologia respiratoria]],1)),0,1)</f>
        <v>0</v>
      </c>
      <c r="BQ105" s="18">
        <f>IF(ISERROR(SEARCH("OSAS e BPCO",Tabella1[[#This Row],[Patologia respiratoria]],1)),0,1)</f>
        <v>0</v>
      </c>
      <c r="BR105" s="18">
        <f>IF(ISERROR(SEARCH("OSAS",Tabella1[[#This Row],[Patologia respiratoria]],1)),0,1)</f>
        <v>0</v>
      </c>
      <c r="BS105" s="11" t="s">
        <v>8</v>
      </c>
      <c r="BT105" s="11" t="s">
        <v>8</v>
      </c>
      <c r="BU105" s="11" t="s">
        <v>8</v>
      </c>
      <c r="BV105" s="18">
        <f>IF(ISERROR(SEARCH("ndd",Tabella1[[#This Row],[O2 terapia]],1)),0,1)</f>
        <v>0</v>
      </c>
      <c r="BW105" s="17">
        <v>0</v>
      </c>
      <c r="BX105" s="11"/>
      <c r="BY105" s="11" t="s">
        <v>382</v>
      </c>
      <c r="BZ105" s="18">
        <v>0</v>
      </c>
      <c r="CA105" s="11" t="s">
        <v>194</v>
      </c>
      <c r="CB105" s="17">
        <v>1</v>
      </c>
      <c r="CC105" s="11" t="s">
        <v>8</v>
      </c>
      <c r="CD105" s="18">
        <v>0</v>
      </c>
      <c r="CE105" s="11" t="s">
        <v>8</v>
      </c>
      <c r="CF105" s="18">
        <v>0</v>
      </c>
      <c r="CG105" s="11" t="s">
        <v>1307</v>
      </c>
      <c r="CH105" s="17">
        <v>1</v>
      </c>
      <c r="CI105" s="11" t="s">
        <v>8</v>
      </c>
      <c r="CJ105" s="18">
        <v>0</v>
      </c>
      <c r="CK105" s="11" t="s">
        <v>194</v>
      </c>
      <c r="CL105" s="17">
        <v>1</v>
      </c>
      <c r="CM105" s="11" t="s">
        <v>8</v>
      </c>
      <c r="CN105" s="17">
        <v>0</v>
      </c>
      <c r="CO105" s="11" t="s">
        <v>1036</v>
      </c>
      <c r="CP105" s="17">
        <v>1</v>
      </c>
      <c r="CQ105" s="11" t="s">
        <v>69</v>
      </c>
      <c r="CR105" s="11" t="s">
        <v>184</v>
      </c>
      <c r="CS105" s="11" t="s">
        <v>71</v>
      </c>
      <c r="CT105" s="11" t="s">
        <v>169</v>
      </c>
      <c r="CU105" s="11"/>
      <c r="CV105" s="12" t="s">
        <v>1308</v>
      </c>
    </row>
    <row r="106" spans="1:100" ht="171">
      <c r="A106" s="1">
        <f t="shared" si="1"/>
        <v>105</v>
      </c>
      <c r="B106" s="5">
        <v>733</v>
      </c>
      <c r="C106" s="6">
        <v>44957</v>
      </c>
      <c r="D106" s="7" t="s">
        <v>1309</v>
      </c>
      <c r="E106" s="6">
        <v>32081</v>
      </c>
      <c r="F106" s="29">
        <f ca="1">_xlfn.DAYS(NOW(),Tabella1[[#This Row],[Data di Nascita]])/365.25</f>
        <v>37.760438056125942</v>
      </c>
      <c r="G106" s="7" t="s">
        <v>1310</v>
      </c>
      <c r="H106" s="7" t="s">
        <v>1311</v>
      </c>
      <c r="I106" s="7" t="s">
        <v>1229</v>
      </c>
      <c r="J106" s="7" t="s">
        <v>1215</v>
      </c>
      <c r="K106" s="7" t="s">
        <v>1312</v>
      </c>
      <c r="L106" s="17">
        <f>IF(ISERROR(SEARCH("EX",Tabella1[[#This Row],[Attività lavorativa]],1)),0,1)</f>
        <v>0</v>
      </c>
      <c r="M106" s="17"/>
      <c r="N106" s="17"/>
      <c r="O106" s="17"/>
      <c r="P106" s="17"/>
      <c r="Q106" s="17"/>
      <c r="R106" s="17"/>
      <c r="S106" s="17"/>
      <c r="T106" s="17">
        <f>IF(ISERROR(SEARCH("NDD",Tabella1[[#This Row],[Attività lavorativa]],1)),0,1)</f>
        <v>0</v>
      </c>
      <c r="U106" s="7" t="s">
        <v>8</v>
      </c>
      <c r="V106" s="22"/>
      <c r="W106" s="22">
        <f>IF(ISERROR(SEARCH("ex",Tabella1[[#This Row],[Fumo]],1)),0,1)</f>
        <v>0</v>
      </c>
      <c r="X106" s="22">
        <f>IF(ISERROR(SEARCH("no",Tabella1[[#This Row],[Fumo]],1)),0,1)</f>
        <v>1</v>
      </c>
      <c r="Y106" s="7" t="s">
        <v>25</v>
      </c>
      <c r="Z106" s="17">
        <f>IF(ISERROR(SEARCH("NDD",Tabella1[[#This Row],[Bevitore alcolici]],1)),0,1)</f>
        <v>0</v>
      </c>
      <c r="AA106" s="17">
        <f>IF(ISERROR(SEARCH("raro",Tabella1[[#This Row],[Bevitore alcolici]],1)),0,1)</f>
        <v>0</v>
      </c>
      <c r="AB106" s="17">
        <f>IF(ISERROR(SEARCH("saltuariamente",Tabella1[[#This Row],[Bevitore alcolici]],1)),0,1)</f>
        <v>0</v>
      </c>
      <c r="AC106" s="17">
        <f>IF(ISERROR(SEARCH("nega",Tabella1[[#This Row],[Bevitore alcolici]],1)),0,1)</f>
        <v>1</v>
      </c>
      <c r="AD106" s="17">
        <f>IF(ISERROR(SEARCH("potus",Tabella1[[#This Row],[Bevitore alcolici]],1)),0,1)</f>
        <v>0</v>
      </c>
      <c r="AE106" s="7" t="s">
        <v>1170</v>
      </c>
      <c r="AF106" s="17"/>
      <c r="AG106" s="18">
        <v>1</v>
      </c>
      <c r="AH106" s="18"/>
      <c r="AI106" s="18"/>
      <c r="AJ106" s="18"/>
      <c r="AK106" s="7" t="s">
        <v>8</v>
      </c>
      <c r="AL106" s="17">
        <f>IF(ISERROR(SEARCH("si",Tabella1[[#This Row],[Patente di guida]],1)),0,1)</f>
        <v>0</v>
      </c>
      <c r="AM106" s="7" t="s">
        <v>8</v>
      </c>
      <c r="AN106" s="17">
        <f>IF(ISERROR(SEARCH("no",Tabella1[[#This Row],[Ipertensione]],1)),0,1)</f>
        <v>1</v>
      </c>
      <c r="AO106" s="7" t="s">
        <v>382</v>
      </c>
      <c r="AP106" s="18">
        <f>IF(ISERROR(SEARCH("NO",Tabella1[[#This Row],[Cardiopatia ischemica]],1)),1,0)</f>
        <v>0</v>
      </c>
      <c r="AQ106" s="17">
        <f>IF(ISERROR(SEARCH("sconosciuto",Tabella1[[#This Row],[Cardiopatia ischemica]],1)),0,1)</f>
        <v>0</v>
      </c>
      <c r="AR106" s="7" t="s">
        <v>25</v>
      </c>
      <c r="AS106" s="22">
        <f>IF(ISERROR(SEARCH("nega",Tabella1[[#This Row],[Artimie]],1)),0,1)</f>
        <v>1</v>
      </c>
      <c r="AT106" s="7" t="s">
        <v>25</v>
      </c>
      <c r="AU106" s="22">
        <f>IF(ISERROR(SEARCH("nega",Tabella1[[#This Row],[Ipercolesterolemia]],1)),0,1)</f>
        <v>1</v>
      </c>
      <c r="AV106" s="22">
        <f>IF(ISERROR(SEARCH("boh",Tabella1[[#This Row],[Ipercolesterolemia]],1)),0,1)</f>
        <v>0</v>
      </c>
      <c r="AW106" s="7" t="s">
        <v>8</v>
      </c>
      <c r="AX106" s="22">
        <f>IF(ISERROR(SEARCH("Intolleranza",Tabella1[[#This Row],[Diabete]],1)),0,1)</f>
        <v>0</v>
      </c>
      <c r="AY106" s="22">
        <f>IF(ISERROR(SEARCH("si",Tabella1[[#This Row],[Diabete]],1)),0,1)</f>
        <v>0</v>
      </c>
      <c r="AZ106" s="7" t="s">
        <v>8</v>
      </c>
      <c r="BA106" s="17">
        <f>IF(ISERROR(SEARCH("NDD",Tabella1[[#This Row],[Patologia Tiroidea]],1)),0,1)</f>
        <v>0</v>
      </c>
      <c r="BB106" s="22">
        <f>IF(ISERROR(SEARCH("TIROIDITE",Tabella1[[#This Row],[Patologia Tiroidea]],1)),0,1)</f>
        <v>0</v>
      </c>
      <c r="BC106" s="22">
        <f>IF(ISERROR(SEARCH("HASHIMOTO",Tabella1[[#This Row],[Patologia Tiroidea]],1)),0,1)</f>
        <v>0</v>
      </c>
      <c r="BD106" s="22">
        <f>IF(ISERROR(SEARCH("BASEDOW",Tabella1[[#This Row],[Patologia Tiroidea]],1)),0,1)</f>
        <v>0</v>
      </c>
      <c r="BE106" s="22">
        <f>IF(ISERROR(SEARCH("NOD",Tabella1[[#This Row],[Patologia Tiroidea]],1)),0,1)</f>
        <v>0</v>
      </c>
      <c r="BF106" s="22">
        <f>IF(ISERROR(SEARCH("GOZ",Tabella1[[#This Row],[Patologia Tiroidea]],1)),0,1)</f>
        <v>0</v>
      </c>
      <c r="BG106" s="7" t="s">
        <v>28</v>
      </c>
      <c r="BH106" s="17">
        <f>IF(Tabella1[[#This Row],[Obesità]]="no",0,1)</f>
        <v>1</v>
      </c>
      <c r="BI106" s="7" t="s">
        <v>25</v>
      </c>
      <c r="BJ106" s="22">
        <f>IF(ISERROR(SEARCH("nega",Tabella1[[#This Row],[Reflusso gastroesofageo]],1)),1,0)</f>
        <v>0</v>
      </c>
      <c r="BK106" s="7" t="s">
        <v>8</v>
      </c>
      <c r="BL106" s="17">
        <f>IF(ISERROR(SEARCH("NDD",Tabella1[[#This Row],[Patologia respiratoria]],1)),0,1)</f>
        <v>0</v>
      </c>
      <c r="BM106" s="17">
        <f>IF(ISERROR(SEARCH("asma",Tabella1[[#This Row],[Patologia respiratoria]],1)),0,1)</f>
        <v>0</v>
      </c>
      <c r="BN106" s="17">
        <f>IF(ISERROR(SEARCH("BPCO",Tabella1[[#This Row],[Patologia respiratoria]],1)),0,1)</f>
        <v>0</v>
      </c>
      <c r="BO106" s="17">
        <f>IF(ISERROR(SEARCH("BRONCOPOLMONITE",Tabella1[[#This Row],[Patologia respiratoria]],1)),0,1)</f>
        <v>0</v>
      </c>
      <c r="BP106" s="17">
        <f>IF(ISERROR(SEARCH("ASMA, OSAS",Tabella1[[#This Row],[Patologia respiratoria]],1)),0,1)</f>
        <v>0</v>
      </c>
      <c r="BQ106" s="17">
        <f>IF(ISERROR(SEARCH("OSAS e BPCO",Tabella1[[#This Row],[Patologia respiratoria]],1)),0,1)</f>
        <v>0</v>
      </c>
      <c r="BR106" s="17">
        <f>IF(ISERROR(SEARCH("OSAS",Tabella1[[#This Row],[Patologia respiratoria]],1)),0,1)</f>
        <v>0</v>
      </c>
      <c r="BS106" s="7" t="s">
        <v>8</v>
      </c>
      <c r="BT106" s="7" t="s">
        <v>8</v>
      </c>
      <c r="BU106" s="7" t="s">
        <v>8</v>
      </c>
      <c r="BV106" s="17">
        <f>IF(ISERROR(SEARCH("ndd",Tabella1[[#This Row],[O2 terapia]],1)),0,1)</f>
        <v>0</v>
      </c>
      <c r="BW106" s="17">
        <v>0</v>
      </c>
      <c r="BX106" s="7" t="s">
        <v>8</v>
      </c>
      <c r="BY106" s="7" t="s">
        <v>8</v>
      </c>
      <c r="BZ106" s="18">
        <v>0</v>
      </c>
      <c r="CA106" s="7" t="s">
        <v>52</v>
      </c>
      <c r="CB106" s="17">
        <v>1</v>
      </c>
      <c r="CC106" s="7" t="s">
        <v>8</v>
      </c>
      <c r="CD106" s="18">
        <v>0</v>
      </c>
      <c r="CE106" s="7" t="s">
        <v>8</v>
      </c>
      <c r="CF106" s="18">
        <v>0</v>
      </c>
      <c r="CG106" s="7" t="s">
        <v>1313</v>
      </c>
      <c r="CH106" s="17">
        <v>1</v>
      </c>
      <c r="CI106" s="7" t="s">
        <v>8</v>
      </c>
      <c r="CJ106" s="18">
        <v>0</v>
      </c>
      <c r="CK106" s="7" t="s">
        <v>28</v>
      </c>
      <c r="CL106" s="17">
        <v>1</v>
      </c>
      <c r="CM106" s="7" t="s">
        <v>8</v>
      </c>
      <c r="CN106" s="17">
        <v>0</v>
      </c>
      <c r="CO106" s="7" t="s">
        <v>8</v>
      </c>
      <c r="CP106" s="18">
        <v>0</v>
      </c>
      <c r="CQ106" s="7" t="s">
        <v>13</v>
      </c>
      <c r="CR106" s="7" t="s">
        <v>1301</v>
      </c>
      <c r="CS106" s="7" t="s">
        <v>37</v>
      </c>
      <c r="CT106" s="7" t="s">
        <v>37</v>
      </c>
      <c r="CU106" s="7" t="s">
        <v>1314</v>
      </c>
      <c r="CV106" s="8" t="s">
        <v>1315</v>
      </c>
    </row>
    <row r="107" spans="1:100" ht="99.75">
      <c r="A107" s="1">
        <f t="shared" si="1"/>
        <v>106</v>
      </c>
      <c r="B107" s="9">
        <v>735</v>
      </c>
      <c r="C107" s="10">
        <v>44957</v>
      </c>
      <c r="D107" s="11" t="s">
        <v>1316</v>
      </c>
      <c r="E107" s="10">
        <v>29658</v>
      </c>
      <c r="F107" s="29">
        <f ca="1">_xlfn.DAYS(NOW(),Tabella1[[#This Row],[Data di Nascita]])/365.25</f>
        <v>44.394250513347025</v>
      </c>
      <c r="G107" s="11" t="s">
        <v>1317</v>
      </c>
      <c r="H107" s="11" t="s">
        <v>1318</v>
      </c>
      <c r="I107" s="11" t="s">
        <v>1229</v>
      </c>
      <c r="J107" s="11" t="s">
        <v>1215</v>
      </c>
      <c r="K107" s="11" t="s">
        <v>1319</v>
      </c>
      <c r="L107" s="18">
        <f>IF(ISERROR(SEARCH("EX",Tabella1[[#This Row],[Attività lavorativa]],1)),0,1)</f>
        <v>0</v>
      </c>
      <c r="M107" s="18"/>
      <c r="N107" s="18"/>
      <c r="O107" s="18"/>
      <c r="P107" s="18"/>
      <c r="Q107" s="18"/>
      <c r="R107" s="17">
        <v>1</v>
      </c>
      <c r="S107" s="17"/>
      <c r="T107" s="17">
        <f>IF(ISERROR(SEARCH("NDD",Tabella1[[#This Row],[Attività lavorativa]],1)),0,1)</f>
        <v>0</v>
      </c>
      <c r="U107" s="11" t="s">
        <v>1320</v>
      </c>
      <c r="V107" s="22">
        <v>1</v>
      </c>
      <c r="W107" s="22">
        <f>IF(ISERROR(SEARCH("ex",Tabella1[[#This Row],[Fumo]],1)),0,1)</f>
        <v>0</v>
      </c>
      <c r="X107" s="22">
        <f>IF(ISERROR(SEARCH("no",Tabella1[[#This Row],[Fumo]],1)),0,1)</f>
        <v>0</v>
      </c>
      <c r="Y107" s="11" t="s">
        <v>25</v>
      </c>
      <c r="Z107" s="18">
        <f>IF(ISERROR(SEARCH("NDD",Tabella1[[#This Row],[Bevitore alcolici]],1)),0,1)</f>
        <v>0</v>
      </c>
      <c r="AA107" s="17">
        <f>IF(ISERROR(SEARCH("raro",Tabella1[[#This Row],[Bevitore alcolici]],1)),0,1)</f>
        <v>0</v>
      </c>
      <c r="AB107" s="17">
        <f>IF(ISERROR(SEARCH("saltuariamente",Tabella1[[#This Row],[Bevitore alcolici]],1)),0,1)</f>
        <v>0</v>
      </c>
      <c r="AC107" s="17">
        <f>IF(ISERROR(SEARCH("nega",Tabella1[[#This Row],[Bevitore alcolici]],1)),0,1)</f>
        <v>1</v>
      </c>
      <c r="AD107" s="17">
        <f>IF(ISERROR(SEARCH("potus",Tabella1[[#This Row],[Bevitore alcolici]],1)),0,1)</f>
        <v>0</v>
      </c>
      <c r="AE107" s="11" t="s">
        <v>1047</v>
      </c>
      <c r="AF107" s="18"/>
      <c r="AG107" s="18">
        <v>1</v>
      </c>
      <c r="AH107" s="18"/>
      <c r="AI107" s="18"/>
      <c r="AJ107" s="18"/>
      <c r="AK107" s="11" t="s">
        <v>28</v>
      </c>
      <c r="AL107" s="18">
        <f>IF(ISERROR(SEARCH("si",Tabella1[[#This Row],[Patente di guida]],1)),0,1)</f>
        <v>1</v>
      </c>
      <c r="AM107" s="11" t="s">
        <v>8</v>
      </c>
      <c r="AN107" s="18">
        <f>IF(ISERROR(SEARCH("no",Tabella1[[#This Row],[Ipertensione]],1)),0,1)</f>
        <v>1</v>
      </c>
      <c r="AO107" s="11" t="s">
        <v>382</v>
      </c>
      <c r="AP107" s="18">
        <f>IF(ISERROR(SEARCH("NO",Tabella1[[#This Row],[Cardiopatia ischemica]],1)),1,0)</f>
        <v>0</v>
      </c>
      <c r="AQ107" s="17">
        <f>IF(ISERROR(SEARCH("sconosciuto",Tabella1[[#This Row],[Cardiopatia ischemica]],1)),0,1)</f>
        <v>0</v>
      </c>
      <c r="AR107" s="11" t="s">
        <v>25</v>
      </c>
      <c r="AS107" s="22">
        <f>IF(ISERROR(SEARCH("nega",Tabella1[[#This Row],[Artimie]],1)),0,1)</f>
        <v>1</v>
      </c>
      <c r="AT107" s="11" t="s">
        <v>25</v>
      </c>
      <c r="AU107" s="22">
        <f>IF(ISERROR(SEARCH("nega",Tabella1[[#This Row],[Ipercolesterolemia]],1)),0,1)</f>
        <v>1</v>
      </c>
      <c r="AV107" s="22">
        <f>IF(ISERROR(SEARCH("boh",Tabella1[[#This Row],[Ipercolesterolemia]],1)),0,1)</f>
        <v>0</v>
      </c>
      <c r="AW107" s="11" t="s">
        <v>8</v>
      </c>
      <c r="AX107" s="22">
        <f>IF(ISERROR(SEARCH("Intolleranza",Tabella1[[#This Row],[Diabete]],1)),0,1)</f>
        <v>0</v>
      </c>
      <c r="AY107" s="22">
        <f>IF(ISERROR(SEARCH("si",Tabella1[[#This Row],[Diabete]],1)),0,1)</f>
        <v>0</v>
      </c>
      <c r="AZ107" s="11" t="s">
        <v>8</v>
      </c>
      <c r="BA107" s="18">
        <f>IF(ISERROR(SEARCH("NDD",Tabella1[[#This Row],[Patologia Tiroidea]],1)),0,1)</f>
        <v>0</v>
      </c>
      <c r="BB107" s="22">
        <f>IF(ISERROR(SEARCH("TIROIDITE",Tabella1[[#This Row],[Patologia Tiroidea]],1)),0,1)</f>
        <v>0</v>
      </c>
      <c r="BC107" s="22">
        <f>IF(ISERROR(SEARCH("HASHIMOTO",Tabella1[[#This Row],[Patologia Tiroidea]],1)),0,1)</f>
        <v>0</v>
      </c>
      <c r="BD107" s="22">
        <f>IF(ISERROR(SEARCH("BASEDOW",Tabella1[[#This Row],[Patologia Tiroidea]],1)),0,1)</f>
        <v>0</v>
      </c>
      <c r="BE107" s="22">
        <f>IF(ISERROR(SEARCH("NOD",Tabella1[[#This Row],[Patologia Tiroidea]],1)),0,1)</f>
        <v>0</v>
      </c>
      <c r="BF107" s="22">
        <f>IF(ISERROR(SEARCH("GOZ",Tabella1[[#This Row],[Patologia Tiroidea]],1)),0,1)</f>
        <v>0</v>
      </c>
      <c r="BG107" s="11" t="s">
        <v>8</v>
      </c>
      <c r="BH107" s="18">
        <f>IF(Tabella1[[#This Row],[Obesità]]="no",0,1)</f>
        <v>0</v>
      </c>
      <c r="BI107" s="11" t="s">
        <v>25</v>
      </c>
      <c r="BJ107" s="22">
        <f>IF(ISERROR(SEARCH("nega",Tabella1[[#This Row],[Reflusso gastroesofageo]],1)),1,0)</f>
        <v>0</v>
      </c>
      <c r="BK107" s="11" t="s">
        <v>8</v>
      </c>
      <c r="BL107" s="18">
        <f>IF(ISERROR(SEARCH("NDD",Tabella1[[#This Row],[Patologia respiratoria]],1)),0,1)</f>
        <v>0</v>
      </c>
      <c r="BM107" s="18">
        <f>IF(ISERROR(SEARCH("asma",Tabella1[[#This Row],[Patologia respiratoria]],1)),0,1)</f>
        <v>0</v>
      </c>
      <c r="BN107" s="18">
        <f>IF(ISERROR(SEARCH("BPCO",Tabella1[[#This Row],[Patologia respiratoria]],1)),0,1)</f>
        <v>0</v>
      </c>
      <c r="BO107" s="18">
        <f>IF(ISERROR(SEARCH("BRONCOPOLMONITE",Tabella1[[#This Row],[Patologia respiratoria]],1)),0,1)</f>
        <v>0</v>
      </c>
      <c r="BP107" s="18">
        <f>IF(ISERROR(SEARCH("ASMA, OSAS",Tabella1[[#This Row],[Patologia respiratoria]],1)),0,1)</f>
        <v>0</v>
      </c>
      <c r="BQ107" s="18">
        <f>IF(ISERROR(SEARCH("OSAS e BPCO",Tabella1[[#This Row],[Patologia respiratoria]],1)),0,1)</f>
        <v>0</v>
      </c>
      <c r="BR107" s="18">
        <f>IF(ISERROR(SEARCH("OSAS",Tabella1[[#This Row],[Patologia respiratoria]],1)),0,1)</f>
        <v>0</v>
      </c>
      <c r="BS107" s="11" t="s">
        <v>8</v>
      </c>
      <c r="BT107" s="11" t="s">
        <v>8</v>
      </c>
      <c r="BU107" s="11" t="s">
        <v>8</v>
      </c>
      <c r="BV107" s="18">
        <f>IF(ISERROR(SEARCH("ndd",Tabella1[[#This Row],[O2 terapia]],1)),0,1)</f>
        <v>0</v>
      </c>
      <c r="BW107" s="17">
        <v>0</v>
      </c>
      <c r="BX107" s="11"/>
      <c r="BY107" s="11" t="s">
        <v>8</v>
      </c>
      <c r="BZ107" s="18">
        <v>0</v>
      </c>
      <c r="CA107" s="11" t="s">
        <v>8</v>
      </c>
      <c r="CB107" s="17">
        <v>0</v>
      </c>
      <c r="CC107" s="11" t="s">
        <v>8</v>
      </c>
      <c r="CD107" s="18">
        <v>0</v>
      </c>
      <c r="CE107" s="11" t="s">
        <v>8</v>
      </c>
      <c r="CF107" s="18">
        <v>0</v>
      </c>
      <c r="CG107" s="11" t="s">
        <v>8</v>
      </c>
      <c r="CH107" s="17">
        <v>0</v>
      </c>
      <c r="CI107" s="11" t="s">
        <v>8</v>
      </c>
      <c r="CJ107" s="18">
        <v>0</v>
      </c>
      <c r="CK107" s="11" t="s">
        <v>8</v>
      </c>
      <c r="CL107" s="17">
        <v>0</v>
      </c>
      <c r="CM107" s="11" t="s">
        <v>8</v>
      </c>
      <c r="CN107" s="17">
        <v>0</v>
      </c>
      <c r="CO107" s="11" t="s">
        <v>8</v>
      </c>
      <c r="CP107" s="18">
        <v>0</v>
      </c>
      <c r="CQ107" s="11" t="s">
        <v>85</v>
      </c>
      <c r="CR107" s="11" t="s">
        <v>14</v>
      </c>
      <c r="CS107" s="11" t="s">
        <v>71</v>
      </c>
      <c r="CT107" s="11" t="s">
        <v>389</v>
      </c>
      <c r="CU107" s="11" t="s">
        <v>1210</v>
      </c>
      <c r="CV107" s="12" t="s">
        <v>1321</v>
      </c>
    </row>
    <row r="108" spans="1:100" ht="128.25">
      <c r="A108" s="1">
        <f t="shared" si="1"/>
        <v>107</v>
      </c>
      <c r="B108" s="5">
        <v>742</v>
      </c>
      <c r="C108" s="7"/>
      <c r="D108" s="7" t="s">
        <v>1322</v>
      </c>
      <c r="E108" s="6">
        <v>18897</v>
      </c>
      <c r="F108" s="29">
        <f ca="1">_xlfn.DAYS(NOW(),Tabella1[[#This Row],[Data di Nascita]])/365.25</f>
        <v>73.856262833675558</v>
      </c>
      <c r="G108" s="7"/>
      <c r="H108" s="7" t="s">
        <v>1323</v>
      </c>
      <c r="I108" s="7" t="s">
        <v>880</v>
      </c>
      <c r="J108" s="7" t="s">
        <v>1215</v>
      </c>
      <c r="K108" s="7" t="s">
        <v>1324</v>
      </c>
      <c r="L108" s="17">
        <f>IF(ISERROR(SEARCH("EX",Tabella1[[#This Row],[Attività lavorativa]],1)),0,1)</f>
        <v>1</v>
      </c>
      <c r="M108" s="17"/>
      <c r="N108" s="17">
        <v>1</v>
      </c>
      <c r="O108" s="17"/>
      <c r="P108" s="17"/>
      <c r="Q108" s="17"/>
      <c r="R108" s="17"/>
      <c r="S108" s="17"/>
      <c r="T108" s="17">
        <f>IF(ISERROR(SEARCH("NDD",Tabella1[[#This Row],[Attività lavorativa]],1)),0,1)</f>
        <v>0</v>
      </c>
      <c r="U108" s="7" t="s">
        <v>8</v>
      </c>
      <c r="V108" s="22"/>
      <c r="W108" s="22">
        <f>IF(ISERROR(SEARCH("ex",Tabella1[[#This Row],[Fumo]],1)),0,1)</f>
        <v>0</v>
      </c>
      <c r="X108" s="22">
        <f>IF(ISERROR(SEARCH("no",Tabella1[[#This Row],[Fumo]],1)),0,1)</f>
        <v>1</v>
      </c>
      <c r="Y108" s="7" t="s">
        <v>25</v>
      </c>
      <c r="Z108" s="17">
        <f>IF(ISERROR(SEARCH("NDD",Tabella1[[#This Row],[Bevitore alcolici]],1)),0,1)</f>
        <v>0</v>
      </c>
      <c r="AA108" s="17">
        <f>IF(ISERROR(SEARCH("raro",Tabella1[[#This Row],[Bevitore alcolici]],1)),0,1)</f>
        <v>0</v>
      </c>
      <c r="AB108" s="17">
        <f>IF(ISERROR(SEARCH("saltuariamente",Tabella1[[#This Row],[Bevitore alcolici]],1)),0,1)</f>
        <v>0</v>
      </c>
      <c r="AC108" s="17">
        <f>IF(ISERROR(SEARCH("nega",Tabella1[[#This Row],[Bevitore alcolici]],1)),0,1)</f>
        <v>1</v>
      </c>
      <c r="AD108" s="17">
        <f>IF(ISERROR(SEARCH("potus",Tabella1[[#This Row],[Bevitore alcolici]],1)),0,1)</f>
        <v>0</v>
      </c>
      <c r="AE108" s="7" t="s">
        <v>657</v>
      </c>
      <c r="AF108" s="17"/>
      <c r="AG108" s="17"/>
      <c r="AH108" s="17"/>
      <c r="AI108" s="17"/>
      <c r="AJ108" s="17"/>
      <c r="AK108" s="7" t="s">
        <v>8</v>
      </c>
      <c r="AL108" s="17">
        <f>IF(ISERROR(SEARCH("si",Tabella1[[#This Row],[Patente di guida]],1)),0,1)</f>
        <v>0</v>
      </c>
      <c r="AM108" s="7" t="s">
        <v>28</v>
      </c>
      <c r="AN108" s="17">
        <f>IF(ISERROR(SEARCH("no",Tabella1[[#This Row],[Ipertensione]],1)),0,1)</f>
        <v>0</v>
      </c>
      <c r="AO108" s="7" t="s">
        <v>382</v>
      </c>
      <c r="AP108" s="18">
        <f>IF(ISERROR(SEARCH("NO",Tabella1[[#This Row],[Cardiopatia ischemica]],1)),1,0)</f>
        <v>0</v>
      </c>
      <c r="AQ108" s="17">
        <f>IF(ISERROR(SEARCH("sconosciuto",Tabella1[[#This Row],[Cardiopatia ischemica]],1)),0,1)</f>
        <v>0</v>
      </c>
      <c r="AR108" s="7" t="s">
        <v>25</v>
      </c>
      <c r="AS108" s="17">
        <f>IF(ISERROR(SEARCH("nega",Tabella1[[#This Row],[Artimie]],1)),0,1)</f>
        <v>1</v>
      </c>
      <c r="AT108" s="7" t="s">
        <v>28</v>
      </c>
      <c r="AU108" s="17">
        <f>IF(ISERROR(SEARCH("nega",Tabella1[[#This Row],[Ipercolesterolemia]],1)),0,1)</f>
        <v>0</v>
      </c>
      <c r="AV108" s="17">
        <f>IF(ISERROR(SEARCH("boh",Tabella1[[#This Row],[Ipercolesterolemia]],1)),0,1)</f>
        <v>0</v>
      </c>
      <c r="AW108" s="7" t="s">
        <v>8</v>
      </c>
      <c r="AX108" s="17">
        <f>IF(ISERROR(SEARCH("Intolleranza",Tabella1[[#This Row],[Diabete]],1)),0,1)</f>
        <v>0</v>
      </c>
      <c r="AY108" s="17">
        <f>IF(ISERROR(SEARCH("si",Tabella1[[#This Row],[Diabete]],1)),0,1)</f>
        <v>0</v>
      </c>
      <c r="AZ108" s="7" t="s">
        <v>8</v>
      </c>
      <c r="BA108" s="17">
        <f>IF(ISERROR(SEARCH("NDD",Tabella1[[#This Row],[Patologia Tiroidea]],1)),0,1)</f>
        <v>0</v>
      </c>
      <c r="BB108" s="17">
        <f>IF(ISERROR(SEARCH("TIROIDITE",Tabella1[[#This Row],[Patologia Tiroidea]],1)),0,1)</f>
        <v>0</v>
      </c>
      <c r="BC108" s="17">
        <f>IF(ISERROR(SEARCH("HASHIMOTO",Tabella1[[#This Row],[Patologia Tiroidea]],1)),0,1)</f>
        <v>0</v>
      </c>
      <c r="BD108" s="17">
        <f>IF(ISERROR(SEARCH("BASEDOW",Tabella1[[#This Row],[Patologia Tiroidea]],1)),0,1)</f>
        <v>0</v>
      </c>
      <c r="BE108" s="17">
        <f>IF(ISERROR(SEARCH("NOD",Tabella1[[#This Row],[Patologia Tiroidea]],1)),0,1)</f>
        <v>0</v>
      </c>
      <c r="BF108" s="17">
        <f>IF(ISERROR(SEARCH("GOZ",Tabella1[[#This Row],[Patologia Tiroidea]],1)),0,1)</f>
        <v>0</v>
      </c>
      <c r="BG108" s="7" t="s">
        <v>8</v>
      </c>
      <c r="BH108" s="17">
        <f>IF(Tabella1[[#This Row],[Obesità]]="no",0,1)</f>
        <v>0</v>
      </c>
      <c r="BI108" s="7" t="s">
        <v>25</v>
      </c>
      <c r="BJ108" s="22">
        <f>IF(ISERROR(SEARCH("nega",Tabella1[[#This Row],[Reflusso gastroesofageo]],1)),1,0)</f>
        <v>0</v>
      </c>
      <c r="BK108" s="7" t="s">
        <v>8</v>
      </c>
      <c r="BL108" s="17">
        <f>IF(ISERROR(SEARCH("NDD",Tabella1[[#This Row],[Patologia respiratoria]],1)),0,1)</f>
        <v>0</v>
      </c>
      <c r="BM108" s="17">
        <f>IF(ISERROR(SEARCH("asma",Tabella1[[#This Row],[Patologia respiratoria]],1)),0,1)</f>
        <v>0</v>
      </c>
      <c r="BN108" s="17">
        <f>IF(ISERROR(SEARCH("BPCO",Tabella1[[#This Row],[Patologia respiratoria]],1)),0,1)</f>
        <v>0</v>
      </c>
      <c r="BO108" s="17">
        <f>IF(ISERROR(SEARCH("BRONCOPOLMONITE",Tabella1[[#This Row],[Patologia respiratoria]],1)),0,1)</f>
        <v>0</v>
      </c>
      <c r="BP108" s="17">
        <f>IF(ISERROR(SEARCH("ASMA, OSAS",Tabella1[[#This Row],[Patologia respiratoria]],1)),0,1)</f>
        <v>0</v>
      </c>
      <c r="BQ108" s="17">
        <f>IF(ISERROR(SEARCH("OSAS e BPCO",Tabella1[[#This Row],[Patologia respiratoria]],1)),0,1)</f>
        <v>0</v>
      </c>
      <c r="BR108" s="17">
        <f>IF(ISERROR(SEARCH("OSAS",Tabella1[[#This Row],[Patologia respiratoria]],1)),0,1)</f>
        <v>0</v>
      </c>
      <c r="BS108" s="7" t="s">
        <v>8</v>
      </c>
      <c r="BT108" s="7"/>
      <c r="BU108" s="7" t="s">
        <v>5477</v>
      </c>
      <c r="BV108" s="17">
        <f>IF(ISERROR(SEARCH("ndd",Tabella1[[#This Row],[O2 terapia]],1)),0,1)</f>
        <v>1</v>
      </c>
      <c r="BW108" s="17"/>
      <c r="BX108" s="7"/>
      <c r="BY108" s="7" t="s">
        <v>8</v>
      </c>
      <c r="BZ108" s="18">
        <v>0</v>
      </c>
      <c r="CA108" s="7" t="s">
        <v>28</v>
      </c>
      <c r="CB108" s="17">
        <v>1</v>
      </c>
      <c r="CC108" s="7" t="s">
        <v>28</v>
      </c>
      <c r="CD108" s="17">
        <v>1</v>
      </c>
      <c r="CE108" s="7" t="s">
        <v>8</v>
      </c>
      <c r="CF108" s="18">
        <v>0</v>
      </c>
      <c r="CG108" s="7" t="s">
        <v>8</v>
      </c>
      <c r="CH108" s="17">
        <v>0</v>
      </c>
      <c r="CI108" s="7" t="s">
        <v>8</v>
      </c>
      <c r="CJ108" s="18">
        <v>0</v>
      </c>
      <c r="CK108" s="7" t="s">
        <v>28</v>
      </c>
      <c r="CL108" s="17">
        <v>1</v>
      </c>
      <c r="CM108" s="7" t="s">
        <v>8</v>
      </c>
      <c r="CN108" s="17">
        <v>0</v>
      </c>
      <c r="CO108" s="7" t="s">
        <v>8</v>
      </c>
      <c r="CP108" s="18">
        <v>0</v>
      </c>
      <c r="CQ108" s="7" t="s">
        <v>103</v>
      </c>
      <c r="CR108" s="7" t="s">
        <v>55</v>
      </c>
      <c r="CS108" s="7" t="s">
        <v>105</v>
      </c>
      <c r="CT108" s="7" t="s">
        <v>736</v>
      </c>
      <c r="CU108" s="7" t="s">
        <v>1210</v>
      </c>
      <c r="CV108" s="8" t="s">
        <v>1325</v>
      </c>
    </row>
    <row r="109" spans="1:100" ht="256.5">
      <c r="A109" s="1">
        <f t="shared" si="1"/>
        <v>108</v>
      </c>
      <c r="B109" s="9">
        <v>744</v>
      </c>
      <c r="C109" s="10">
        <v>44960</v>
      </c>
      <c r="D109" s="11" t="s">
        <v>1326</v>
      </c>
      <c r="E109" s="10">
        <v>18665</v>
      </c>
      <c r="F109" s="29">
        <f ca="1">_xlfn.DAYS(NOW(),Tabella1[[#This Row],[Data di Nascita]])/365.25</f>
        <v>74.491444216290219</v>
      </c>
      <c r="G109" s="11" t="s">
        <v>1327</v>
      </c>
      <c r="H109" s="11" t="s">
        <v>1328</v>
      </c>
      <c r="I109" s="11" t="s">
        <v>816</v>
      </c>
      <c r="J109" s="11" t="s">
        <v>618</v>
      </c>
      <c r="K109" s="11" t="s">
        <v>881</v>
      </c>
      <c r="L109" s="18">
        <f>IF(ISERROR(SEARCH("EX",Tabella1[[#This Row],[Attività lavorativa]],1)),0,1)</f>
        <v>0</v>
      </c>
      <c r="M109" s="18"/>
      <c r="N109" s="18"/>
      <c r="O109" s="18"/>
      <c r="P109" s="18"/>
      <c r="Q109" s="18"/>
      <c r="R109" s="18"/>
      <c r="S109" s="18"/>
      <c r="T109" s="17">
        <f>IF(ISERROR(SEARCH("NDD",Tabella1[[#This Row],[Attività lavorativa]],1)),0,1)</f>
        <v>0</v>
      </c>
      <c r="U109" s="11" t="s">
        <v>1329</v>
      </c>
      <c r="V109" s="22">
        <v>15</v>
      </c>
      <c r="W109" s="22">
        <f>IF(ISERROR(SEARCH("ex",Tabella1[[#This Row],[Fumo]],1)),0,1)</f>
        <v>0</v>
      </c>
      <c r="X109" s="22">
        <f>IF(ISERROR(SEARCH("no",Tabella1[[#This Row],[Fumo]],1)),0,1)</f>
        <v>0</v>
      </c>
      <c r="Y109" s="11" t="s">
        <v>25</v>
      </c>
      <c r="Z109" s="18">
        <f>IF(ISERROR(SEARCH("NDD",Tabella1[[#This Row],[Bevitore alcolici]],1)),0,1)</f>
        <v>0</v>
      </c>
      <c r="AA109" s="17">
        <f>IF(ISERROR(SEARCH("raro",Tabella1[[#This Row],[Bevitore alcolici]],1)),0,1)</f>
        <v>0</v>
      </c>
      <c r="AB109" s="17">
        <f>IF(ISERROR(SEARCH("saltuariamente",Tabella1[[#This Row],[Bevitore alcolici]],1)),0,1)</f>
        <v>0</v>
      </c>
      <c r="AC109" s="17">
        <f>IF(ISERROR(SEARCH("nega",Tabella1[[#This Row],[Bevitore alcolici]],1)),0,1)</f>
        <v>1</v>
      </c>
      <c r="AD109" s="17">
        <f>IF(ISERROR(SEARCH("potus",Tabella1[[#This Row],[Bevitore alcolici]],1)),0,1)</f>
        <v>0</v>
      </c>
      <c r="AE109" s="11" t="s">
        <v>5646</v>
      </c>
      <c r="AF109" s="18"/>
      <c r="AG109" s="18"/>
      <c r="AH109" s="18"/>
      <c r="AI109" s="18"/>
      <c r="AJ109" s="18"/>
      <c r="AK109" s="11" t="s">
        <v>28</v>
      </c>
      <c r="AL109" s="18">
        <f>IF(ISERROR(SEARCH("si",Tabella1[[#This Row],[Patente di guida]],1)),0,1)</f>
        <v>1</v>
      </c>
      <c r="AM109" s="11" t="s">
        <v>28</v>
      </c>
      <c r="AN109" s="18">
        <f>IF(ISERROR(SEARCH("no",Tabella1[[#This Row],[Ipertensione]],1)),0,1)</f>
        <v>0</v>
      </c>
      <c r="AO109" s="11" t="s">
        <v>1330</v>
      </c>
      <c r="AP109" s="18">
        <f>IF(ISERROR(SEARCH("NO",Tabella1[[#This Row],[Cardiopatia ischemica]],1)),1,0)</f>
        <v>1</v>
      </c>
      <c r="AQ109" s="17">
        <f>IF(ISERROR(SEARCH("sconosciuto",Tabella1[[#This Row],[Cardiopatia ischemica]],1)),0,1)</f>
        <v>0</v>
      </c>
      <c r="AR109" s="11" t="s">
        <v>25</v>
      </c>
      <c r="AS109" s="22">
        <f>IF(ISERROR(SEARCH("nega",Tabella1[[#This Row],[Artimie]],1)),0,1)</f>
        <v>1</v>
      </c>
      <c r="AT109" s="11" t="s">
        <v>25</v>
      </c>
      <c r="AU109" s="22">
        <f>IF(ISERROR(SEARCH("nega",Tabella1[[#This Row],[Ipercolesterolemia]],1)),0,1)</f>
        <v>1</v>
      </c>
      <c r="AV109" s="22">
        <f>IF(ISERROR(SEARCH("boh",Tabella1[[#This Row],[Ipercolesterolemia]],1)),0,1)</f>
        <v>0</v>
      </c>
      <c r="AW109" s="11" t="s">
        <v>8</v>
      </c>
      <c r="AX109" s="22">
        <f>IF(ISERROR(SEARCH("Intolleranza",Tabella1[[#This Row],[Diabete]],1)),0,1)</f>
        <v>0</v>
      </c>
      <c r="AY109" s="22">
        <f>IF(ISERROR(SEARCH("si",Tabella1[[#This Row],[Diabete]],1)),0,1)</f>
        <v>0</v>
      </c>
      <c r="AZ109" s="11" t="s">
        <v>8</v>
      </c>
      <c r="BA109" s="18">
        <f>IF(ISERROR(SEARCH("NDD",Tabella1[[#This Row],[Patologia Tiroidea]],1)),0,1)</f>
        <v>0</v>
      </c>
      <c r="BB109" s="22">
        <f>IF(ISERROR(SEARCH("TIROIDITE",Tabella1[[#This Row],[Patologia Tiroidea]],1)),0,1)</f>
        <v>0</v>
      </c>
      <c r="BC109" s="22">
        <f>IF(ISERROR(SEARCH("HASHIMOTO",Tabella1[[#This Row],[Patologia Tiroidea]],1)),0,1)</f>
        <v>0</v>
      </c>
      <c r="BD109" s="22">
        <f>IF(ISERROR(SEARCH("BASEDOW",Tabella1[[#This Row],[Patologia Tiroidea]],1)),0,1)</f>
        <v>0</v>
      </c>
      <c r="BE109" s="22">
        <f>IF(ISERROR(SEARCH("NOD",Tabella1[[#This Row],[Patologia Tiroidea]],1)),0,1)</f>
        <v>0</v>
      </c>
      <c r="BF109" s="22">
        <f>IF(ISERROR(SEARCH("GOZ",Tabella1[[#This Row],[Patologia Tiroidea]],1)),0,1)</f>
        <v>0</v>
      </c>
      <c r="BG109" s="11" t="s">
        <v>28</v>
      </c>
      <c r="BH109" s="18">
        <f>IF(Tabella1[[#This Row],[Obesità]]="no",0,1)</f>
        <v>1</v>
      </c>
      <c r="BI109" s="11" t="s">
        <v>28</v>
      </c>
      <c r="BJ109" s="22">
        <f>IF(ISERROR(SEARCH("nega",Tabella1[[#This Row],[Reflusso gastroesofageo]],1)),1,0)</f>
        <v>1</v>
      </c>
      <c r="BK109" s="11" t="s">
        <v>1331</v>
      </c>
      <c r="BL109" s="18">
        <f>IF(ISERROR(SEARCH("NDD",Tabella1[[#This Row],[Patologia respiratoria]],1)),0,1)</f>
        <v>0</v>
      </c>
      <c r="BM109" s="18">
        <f>IF(ISERROR(SEARCH("asma",Tabella1[[#This Row],[Patologia respiratoria]],1)),0,1)</f>
        <v>0</v>
      </c>
      <c r="BN109" s="18">
        <f>IF(ISERROR(SEARCH("BPCO",Tabella1[[#This Row],[Patologia respiratoria]],1)),0,1)</f>
        <v>0</v>
      </c>
      <c r="BO109" s="18">
        <f>IF(ISERROR(SEARCH("BRONCOPOLMONITE",Tabella1[[#This Row],[Patologia respiratoria]],1)),0,1)</f>
        <v>0</v>
      </c>
      <c r="BP109" s="18">
        <f>IF(ISERROR(SEARCH("ASMA, OSAS",Tabella1[[#This Row],[Patologia respiratoria]],1)),0,1)</f>
        <v>0</v>
      </c>
      <c r="BQ109" s="18">
        <f>IF(ISERROR(SEARCH("OSAS e BPCO",Tabella1[[#This Row],[Patologia respiratoria]],1)),0,1)</f>
        <v>0</v>
      </c>
      <c r="BR109" s="18">
        <f>IF(ISERROR(SEARCH("OSAS",Tabella1[[#This Row],[Patologia respiratoria]],1)),0,1)</f>
        <v>1</v>
      </c>
      <c r="BS109" s="11" t="s">
        <v>1332</v>
      </c>
      <c r="BT109" s="11" t="s">
        <v>1333</v>
      </c>
      <c r="BU109" s="11" t="s">
        <v>8</v>
      </c>
      <c r="BV109" s="18">
        <f>IF(ISERROR(SEARCH("ndd",Tabella1[[#This Row],[O2 terapia]],1)),0,1)</f>
        <v>0</v>
      </c>
      <c r="BW109" s="17">
        <v>0</v>
      </c>
      <c r="BX109" s="11" t="s">
        <v>1334</v>
      </c>
      <c r="BY109" s="11" t="s">
        <v>28</v>
      </c>
      <c r="BZ109" s="17">
        <v>1</v>
      </c>
      <c r="CA109" s="11" t="s">
        <v>8</v>
      </c>
      <c r="CB109" s="17">
        <v>0</v>
      </c>
      <c r="CC109" s="11" t="s">
        <v>28</v>
      </c>
      <c r="CD109" s="17">
        <v>1</v>
      </c>
      <c r="CE109" s="11" t="s">
        <v>8</v>
      </c>
      <c r="CF109" s="18">
        <v>0</v>
      </c>
      <c r="CG109" s="11" t="s">
        <v>28</v>
      </c>
      <c r="CH109" s="17">
        <v>1</v>
      </c>
      <c r="CI109" s="11" t="s">
        <v>28</v>
      </c>
      <c r="CJ109" s="17">
        <v>1</v>
      </c>
      <c r="CK109" s="11" t="s">
        <v>28</v>
      </c>
      <c r="CL109" s="17">
        <v>1</v>
      </c>
      <c r="CM109" s="11" t="s">
        <v>8</v>
      </c>
      <c r="CN109" s="17">
        <v>0</v>
      </c>
      <c r="CO109" s="11" t="s">
        <v>8</v>
      </c>
      <c r="CP109" s="18">
        <v>0</v>
      </c>
      <c r="CQ109" s="11" t="s">
        <v>54</v>
      </c>
      <c r="CR109" s="11" t="s">
        <v>1335</v>
      </c>
      <c r="CS109" s="11" t="s">
        <v>105</v>
      </c>
      <c r="CT109" s="11" t="s">
        <v>595</v>
      </c>
      <c r="CU109" s="11" t="s">
        <v>1336</v>
      </c>
      <c r="CV109" s="12" t="s">
        <v>1337</v>
      </c>
    </row>
    <row r="110" spans="1:100" ht="114">
      <c r="A110" s="1">
        <f t="shared" si="1"/>
        <v>109</v>
      </c>
      <c r="B110" s="5">
        <v>746</v>
      </c>
      <c r="C110" s="6">
        <v>44963</v>
      </c>
      <c r="D110" s="7" t="s">
        <v>1338</v>
      </c>
      <c r="E110" s="6">
        <v>25123</v>
      </c>
      <c r="F110" s="29">
        <f ca="1">_xlfn.DAYS(NOW(),Tabella1[[#This Row],[Data di Nascita]])/365.25</f>
        <v>56.810403832991099</v>
      </c>
      <c r="G110" s="7"/>
      <c r="H110" s="7" t="s">
        <v>1339</v>
      </c>
      <c r="I110" s="7" t="s">
        <v>1340</v>
      </c>
      <c r="J110" s="7" t="s">
        <v>1341</v>
      </c>
      <c r="K110" s="7" t="s">
        <v>881</v>
      </c>
      <c r="L110" s="17">
        <f>IF(ISERROR(SEARCH("EX",Tabella1[[#This Row],[Attività lavorativa]],1)),0,1)</f>
        <v>0</v>
      </c>
      <c r="M110" s="17"/>
      <c r="N110" s="17"/>
      <c r="O110" s="17"/>
      <c r="P110" s="17"/>
      <c r="Q110" s="17"/>
      <c r="R110" s="17"/>
      <c r="S110" s="17"/>
      <c r="T110" s="17">
        <f>IF(ISERROR(SEARCH("NDD",Tabella1[[#This Row],[Attività lavorativa]],1)),0,1)</f>
        <v>0</v>
      </c>
      <c r="U110" s="7" t="s">
        <v>8</v>
      </c>
      <c r="V110" s="22"/>
      <c r="W110" s="22">
        <f>IF(ISERROR(SEARCH("ex",Tabella1[[#This Row],[Fumo]],1)),0,1)</f>
        <v>0</v>
      </c>
      <c r="X110" s="22">
        <f>IF(ISERROR(SEARCH("no",Tabella1[[#This Row],[Fumo]],1)),0,1)</f>
        <v>1</v>
      </c>
      <c r="Y110" s="7" t="s">
        <v>25</v>
      </c>
      <c r="Z110" s="17">
        <f>IF(ISERROR(SEARCH("NDD",Tabella1[[#This Row],[Bevitore alcolici]],1)),0,1)</f>
        <v>0</v>
      </c>
      <c r="AA110" s="17">
        <f>IF(ISERROR(SEARCH("raro",Tabella1[[#This Row],[Bevitore alcolici]],1)),0,1)</f>
        <v>0</v>
      </c>
      <c r="AB110" s="17">
        <f>IF(ISERROR(SEARCH("saltuariamente",Tabella1[[#This Row],[Bevitore alcolici]],1)),0,1)</f>
        <v>0</v>
      </c>
      <c r="AC110" s="17">
        <f>IF(ISERROR(SEARCH("nega",Tabella1[[#This Row],[Bevitore alcolici]],1)),0,1)</f>
        <v>1</v>
      </c>
      <c r="AD110" s="17">
        <f>IF(ISERROR(SEARCH("potus",Tabella1[[#This Row],[Bevitore alcolici]],1)),0,1)</f>
        <v>0</v>
      </c>
      <c r="AE110" s="7" t="s">
        <v>657</v>
      </c>
      <c r="AF110" s="17"/>
      <c r="AG110" s="17"/>
      <c r="AH110" s="17"/>
      <c r="AI110" s="17"/>
      <c r="AJ110" s="17"/>
      <c r="AK110" s="7" t="s">
        <v>8</v>
      </c>
      <c r="AL110" s="17">
        <f>IF(ISERROR(SEARCH("si",Tabella1[[#This Row],[Patente di guida]],1)),0,1)</f>
        <v>0</v>
      </c>
      <c r="AM110" s="7" t="s">
        <v>28</v>
      </c>
      <c r="AN110" s="17">
        <f>IF(ISERROR(SEARCH("no",Tabella1[[#This Row],[Ipertensione]],1)),0,1)</f>
        <v>0</v>
      </c>
      <c r="AO110" s="7" t="s">
        <v>382</v>
      </c>
      <c r="AP110" s="18">
        <f>IF(ISERROR(SEARCH("NO",Tabella1[[#This Row],[Cardiopatia ischemica]],1)),1,0)</f>
        <v>0</v>
      </c>
      <c r="AQ110" s="17">
        <f>IF(ISERROR(SEARCH("sconosciuto",Tabella1[[#This Row],[Cardiopatia ischemica]],1)),0,1)</f>
        <v>0</v>
      </c>
      <c r="AR110" s="7" t="s">
        <v>25</v>
      </c>
      <c r="AS110" s="17">
        <f>IF(ISERROR(SEARCH("nega",Tabella1[[#This Row],[Artimie]],1)),0,1)</f>
        <v>1</v>
      </c>
      <c r="AT110" s="7" t="s">
        <v>25</v>
      </c>
      <c r="AU110" s="17">
        <f>IF(ISERROR(SEARCH("nega",Tabella1[[#This Row],[Ipercolesterolemia]],1)),0,1)</f>
        <v>1</v>
      </c>
      <c r="AV110" s="17">
        <f>IF(ISERROR(SEARCH("boh",Tabella1[[#This Row],[Ipercolesterolemia]],1)),0,1)</f>
        <v>0</v>
      </c>
      <c r="AW110" s="7" t="s">
        <v>8</v>
      </c>
      <c r="AX110" s="17">
        <f>IF(ISERROR(SEARCH("Intolleranza",Tabella1[[#This Row],[Diabete]],1)),0,1)</f>
        <v>0</v>
      </c>
      <c r="AY110" s="17">
        <f>IF(ISERROR(SEARCH("si",Tabella1[[#This Row],[Diabete]],1)),0,1)</f>
        <v>0</v>
      </c>
      <c r="AZ110" s="7" t="s">
        <v>8</v>
      </c>
      <c r="BA110" s="17">
        <f>IF(ISERROR(SEARCH("NDD",Tabella1[[#This Row],[Patologia Tiroidea]],1)),0,1)</f>
        <v>0</v>
      </c>
      <c r="BB110" s="17">
        <f>IF(ISERROR(SEARCH("TIROIDITE",Tabella1[[#This Row],[Patologia Tiroidea]],1)),0,1)</f>
        <v>0</v>
      </c>
      <c r="BC110" s="17">
        <f>IF(ISERROR(SEARCH("HASHIMOTO",Tabella1[[#This Row],[Patologia Tiroidea]],1)),0,1)</f>
        <v>0</v>
      </c>
      <c r="BD110" s="17">
        <f>IF(ISERROR(SEARCH("BASEDOW",Tabella1[[#This Row],[Patologia Tiroidea]],1)),0,1)</f>
        <v>0</v>
      </c>
      <c r="BE110" s="17">
        <f>IF(ISERROR(SEARCH("NOD",Tabella1[[#This Row],[Patologia Tiroidea]],1)),0,1)</f>
        <v>0</v>
      </c>
      <c r="BF110" s="17">
        <f>IF(ISERROR(SEARCH("GOZ",Tabella1[[#This Row],[Patologia Tiroidea]],1)),0,1)</f>
        <v>0</v>
      </c>
      <c r="BG110" s="7" t="s">
        <v>28</v>
      </c>
      <c r="BH110" s="17">
        <f>IF(Tabella1[[#This Row],[Obesità]]="no",0,1)</f>
        <v>1</v>
      </c>
      <c r="BI110" s="7" t="s">
        <v>25</v>
      </c>
      <c r="BJ110" s="22">
        <f>IF(ISERROR(SEARCH("nega",Tabella1[[#This Row],[Reflusso gastroesofageo]],1)),1,0)</f>
        <v>0</v>
      </c>
      <c r="BK110" s="7" t="s">
        <v>8</v>
      </c>
      <c r="BL110" s="17">
        <f>IF(ISERROR(SEARCH("NDD",Tabella1[[#This Row],[Patologia respiratoria]],1)),0,1)</f>
        <v>0</v>
      </c>
      <c r="BM110" s="17">
        <f>IF(ISERROR(SEARCH("asma",Tabella1[[#This Row],[Patologia respiratoria]],1)),0,1)</f>
        <v>0</v>
      </c>
      <c r="BN110" s="17">
        <f>IF(ISERROR(SEARCH("BPCO",Tabella1[[#This Row],[Patologia respiratoria]],1)),0,1)</f>
        <v>0</v>
      </c>
      <c r="BO110" s="17">
        <f>IF(ISERROR(SEARCH("BRONCOPOLMONITE",Tabella1[[#This Row],[Patologia respiratoria]],1)),0,1)</f>
        <v>0</v>
      </c>
      <c r="BP110" s="17">
        <f>IF(ISERROR(SEARCH("ASMA, OSAS",Tabella1[[#This Row],[Patologia respiratoria]],1)),0,1)</f>
        <v>0</v>
      </c>
      <c r="BQ110" s="17">
        <f>IF(ISERROR(SEARCH("OSAS e BPCO",Tabella1[[#This Row],[Patologia respiratoria]],1)),0,1)</f>
        <v>0</v>
      </c>
      <c r="BR110" s="17">
        <f>IF(ISERROR(SEARCH("OSAS",Tabella1[[#This Row],[Patologia respiratoria]],1)),0,1)</f>
        <v>0</v>
      </c>
      <c r="BS110" s="7"/>
      <c r="BT110" s="7"/>
      <c r="BU110" s="7" t="s">
        <v>5477</v>
      </c>
      <c r="BV110" s="17">
        <f>IF(ISERROR(SEARCH("ndd",Tabella1[[#This Row],[O2 terapia]],1)),0,1)</f>
        <v>1</v>
      </c>
      <c r="BW110" s="17"/>
      <c r="BX110" s="7"/>
      <c r="BY110" s="7" t="s">
        <v>8</v>
      </c>
      <c r="BZ110" s="18">
        <v>0</v>
      </c>
      <c r="CA110" s="7" t="s">
        <v>28</v>
      </c>
      <c r="CB110" s="17">
        <v>1</v>
      </c>
      <c r="CC110" s="7" t="s">
        <v>28</v>
      </c>
      <c r="CD110" s="17">
        <v>1</v>
      </c>
      <c r="CE110" s="7" t="s">
        <v>8</v>
      </c>
      <c r="CF110" s="18">
        <v>0</v>
      </c>
      <c r="CG110" s="7" t="s">
        <v>1307</v>
      </c>
      <c r="CH110" s="17">
        <v>1</v>
      </c>
      <c r="CI110" s="7" t="s">
        <v>8</v>
      </c>
      <c r="CJ110" s="18">
        <v>0</v>
      </c>
      <c r="CK110" s="7" t="s">
        <v>28</v>
      </c>
      <c r="CL110" s="17">
        <v>1</v>
      </c>
      <c r="CM110" s="7" t="s">
        <v>28</v>
      </c>
      <c r="CN110" s="17">
        <v>1</v>
      </c>
      <c r="CO110" s="7" t="s">
        <v>8</v>
      </c>
      <c r="CP110" s="18">
        <v>0</v>
      </c>
      <c r="CQ110" s="7" t="s">
        <v>13</v>
      </c>
      <c r="CR110" s="7" t="s">
        <v>495</v>
      </c>
      <c r="CS110" s="7" t="s">
        <v>219</v>
      </c>
      <c r="CT110" s="7" t="s">
        <v>154</v>
      </c>
      <c r="CU110" s="7" t="s">
        <v>1210</v>
      </c>
      <c r="CV110" s="8" t="s">
        <v>1342</v>
      </c>
    </row>
    <row r="111" spans="1:100" ht="384.75">
      <c r="A111" s="1">
        <f t="shared" si="1"/>
        <v>110</v>
      </c>
      <c r="B111" s="9">
        <v>751</v>
      </c>
      <c r="C111" s="10">
        <v>44965</v>
      </c>
      <c r="D111" s="11" t="s">
        <v>1343</v>
      </c>
      <c r="E111" s="10">
        <v>23887</v>
      </c>
      <c r="F111" s="29">
        <f ca="1">_xlfn.DAYS(NOW(),Tabella1[[#This Row],[Data di Nascita]])/365.25</f>
        <v>60.194387405886381</v>
      </c>
      <c r="G111" s="11" t="s">
        <v>1344</v>
      </c>
      <c r="H111" s="11" t="s">
        <v>1345</v>
      </c>
      <c r="I111" s="11" t="s">
        <v>816</v>
      </c>
      <c r="J111" s="11" t="s">
        <v>1346</v>
      </c>
      <c r="K111" s="11" t="s">
        <v>1347</v>
      </c>
      <c r="L111" s="18">
        <f>IF(ISERROR(SEARCH("EX",Tabella1[[#This Row],[Attività lavorativa]],1)),0,1)</f>
        <v>0</v>
      </c>
      <c r="M111" s="18"/>
      <c r="N111" s="18"/>
      <c r="O111" s="18"/>
      <c r="P111" s="18"/>
      <c r="Q111" s="18"/>
      <c r="R111" s="18"/>
      <c r="S111" s="18"/>
      <c r="T111" s="17">
        <f>IF(ISERROR(SEARCH("NDD",Tabella1[[#This Row],[Attività lavorativa]],1)),0,1)</f>
        <v>0</v>
      </c>
      <c r="U111" s="11" t="s">
        <v>8</v>
      </c>
      <c r="V111" s="22"/>
      <c r="W111" s="22">
        <f>IF(ISERROR(SEARCH("ex",Tabella1[[#This Row],[Fumo]],1)),0,1)</f>
        <v>0</v>
      </c>
      <c r="X111" s="22">
        <f>IF(ISERROR(SEARCH("no",Tabella1[[#This Row],[Fumo]],1)),0,1)</f>
        <v>1</v>
      </c>
      <c r="Y111" s="11" t="s">
        <v>1348</v>
      </c>
      <c r="Z111" s="18">
        <f>IF(ISERROR(SEARCH("NDD",Tabella1[[#This Row],[Bevitore alcolici]],1)),0,1)</f>
        <v>0</v>
      </c>
      <c r="AA111" s="17">
        <f>IF(ISERROR(SEARCH("raro",Tabella1[[#This Row],[Bevitore alcolici]],1)),0,1)</f>
        <v>0</v>
      </c>
      <c r="AB111" s="17">
        <f>IF(ISERROR(SEARCH("saltuariamente",Tabella1[[#This Row],[Bevitore alcolici]],1)),0,1)</f>
        <v>0</v>
      </c>
      <c r="AC111" s="17">
        <f>IF(ISERROR(SEARCH("nega",Tabella1[[#This Row],[Bevitore alcolici]],1)),0,1)</f>
        <v>0</v>
      </c>
      <c r="AD111" s="17">
        <f>IF(ISERROR(SEARCH("potus",Tabella1[[#This Row],[Bevitore alcolici]],1)),0,1)</f>
        <v>0</v>
      </c>
      <c r="AE111" s="11" t="s">
        <v>657</v>
      </c>
      <c r="AF111" s="18"/>
      <c r="AG111" s="18"/>
      <c r="AH111" s="18"/>
      <c r="AI111" s="18"/>
      <c r="AJ111" s="18"/>
      <c r="AK111" s="11" t="s">
        <v>28</v>
      </c>
      <c r="AL111" s="18">
        <f>IF(ISERROR(SEARCH("si",Tabella1[[#This Row],[Patente di guida]],1)),0,1)</f>
        <v>1</v>
      </c>
      <c r="AM111" s="11" t="s">
        <v>28</v>
      </c>
      <c r="AN111" s="18">
        <f>IF(ISERROR(SEARCH("no",Tabella1[[#This Row],[Ipertensione]],1)),0,1)</f>
        <v>0</v>
      </c>
      <c r="AO111" s="11" t="s">
        <v>382</v>
      </c>
      <c r="AP111" s="18">
        <f>IF(ISERROR(SEARCH("NO",Tabella1[[#This Row],[Cardiopatia ischemica]],1)),1,0)</f>
        <v>0</v>
      </c>
      <c r="AQ111" s="17">
        <f>IF(ISERROR(SEARCH("sconosciuto",Tabella1[[#This Row],[Cardiopatia ischemica]],1)),0,1)</f>
        <v>0</v>
      </c>
      <c r="AR111" s="11" t="s">
        <v>25</v>
      </c>
      <c r="AS111" s="22">
        <f>IF(ISERROR(SEARCH("nega",Tabella1[[#This Row],[Artimie]],1)),0,1)</f>
        <v>1</v>
      </c>
      <c r="AT111" s="11" t="s">
        <v>25</v>
      </c>
      <c r="AU111" s="22">
        <f>IF(ISERROR(SEARCH("nega",Tabella1[[#This Row],[Ipercolesterolemia]],1)),0,1)</f>
        <v>1</v>
      </c>
      <c r="AV111" s="22">
        <f>IF(ISERROR(SEARCH("boh",Tabella1[[#This Row],[Ipercolesterolemia]],1)),0,1)</f>
        <v>0</v>
      </c>
      <c r="AW111" s="11" t="s">
        <v>8</v>
      </c>
      <c r="AX111" s="22">
        <f>IF(ISERROR(SEARCH("Intolleranza",Tabella1[[#This Row],[Diabete]],1)),0,1)</f>
        <v>0</v>
      </c>
      <c r="AY111" s="22">
        <f>IF(ISERROR(SEARCH("si",Tabella1[[#This Row],[Diabete]],1)),0,1)</f>
        <v>0</v>
      </c>
      <c r="AZ111" s="11" t="s">
        <v>8</v>
      </c>
      <c r="BA111" s="18">
        <f>IF(ISERROR(SEARCH("NDD",Tabella1[[#This Row],[Patologia Tiroidea]],1)),0,1)</f>
        <v>0</v>
      </c>
      <c r="BB111" s="22">
        <f>IF(ISERROR(SEARCH("TIROIDITE",Tabella1[[#This Row],[Patologia Tiroidea]],1)),0,1)</f>
        <v>0</v>
      </c>
      <c r="BC111" s="22">
        <f>IF(ISERROR(SEARCH("HASHIMOTO",Tabella1[[#This Row],[Patologia Tiroidea]],1)),0,1)</f>
        <v>0</v>
      </c>
      <c r="BD111" s="22">
        <f>IF(ISERROR(SEARCH("BASEDOW",Tabella1[[#This Row],[Patologia Tiroidea]],1)),0,1)</f>
        <v>0</v>
      </c>
      <c r="BE111" s="22">
        <f>IF(ISERROR(SEARCH("NOD",Tabella1[[#This Row],[Patologia Tiroidea]],1)),0,1)</f>
        <v>0</v>
      </c>
      <c r="BF111" s="22">
        <f>IF(ISERROR(SEARCH("GOZ",Tabella1[[#This Row],[Patologia Tiroidea]],1)),0,1)</f>
        <v>0</v>
      </c>
      <c r="BG111" s="11" t="s">
        <v>8</v>
      </c>
      <c r="BH111" s="18">
        <f>IF(Tabella1[[#This Row],[Obesità]]="no",0,1)</f>
        <v>0</v>
      </c>
      <c r="BI111" s="11" t="s">
        <v>25</v>
      </c>
      <c r="BJ111" s="22">
        <f>IF(ISERROR(SEARCH("nega",Tabella1[[#This Row],[Reflusso gastroesofageo]],1)),1,0)</f>
        <v>0</v>
      </c>
      <c r="BK111" s="11" t="s">
        <v>3803</v>
      </c>
      <c r="BL111" s="18">
        <f>IF(ISERROR(SEARCH("NDD",Tabella1[[#This Row],[Patologia respiratoria]],1)),0,1)</f>
        <v>0</v>
      </c>
      <c r="BM111" s="18">
        <f>IF(ISERROR(SEARCH("asma",Tabella1[[#This Row],[Patologia respiratoria]],1)),0,1)</f>
        <v>1</v>
      </c>
      <c r="BN111" s="18">
        <f>IF(ISERROR(SEARCH("BPCO",Tabella1[[#This Row],[Patologia respiratoria]],1)),0,1)</f>
        <v>0</v>
      </c>
      <c r="BO111" s="18">
        <f>IF(ISERROR(SEARCH("BRONCOPOLMONITE",Tabella1[[#This Row],[Patologia respiratoria]],1)),0,1)</f>
        <v>0</v>
      </c>
      <c r="BP111" s="18">
        <f>IF(ISERROR(SEARCH("ASMA, OSAS",Tabella1[[#This Row],[Patologia respiratoria]],1)),0,1)</f>
        <v>0</v>
      </c>
      <c r="BQ111" s="18">
        <f>IF(ISERROR(SEARCH("OSAS e BPCO",Tabella1[[#This Row],[Patologia respiratoria]],1)),0,1)</f>
        <v>0</v>
      </c>
      <c r="BR111" s="18">
        <f>IF(ISERROR(SEARCH("OSAS",Tabella1[[#This Row],[Patologia respiratoria]],1)),0,1)</f>
        <v>0</v>
      </c>
      <c r="BS111" s="11"/>
      <c r="BT111" s="11" t="s">
        <v>1349</v>
      </c>
      <c r="BU111" s="11" t="s">
        <v>8</v>
      </c>
      <c r="BV111" s="18">
        <f>IF(ISERROR(SEARCH("ndd",Tabella1[[#This Row],[O2 terapia]],1)),0,1)</f>
        <v>0</v>
      </c>
      <c r="BW111" s="17">
        <v>0</v>
      </c>
      <c r="BX111" s="11" t="s">
        <v>1350</v>
      </c>
      <c r="BY111" s="11" t="s">
        <v>8</v>
      </c>
      <c r="BZ111" s="18">
        <v>0</v>
      </c>
      <c r="CA111" s="11" t="s">
        <v>28</v>
      </c>
      <c r="CB111" s="17">
        <v>1</v>
      </c>
      <c r="CC111" s="11" t="s">
        <v>8</v>
      </c>
      <c r="CD111" s="18">
        <v>0</v>
      </c>
      <c r="CE111" s="11" t="s">
        <v>8</v>
      </c>
      <c r="CF111" s="18">
        <v>0</v>
      </c>
      <c r="CG111" s="11" t="s">
        <v>8</v>
      </c>
      <c r="CH111" s="17">
        <v>0</v>
      </c>
      <c r="CI111" s="11" t="s">
        <v>8</v>
      </c>
      <c r="CJ111" s="18">
        <v>0</v>
      </c>
      <c r="CK111" s="11" t="s">
        <v>28</v>
      </c>
      <c r="CL111" s="17">
        <v>1</v>
      </c>
      <c r="CM111" s="11" t="s">
        <v>28</v>
      </c>
      <c r="CN111" s="17">
        <v>1</v>
      </c>
      <c r="CO111" s="11" t="s">
        <v>28</v>
      </c>
      <c r="CP111" s="17">
        <v>1</v>
      </c>
      <c r="CQ111" s="11" t="s">
        <v>202</v>
      </c>
      <c r="CR111" s="11" t="s">
        <v>1351</v>
      </c>
      <c r="CS111" s="11" t="s">
        <v>105</v>
      </c>
      <c r="CT111" s="11" t="s">
        <v>1352</v>
      </c>
      <c r="CU111" s="11" t="s">
        <v>1353</v>
      </c>
      <c r="CV111" s="12" t="s">
        <v>1354</v>
      </c>
    </row>
    <row r="112" spans="1:100" ht="242.25">
      <c r="A112" s="1">
        <f t="shared" si="1"/>
        <v>111</v>
      </c>
      <c r="B112" s="5">
        <v>754</v>
      </c>
      <c r="C112" s="6">
        <v>44967</v>
      </c>
      <c r="D112" s="7" t="s">
        <v>1355</v>
      </c>
      <c r="E112" s="6">
        <v>23404</v>
      </c>
      <c r="F112" s="29">
        <f ca="1">_xlfn.DAYS(NOW(),Tabella1[[#This Row],[Data di Nascita]])/365.25</f>
        <v>61.516769336071185</v>
      </c>
      <c r="G112" s="7" t="s">
        <v>1356</v>
      </c>
      <c r="H112" s="7" t="s">
        <v>1357</v>
      </c>
      <c r="I112" s="7" t="s">
        <v>816</v>
      </c>
      <c r="J112" s="7" t="s">
        <v>1358</v>
      </c>
      <c r="K112" s="7" t="s">
        <v>1359</v>
      </c>
      <c r="L112" s="17">
        <f>IF(ISERROR(SEARCH("EX",Tabella1[[#This Row],[Attività lavorativa]],1)),0,1)</f>
        <v>0</v>
      </c>
      <c r="M112" s="18">
        <v>1</v>
      </c>
      <c r="N112" s="18"/>
      <c r="O112" s="18"/>
      <c r="P112" s="18"/>
      <c r="Q112" s="18"/>
      <c r="R112" s="18"/>
      <c r="S112" s="18"/>
      <c r="T112" s="17">
        <f>IF(ISERROR(SEARCH("NDD",Tabella1[[#This Row],[Attività lavorativa]],1)),0,1)</f>
        <v>0</v>
      </c>
      <c r="U112" s="7" t="s">
        <v>1360</v>
      </c>
      <c r="V112" s="22">
        <v>5</v>
      </c>
      <c r="W112" s="22">
        <f>IF(ISERROR(SEARCH("ex",Tabella1[[#This Row],[Fumo]],1)),0,1)</f>
        <v>0</v>
      </c>
      <c r="X112" s="22">
        <f>IF(ISERROR(SEARCH("no",Tabella1[[#This Row],[Fumo]],1)),0,1)</f>
        <v>0</v>
      </c>
      <c r="Y112" s="7" t="s">
        <v>25</v>
      </c>
      <c r="Z112" s="17">
        <f>IF(ISERROR(SEARCH("NDD",Tabella1[[#This Row],[Bevitore alcolici]],1)),0,1)</f>
        <v>0</v>
      </c>
      <c r="AA112" s="17">
        <f>IF(ISERROR(SEARCH("raro",Tabella1[[#This Row],[Bevitore alcolici]],1)),0,1)</f>
        <v>0</v>
      </c>
      <c r="AB112" s="17">
        <f>IF(ISERROR(SEARCH("saltuariamente",Tabella1[[#This Row],[Bevitore alcolici]],1)),0,1)</f>
        <v>0</v>
      </c>
      <c r="AC112" s="17">
        <f>IF(ISERROR(SEARCH("nega",Tabella1[[#This Row],[Bevitore alcolici]],1)),0,1)</f>
        <v>1</v>
      </c>
      <c r="AD112" s="17">
        <f>IF(ISERROR(SEARCH("potus",Tabella1[[#This Row],[Bevitore alcolici]],1)),0,1)</f>
        <v>0</v>
      </c>
      <c r="AE112" s="7" t="s">
        <v>1361</v>
      </c>
      <c r="AF112" s="17"/>
      <c r="AG112" s="17"/>
      <c r="AH112" s="18">
        <v>1</v>
      </c>
      <c r="AI112" s="18"/>
      <c r="AJ112" s="18"/>
      <c r="AK112" s="7" t="s">
        <v>28</v>
      </c>
      <c r="AL112" s="17">
        <f>IF(ISERROR(SEARCH("si",Tabella1[[#This Row],[Patente di guida]],1)),0,1)</f>
        <v>1</v>
      </c>
      <c r="AM112" s="7" t="s">
        <v>8</v>
      </c>
      <c r="AN112" s="17">
        <f>IF(ISERROR(SEARCH("no",Tabella1[[#This Row],[Ipertensione]],1)),0,1)</f>
        <v>1</v>
      </c>
      <c r="AO112" s="7" t="s">
        <v>382</v>
      </c>
      <c r="AP112" s="18">
        <f>IF(ISERROR(SEARCH("NO",Tabella1[[#This Row],[Cardiopatia ischemica]],1)),1,0)</f>
        <v>0</v>
      </c>
      <c r="AQ112" s="17">
        <f>IF(ISERROR(SEARCH("sconosciuto",Tabella1[[#This Row],[Cardiopatia ischemica]],1)),0,1)</f>
        <v>0</v>
      </c>
      <c r="AR112" s="7" t="s">
        <v>25</v>
      </c>
      <c r="AS112" s="22">
        <f>IF(ISERROR(SEARCH("nega",Tabella1[[#This Row],[Artimie]],1)),0,1)</f>
        <v>1</v>
      </c>
      <c r="AT112" s="7" t="s">
        <v>25</v>
      </c>
      <c r="AU112" s="22">
        <f>IF(ISERROR(SEARCH("nega",Tabella1[[#This Row],[Ipercolesterolemia]],1)),0,1)</f>
        <v>1</v>
      </c>
      <c r="AV112" s="22">
        <f>IF(ISERROR(SEARCH("boh",Tabella1[[#This Row],[Ipercolesterolemia]],1)),0,1)</f>
        <v>0</v>
      </c>
      <c r="AW112" s="7" t="s">
        <v>8</v>
      </c>
      <c r="AX112" s="22">
        <f>IF(ISERROR(SEARCH("Intolleranza",Tabella1[[#This Row],[Diabete]],1)),0,1)</f>
        <v>0</v>
      </c>
      <c r="AY112" s="22">
        <f>IF(ISERROR(SEARCH("si",Tabella1[[#This Row],[Diabete]],1)),0,1)</f>
        <v>0</v>
      </c>
      <c r="AZ112" s="7" t="s">
        <v>8</v>
      </c>
      <c r="BA112" s="17">
        <f>IF(ISERROR(SEARCH("NDD",Tabella1[[#This Row],[Patologia Tiroidea]],1)),0,1)</f>
        <v>0</v>
      </c>
      <c r="BB112" s="22">
        <f>IF(ISERROR(SEARCH("TIROIDITE",Tabella1[[#This Row],[Patologia Tiroidea]],1)),0,1)</f>
        <v>0</v>
      </c>
      <c r="BC112" s="22">
        <f>IF(ISERROR(SEARCH("HASHIMOTO",Tabella1[[#This Row],[Patologia Tiroidea]],1)),0,1)</f>
        <v>0</v>
      </c>
      <c r="BD112" s="22">
        <f>IF(ISERROR(SEARCH("BASEDOW",Tabella1[[#This Row],[Patologia Tiroidea]],1)),0,1)</f>
        <v>0</v>
      </c>
      <c r="BE112" s="22">
        <f>IF(ISERROR(SEARCH("NOD",Tabella1[[#This Row],[Patologia Tiroidea]],1)),0,1)</f>
        <v>0</v>
      </c>
      <c r="BF112" s="22">
        <f>IF(ISERROR(SEARCH("GOZ",Tabella1[[#This Row],[Patologia Tiroidea]],1)),0,1)</f>
        <v>0</v>
      </c>
      <c r="BG112" s="7" t="s">
        <v>28</v>
      </c>
      <c r="BH112" s="17">
        <f>IF(Tabella1[[#This Row],[Obesità]]="no",0,1)</f>
        <v>1</v>
      </c>
      <c r="BI112" s="7" t="s">
        <v>28</v>
      </c>
      <c r="BJ112" s="22">
        <f>IF(ISERROR(SEARCH("nega",Tabella1[[#This Row],[Reflusso gastroesofageo]],1)),1,0)</f>
        <v>1</v>
      </c>
      <c r="BK112" s="7" t="s">
        <v>3804</v>
      </c>
      <c r="BL112" s="17">
        <f>IF(ISERROR(SEARCH("NDD",Tabella1[[#This Row],[Patologia respiratoria]],1)),0,1)</f>
        <v>0</v>
      </c>
      <c r="BM112" s="17">
        <f>IF(ISERROR(SEARCH("asma",Tabella1[[#This Row],[Patologia respiratoria]],1)),0,1)</f>
        <v>1</v>
      </c>
      <c r="BN112" s="17">
        <f>IF(ISERROR(SEARCH("BPCO",Tabella1[[#This Row],[Patologia respiratoria]],1)),0,1)</f>
        <v>0</v>
      </c>
      <c r="BO112" s="17">
        <f>IF(ISERROR(SEARCH("BRONCOPOLMONITE",Tabella1[[#This Row],[Patologia respiratoria]],1)),0,1)</f>
        <v>0</v>
      </c>
      <c r="BP112" s="17">
        <f>IF(ISERROR(SEARCH("ASMA, OSAS",Tabella1[[#This Row],[Patologia respiratoria]],1)),0,1)</f>
        <v>1</v>
      </c>
      <c r="BQ112" s="17">
        <f>IF(ISERROR(SEARCH("OSAS e BPCO",Tabella1[[#This Row],[Patologia respiratoria]],1)),0,1)</f>
        <v>0</v>
      </c>
      <c r="BR112" s="17">
        <f>IF(ISERROR(SEARCH("OSAS",Tabella1[[#This Row],[Patologia respiratoria]],1)),0,1)</f>
        <v>1</v>
      </c>
      <c r="BS112" s="7" t="s">
        <v>1362</v>
      </c>
      <c r="BT112" s="7" t="s">
        <v>1363</v>
      </c>
      <c r="BU112" s="7" t="s">
        <v>8</v>
      </c>
      <c r="BV112" s="17">
        <f>IF(ISERROR(SEARCH("ndd",Tabella1[[#This Row],[O2 terapia]],1)),0,1)</f>
        <v>0</v>
      </c>
      <c r="BW112" s="17">
        <v>0</v>
      </c>
      <c r="BX112" s="7" t="s">
        <v>1364</v>
      </c>
      <c r="BY112" s="7" t="s">
        <v>8</v>
      </c>
      <c r="BZ112" s="18">
        <v>0</v>
      </c>
      <c r="CA112" s="7" t="s">
        <v>8</v>
      </c>
      <c r="CB112" s="17">
        <v>0</v>
      </c>
      <c r="CC112" s="7" t="s">
        <v>28</v>
      </c>
      <c r="CD112" s="17">
        <v>1</v>
      </c>
      <c r="CE112" s="7" t="s">
        <v>8</v>
      </c>
      <c r="CF112" s="18">
        <v>0</v>
      </c>
      <c r="CG112" s="7" t="s">
        <v>8</v>
      </c>
      <c r="CH112" s="17">
        <v>0</v>
      </c>
      <c r="CI112" s="7" t="s">
        <v>28</v>
      </c>
      <c r="CJ112" s="17">
        <v>1</v>
      </c>
      <c r="CK112" s="7" t="s">
        <v>28</v>
      </c>
      <c r="CL112" s="17">
        <v>1</v>
      </c>
      <c r="CM112" s="7" t="s">
        <v>28</v>
      </c>
      <c r="CN112" s="17">
        <v>1</v>
      </c>
      <c r="CO112" s="7" t="s">
        <v>28</v>
      </c>
      <c r="CP112" s="17">
        <v>1</v>
      </c>
      <c r="CQ112" s="7" t="s">
        <v>69</v>
      </c>
      <c r="CR112" s="7" t="s">
        <v>1365</v>
      </c>
      <c r="CS112" s="7" t="s">
        <v>219</v>
      </c>
      <c r="CT112" s="7" t="s">
        <v>16</v>
      </c>
      <c r="CU112" s="7" t="s">
        <v>1366</v>
      </c>
      <c r="CV112" s="8" t="s">
        <v>1367</v>
      </c>
    </row>
    <row r="113" spans="1:100" ht="28.5">
      <c r="A113" s="1">
        <f t="shared" si="1"/>
        <v>112</v>
      </c>
      <c r="B113" s="9">
        <v>755</v>
      </c>
      <c r="C113" s="11"/>
      <c r="D113" s="11" t="s">
        <v>1368</v>
      </c>
      <c r="E113" s="10">
        <v>20992</v>
      </c>
      <c r="F113" s="29">
        <f ca="1">_xlfn.DAYS(NOW(),Tabella1[[#This Row],[Data di Nascita]])/365.25</f>
        <v>68.120465434633815</v>
      </c>
      <c r="G113" s="11"/>
      <c r="H113" s="11" t="s">
        <v>1369</v>
      </c>
      <c r="I113" s="11" t="s">
        <v>439</v>
      </c>
      <c r="J113" s="11" t="s">
        <v>1370</v>
      </c>
      <c r="K113" s="11" t="s">
        <v>1371</v>
      </c>
      <c r="L113" s="18">
        <v>1</v>
      </c>
      <c r="M113" s="18"/>
      <c r="N113" s="18"/>
      <c r="O113" s="18"/>
      <c r="P113" s="18"/>
      <c r="Q113" s="18"/>
      <c r="R113" s="18"/>
      <c r="S113" s="18"/>
      <c r="T113" s="17">
        <f>IF(ISERROR(SEARCH("NDD",Tabella1[[#This Row],[Attività lavorativa]],1)),0,1)</f>
        <v>0</v>
      </c>
      <c r="U113" s="11" t="s">
        <v>8</v>
      </c>
      <c r="V113" s="22"/>
      <c r="W113" s="22">
        <f>IF(ISERROR(SEARCH("ex",Tabella1[[#This Row],[Fumo]],1)),0,1)</f>
        <v>0</v>
      </c>
      <c r="X113" s="22">
        <f>IF(ISERROR(SEARCH("no",Tabella1[[#This Row],[Fumo]],1)),0,1)</f>
        <v>1</v>
      </c>
      <c r="Y113" s="11" t="s">
        <v>25</v>
      </c>
      <c r="Z113" s="18">
        <f>IF(ISERROR(SEARCH("NDD",Tabella1[[#This Row],[Bevitore alcolici]],1)),0,1)</f>
        <v>0</v>
      </c>
      <c r="AA113" s="17">
        <f>IF(ISERROR(SEARCH("raro",Tabella1[[#This Row],[Bevitore alcolici]],1)),0,1)</f>
        <v>0</v>
      </c>
      <c r="AB113" s="17">
        <f>IF(ISERROR(SEARCH("saltuariamente",Tabella1[[#This Row],[Bevitore alcolici]],1)),0,1)</f>
        <v>0</v>
      </c>
      <c r="AC113" s="17">
        <f>IF(ISERROR(SEARCH("nega",Tabella1[[#This Row],[Bevitore alcolici]],1)),0,1)</f>
        <v>1</v>
      </c>
      <c r="AD113" s="17">
        <f>IF(ISERROR(SEARCH("potus",Tabella1[[#This Row],[Bevitore alcolici]],1)),0,1)</f>
        <v>0</v>
      </c>
      <c r="AE113" s="11" t="s">
        <v>657</v>
      </c>
      <c r="AF113" s="18"/>
      <c r="AG113" s="18"/>
      <c r="AH113" s="18"/>
      <c r="AI113" s="18"/>
      <c r="AJ113" s="18"/>
      <c r="AK113" s="11" t="s">
        <v>8</v>
      </c>
      <c r="AL113" s="18">
        <f>IF(ISERROR(SEARCH("si",Tabella1[[#This Row],[Patente di guida]],1)),0,1)</f>
        <v>0</v>
      </c>
      <c r="AM113" s="11" t="s">
        <v>195</v>
      </c>
      <c r="AN113" s="18">
        <f>IF(ISERROR(SEARCH("no",Tabella1[[#This Row],[Ipertensione]],1)),0,1)</f>
        <v>1</v>
      </c>
      <c r="AO113" s="11" t="s">
        <v>382</v>
      </c>
      <c r="AP113" s="18">
        <f>IF(ISERROR(SEARCH("NO",Tabella1[[#This Row],[Cardiopatia ischemica]],1)),1,0)</f>
        <v>0</v>
      </c>
      <c r="AQ113" s="17">
        <f>IF(ISERROR(SEARCH("sconosciuto",Tabella1[[#This Row],[Cardiopatia ischemica]],1)),0,1)</f>
        <v>0</v>
      </c>
      <c r="AR113" s="11" t="s">
        <v>859</v>
      </c>
      <c r="AS113" s="18">
        <f>IF(ISERROR(SEARCH("nega",Tabella1[[#This Row],[Artimie]],1)),0,1)</f>
        <v>0</v>
      </c>
      <c r="AT113" s="11" t="s">
        <v>3755</v>
      </c>
      <c r="AU113" s="18">
        <f>IF(ISERROR(SEARCH("nega",Tabella1[[#This Row],[Ipercolesterolemia]],1)),0,1)</f>
        <v>0</v>
      </c>
      <c r="AV113" s="18">
        <f>IF(ISERROR(SEARCH("boh",Tabella1[[#This Row],[Ipercolesterolemia]],1)),0,1)</f>
        <v>1</v>
      </c>
      <c r="AW113" s="11" t="s">
        <v>5477</v>
      </c>
      <c r="AX113" s="18">
        <f>IF(ISERROR(SEARCH("Intolleranza",Tabella1[[#This Row],[Diabete]],1)),0,1)</f>
        <v>0</v>
      </c>
      <c r="AY113" s="18">
        <f>IF(ISERROR(SEARCH("si",Tabella1[[#This Row],[Diabete]],1)),0,1)</f>
        <v>0</v>
      </c>
      <c r="AZ113" s="7" t="s">
        <v>5477</v>
      </c>
      <c r="BA113" s="17">
        <f>IF(ISERROR(SEARCH("NDD",Tabella1[[#This Row],[Patologia Tiroidea]],1)),0,1)</f>
        <v>1</v>
      </c>
      <c r="BB113" s="18">
        <f>IF(ISERROR(SEARCH("TIROIDITE",Tabella1[[#This Row],[Patologia Tiroidea]],1)),0,1)</f>
        <v>0</v>
      </c>
      <c r="BC113" s="18">
        <f>IF(ISERROR(SEARCH("HASHIMOTO",Tabella1[[#This Row],[Patologia Tiroidea]],1)),0,1)</f>
        <v>0</v>
      </c>
      <c r="BD113" s="18">
        <f>IF(ISERROR(SEARCH("BASEDOW",Tabella1[[#This Row],[Patologia Tiroidea]],1)),0,1)</f>
        <v>0</v>
      </c>
      <c r="BE113" s="18">
        <f>IF(ISERROR(SEARCH("NOD",Tabella1[[#This Row],[Patologia Tiroidea]],1)),0,1)</f>
        <v>0</v>
      </c>
      <c r="BF113" s="18">
        <f>IF(ISERROR(SEARCH("GOZ",Tabella1[[#This Row],[Patologia Tiroidea]],1)),0,1)</f>
        <v>0</v>
      </c>
      <c r="BG113" s="11" t="s">
        <v>28</v>
      </c>
      <c r="BH113" s="18">
        <f>IF(Tabella1[[#This Row],[Obesità]]="no",0,1)</f>
        <v>1</v>
      </c>
      <c r="BI113" s="11" t="s">
        <v>5477</v>
      </c>
      <c r="BJ113" s="22">
        <v>0</v>
      </c>
      <c r="BK113" s="7" t="s">
        <v>5477</v>
      </c>
      <c r="BL113" s="17">
        <f>IF(ISERROR(SEARCH("NDD",Tabella1[[#This Row],[Patologia respiratoria]],1)),0,1)</f>
        <v>1</v>
      </c>
      <c r="BM113" s="18">
        <f>IF(ISERROR(SEARCH("asma",Tabella1[[#This Row],[Patologia respiratoria]],1)),0,1)</f>
        <v>0</v>
      </c>
      <c r="BN113" s="18">
        <f>IF(ISERROR(SEARCH("BPCO",Tabella1[[#This Row],[Patologia respiratoria]],1)),0,1)</f>
        <v>0</v>
      </c>
      <c r="BO113" s="18">
        <f>IF(ISERROR(SEARCH("BRONCOPOLMONITE",Tabella1[[#This Row],[Patologia respiratoria]],1)),0,1)</f>
        <v>0</v>
      </c>
      <c r="BP113" s="18">
        <f>IF(ISERROR(SEARCH("ASMA, OSAS",Tabella1[[#This Row],[Patologia respiratoria]],1)),0,1)</f>
        <v>0</v>
      </c>
      <c r="BQ113" s="18">
        <f>IF(ISERROR(SEARCH("OSAS e BPCO",Tabella1[[#This Row],[Patologia respiratoria]],1)),0,1)</f>
        <v>0</v>
      </c>
      <c r="BR113" s="18">
        <f>IF(ISERROR(SEARCH("OSAS",Tabella1[[#This Row],[Patologia respiratoria]],1)),0,1)</f>
        <v>0</v>
      </c>
      <c r="BS113" s="11"/>
      <c r="BT113" s="11"/>
      <c r="BU113" s="7" t="s">
        <v>5477</v>
      </c>
      <c r="BV113" s="17">
        <f>IF(ISERROR(SEARCH("ndd",Tabella1[[#This Row],[O2 terapia]],1)),0,1)</f>
        <v>1</v>
      </c>
      <c r="BW113" s="18"/>
      <c r="BX113" s="11"/>
      <c r="BY113" s="11" t="s">
        <v>8</v>
      </c>
      <c r="BZ113" s="18">
        <v>0</v>
      </c>
      <c r="CA113" s="11" t="s">
        <v>28</v>
      </c>
      <c r="CB113" s="17">
        <v>1</v>
      </c>
      <c r="CC113" s="11" t="s">
        <v>28</v>
      </c>
      <c r="CD113" s="17">
        <v>1</v>
      </c>
      <c r="CE113" s="11" t="s">
        <v>8</v>
      </c>
      <c r="CF113" s="18">
        <v>0</v>
      </c>
      <c r="CG113" s="11" t="s">
        <v>8</v>
      </c>
      <c r="CH113" s="17">
        <v>0</v>
      </c>
      <c r="CI113" s="11" t="s">
        <v>8</v>
      </c>
      <c r="CJ113" s="18">
        <v>0</v>
      </c>
      <c r="CK113" s="11" t="s">
        <v>28</v>
      </c>
      <c r="CL113" s="17">
        <v>1</v>
      </c>
      <c r="CM113" s="11" t="s">
        <v>8</v>
      </c>
      <c r="CN113" s="17">
        <v>0</v>
      </c>
      <c r="CO113" s="11" t="s">
        <v>8</v>
      </c>
      <c r="CP113" s="18">
        <v>0</v>
      </c>
      <c r="CQ113" s="11" t="s">
        <v>69</v>
      </c>
      <c r="CR113" s="11" t="s">
        <v>1372</v>
      </c>
      <c r="CS113" s="11" t="s">
        <v>219</v>
      </c>
      <c r="CT113" s="11" t="s">
        <v>1373</v>
      </c>
      <c r="CU113" s="11" t="s">
        <v>1294</v>
      </c>
      <c r="CV113" s="12"/>
    </row>
    <row r="114" spans="1:100" ht="327.75">
      <c r="A114" s="1">
        <f t="shared" si="1"/>
        <v>113</v>
      </c>
      <c r="B114" s="5">
        <v>767</v>
      </c>
      <c r="C114" s="6">
        <v>44973</v>
      </c>
      <c r="D114" s="7" t="s">
        <v>1374</v>
      </c>
      <c r="E114" s="6">
        <v>22322</v>
      </c>
      <c r="F114" s="29">
        <f ca="1">_xlfn.DAYS(NOW(),Tabella1[[#This Row],[Data di Nascita]])/365.25</f>
        <v>64.479123887748116</v>
      </c>
      <c r="G114" s="7" t="s">
        <v>1375</v>
      </c>
      <c r="H114" s="7" t="s">
        <v>1376</v>
      </c>
      <c r="I114" s="7" t="s">
        <v>325</v>
      </c>
      <c r="J114" s="7" t="s">
        <v>1377</v>
      </c>
      <c r="K114" s="7" t="s">
        <v>1378</v>
      </c>
      <c r="L114" s="17">
        <f>IF(ISERROR(SEARCH("EX",Tabella1[[#This Row],[Attività lavorativa]],1)),0,1)</f>
        <v>1</v>
      </c>
      <c r="M114" s="17"/>
      <c r="N114" s="17"/>
      <c r="O114" s="17"/>
      <c r="P114" s="17"/>
      <c r="Q114" s="17"/>
      <c r="R114" s="17"/>
      <c r="S114" s="17"/>
      <c r="T114" s="17">
        <f>IF(ISERROR(SEARCH("NDD",Tabella1[[#This Row],[Attività lavorativa]],1)),0,1)</f>
        <v>0</v>
      </c>
      <c r="U114" s="7" t="s">
        <v>5477</v>
      </c>
      <c r="V114" s="22"/>
      <c r="W114" s="22">
        <f>IF(ISERROR(SEARCH("ex",Tabella1[[#This Row],[Fumo]],1)),0,1)</f>
        <v>0</v>
      </c>
      <c r="X114" s="22">
        <f>IF(ISERROR(SEARCH("no",Tabella1[[#This Row],[Fumo]],1)),0,1)</f>
        <v>0</v>
      </c>
      <c r="Y114" s="7" t="s">
        <v>26</v>
      </c>
      <c r="Z114" s="17">
        <f>IF(ISERROR(SEARCH("NDD",Tabella1[[#This Row],[Bevitore alcolici]],1)),0,1)</f>
        <v>0</v>
      </c>
      <c r="AA114" s="17">
        <f>IF(ISERROR(SEARCH("raro",Tabella1[[#This Row],[Bevitore alcolici]],1)),0,1)</f>
        <v>0</v>
      </c>
      <c r="AB114" s="17">
        <f>IF(ISERROR(SEARCH("saltuariamente",Tabella1[[#This Row],[Bevitore alcolici]],1)),0,1)</f>
        <v>1</v>
      </c>
      <c r="AC114" s="17">
        <f>IF(ISERROR(SEARCH("nega",Tabella1[[#This Row],[Bevitore alcolici]],1)),0,1)</f>
        <v>0</v>
      </c>
      <c r="AD114" s="17">
        <f>IF(ISERROR(SEARCH("potus",Tabella1[[#This Row],[Bevitore alcolici]],1)),0,1)</f>
        <v>0</v>
      </c>
      <c r="AE114" s="7" t="s">
        <v>657</v>
      </c>
      <c r="AF114" s="17"/>
      <c r="AG114" s="17"/>
      <c r="AH114" s="17"/>
      <c r="AI114" s="17"/>
      <c r="AJ114" s="17"/>
      <c r="AK114" s="7" t="s">
        <v>28</v>
      </c>
      <c r="AL114" s="17">
        <f>IF(ISERROR(SEARCH("si",Tabella1[[#This Row],[Patente di guida]],1)),0,1)</f>
        <v>1</v>
      </c>
      <c r="AM114" s="7" t="s">
        <v>8</v>
      </c>
      <c r="AN114" s="17">
        <f>IF(ISERROR(SEARCH("no",Tabella1[[#This Row],[Ipertensione]],1)),0,1)</f>
        <v>1</v>
      </c>
      <c r="AO114" s="7" t="s">
        <v>382</v>
      </c>
      <c r="AP114" s="18">
        <f>IF(ISERROR(SEARCH("NO",Tabella1[[#This Row],[Cardiopatia ischemica]],1)),1,0)</f>
        <v>0</v>
      </c>
      <c r="AQ114" s="17">
        <f>IF(ISERROR(SEARCH("sconosciuto",Tabella1[[#This Row],[Cardiopatia ischemica]],1)),0,1)</f>
        <v>0</v>
      </c>
      <c r="AR114" s="7" t="s">
        <v>25</v>
      </c>
      <c r="AS114" s="22">
        <f>IF(ISERROR(SEARCH("nega",Tabella1[[#This Row],[Artimie]],1)),0,1)</f>
        <v>1</v>
      </c>
      <c r="AT114" s="7" t="s">
        <v>28</v>
      </c>
      <c r="AU114" s="22">
        <f>IF(ISERROR(SEARCH("nega",Tabella1[[#This Row],[Ipercolesterolemia]],1)),0,1)</f>
        <v>0</v>
      </c>
      <c r="AV114" s="22">
        <f>IF(ISERROR(SEARCH("boh",Tabella1[[#This Row],[Ipercolesterolemia]],1)),0,1)</f>
        <v>0</v>
      </c>
      <c r="AW114" s="7" t="s">
        <v>8</v>
      </c>
      <c r="AX114" s="22">
        <f>IF(ISERROR(SEARCH("Intolleranza",Tabella1[[#This Row],[Diabete]],1)),0,1)</f>
        <v>0</v>
      </c>
      <c r="AY114" s="22">
        <f>IF(ISERROR(SEARCH("si",Tabella1[[#This Row],[Diabete]],1)),0,1)</f>
        <v>0</v>
      </c>
      <c r="AZ114" s="7" t="s">
        <v>8</v>
      </c>
      <c r="BA114" s="17">
        <f>IF(ISERROR(SEARCH("NDD",Tabella1[[#This Row],[Patologia Tiroidea]],1)),0,1)</f>
        <v>0</v>
      </c>
      <c r="BB114" s="22">
        <f>IF(ISERROR(SEARCH("TIROIDITE",Tabella1[[#This Row],[Patologia Tiroidea]],1)),0,1)</f>
        <v>0</v>
      </c>
      <c r="BC114" s="22">
        <f>IF(ISERROR(SEARCH("HASHIMOTO",Tabella1[[#This Row],[Patologia Tiroidea]],1)),0,1)</f>
        <v>0</v>
      </c>
      <c r="BD114" s="22">
        <f>IF(ISERROR(SEARCH("BASEDOW",Tabella1[[#This Row],[Patologia Tiroidea]],1)),0,1)</f>
        <v>0</v>
      </c>
      <c r="BE114" s="22">
        <f>IF(ISERROR(SEARCH("NOD",Tabella1[[#This Row],[Patologia Tiroidea]],1)),0,1)</f>
        <v>0</v>
      </c>
      <c r="BF114" s="22">
        <f>IF(ISERROR(SEARCH("GOZ",Tabella1[[#This Row],[Patologia Tiroidea]],1)),0,1)</f>
        <v>0</v>
      </c>
      <c r="BG114" s="7" t="s">
        <v>8</v>
      </c>
      <c r="BH114" s="17">
        <f>IF(Tabella1[[#This Row],[Obesità]]="no",0,1)</f>
        <v>0</v>
      </c>
      <c r="BI114" s="7" t="s">
        <v>28</v>
      </c>
      <c r="BJ114" s="22">
        <f>IF(ISERROR(SEARCH("nega",Tabella1[[#This Row],[Reflusso gastroesofageo]],1)),1,0)</f>
        <v>1</v>
      </c>
      <c r="BK114" s="7" t="s">
        <v>8</v>
      </c>
      <c r="BL114" s="17">
        <f>IF(ISERROR(SEARCH("NDD",Tabella1[[#This Row],[Patologia respiratoria]],1)),0,1)</f>
        <v>0</v>
      </c>
      <c r="BM114" s="17">
        <f>IF(ISERROR(SEARCH("asma",Tabella1[[#This Row],[Patologia respiratoria]],1)),0,1)</f>
        <v>0</v>
      </c>
      <c r="BN114" s="17">
        <f>IF(ISERROR(SEARCH("BPCO",Tabella1[[#This Row],[Patologia respiratoria]],1)),0,1)</f>
        <v>0</v>
      </c>
      <c r="BO114" s="17">
        <f>IF(ISERROR(SEARCH("BRONCOPOLMONITE",Tabella1[[#This Row],[Patologia respiratoria]],1)),0,1)</f>
        <v>0</v>
      </c>
      <c r="BP114" s="17">
        <f>IF(ISERROR(SEARCH("ASMA, OSAS",Tabella1[[#This Row],[Patologia respiratoria]],1)),0,1)</f>
        <v>0</v>
      </c>
      <c r="BQ114" s="17">
        <f>IF(ISERROR(SEARCH("OSAS e BPCO",Tabella1[[#This Row],[Patologia respiratoria]],1)),0,1)</f>
        <v>0</v>
      </c>
      <c r="BR114" s="17">
        <f>IF(ISERROR(SEARCH("OSAS",Tabella1[[#This Row],[Patologia respiratoria]],1)),0,1)</f>
        <v>0</v>
      </c>
      <c r="BS114" s="7"/>
      <c r="BT114" s="7" t="s">
        <v>8</v>
      </c>
      <c r="BU114" s="7" t="s">
        <v>8</v>
      </c>
      <c r="BV114" s="17">
        <f>IF(ISERROR(SEARCH("ndd",Tabella1[[#This Row],[O2 terapia]],1)),0,1)</f>
        <v>0</v>
      </c>
      <c r="BW114" s="17">
        <v>0</v>
      </c>
      <c r="BX114" s="7" t="s">
        <v>1379</v>
      </c>
      <c r="BY114" s="7" t="s">
        <v>28</v>
      </c>
      <c r="BZ114" s="17">
        <v>1</v>
      </c>
      <c r="CA114" s="7" t="s">
        <v>28</v>
      </c>
      <c r="CB114" s="17">
        <v>1</v>
      </c>
      <c r="CC114" s="7" t="s">
        <v>8</v>
      </c>
      <c r="CD114" s="18">
        <v>0</v>
      </c>
      <c r="CE114" s="7" t="s">
        <v>8</v>
      </c>
      <c r="CF114" s="18">
        <v>0</v>
      </c>
      <c r="CG114" s="7" t="s">
        <v>8</v>
      </c>
      <c r="CH114" s="17">
        <v>0</v>
      </c>
      <c r="CI114" s="7" t="s">
        <v>28</v>
      </c>
      <c r="CJ114" s="17">
        <v>1</v>
      </c>
      <c r="CK114" s="7" t="s">
        <v>8</v>
      </c>
      <c r="CL114" s="17">
        <v>0</v>
      </c>
      <c r="CM114" s="7" t="s">
        <v>28</v>
      </c>
      <c r="CN114" s="17">
        <v>1</v>
      </c>
      <c r="CO114" s="7" t="s">
        <v>28</v>
      </c>
      <c r="CP114" s="17">
        <v>1</v>
      </c>
      <c r="CQ114" s="7" t="s">
        <v>54</v>
      </c>
      <c r="CR114" s="7" t="s">
        <v>1380</v>
      </c>
      <c r="CS114" s="7" t="s">
        <v>37</v>
      </c>
      <c r="CT114" s="7" t="s">
        <v>595</v>
      </c>
      <c r="CU114" s="7" t="s">
        <v>1381</v>
      </c>
      <c r="CV114" s="8" t="s">
        <v>1382</v>
      </c>
    </row>
    <row r="115" spans="1:100" ht="114">
      <c r="A115" s="1">
        <f t="shared" si="1"/>
        <v>114</v>
      </c>
      <c r="B115" s="9">
        <v>784</v>
      </c>
      <c r="C115" s="10">
        <v>44984</v>
      </c>
      <c r="D115" s="11" t="s">
        <v>1383</v>
      </c>
      <c r="E115" s="10">
        <v>25898</v>
      </c>
      <c r="F115" s="29">
        <f ca="1">_xlfn.DAYS(NOW(),Tabella1[[#This Row],[Data di Nascita]])/365.25</f>
        <v>54.688569472963721</v>
      </c>
      <c r="G115" s="11" t="s">
        <v>1384</v>
      </c>
      <c r="H115" s="11" t="s">
        <v>1385</v>
      </c>
      <c r="I115" s="11" t="s">
        <v>1340</v>
      </c>
      <c r="J115" s="11" t="s">
        <v>1386</v>
      </c>
      <c r="K115" s="11" t="s">
        <v>904</v>
      </c>
      <c r="L115" s="18">
        <f>IF(ISERROR(SEARCH("EX",Tabella1[[#This Row],[Attività lavorativa]],1)),0,1)</f>
        <v>0</v>
      </c>
      <c r="M115" s="18"/>
      <c r="N115" s="18"/>
      <c r="O115" s="18"/>
      <c r="P115" s="18">
        <v>1</v>
      </c>
      <c r="Q115" s="18"/>
      <c r="R115" s="18"/>
      <c r="S115" s="18"/>
      <c r="T115" s="17">
        <f>IF(ISERROR(SEARCH("NDD",Tabella1[[#This Row],[Attività lavorativa]],1)),0,1)</f>
        <v>0</v>
      </c>
      <c r="U115" s="11" t="s">
        <v>8</v>
      </c>
      <c r="V115" s="22"/>
      <c r="W115" s="22">
        <f>IF(ISERROR(SEARCH("ex",Tabella1[[#This Row],[Fumo]],1)),0,1)</f>
        <v>0</v>
      </c>
      <c r="X115" s="22">
        <f>IF(ISERROR(SEARCH("no",Tabella1[[#This Row],[Fumo]],1)),0,1)</f>
        <v>1</v>
      </c>
      <c r="Y115" s="11" t="s">
        <v>25</v>
      </c>
      <c r="Z115" s="18">
        <f>IF(ISERROR(SEARCH("NDD",Tabella1[[#This Row],[Bevitore alcolici]],1)),0,1)</f>
        <v>0</v>
      </c>
      <c r="AA115" s="17">
        <f>IF(ISERROR(SEARCH("raro",Tabella1[[#This Row],[Bevitore alcolici]],1)),0,1)</f>
        <v>0</v>
      </c>
      <c r="AB115" s="17">
        <f>IF(ISERROR(SEARCH("saltuariamente",Tabella1[[#This Row],[Bevitore alcolici]],1)),0,1)</f>
        <v>0</v>
      </c>
      <c r="AC115" s="17">
        <f>IF(ISERROR(SEARCH("nega",Tabella1[[#This Row],[Bevitore alcolici]],1)),0,1)</f>
        <v>1</v>
      </c>
      <c r="AD115" s="17">
        <f>IF(ISERROR(SEARCH("potus",Tabella1[[#This Row],[Bevitore alcolici]],1)),0,1)</f>
        <v>0</v>
      </c>
      <c r="AE115" s="11" t="s">
        <v>657</v>
      </c>
      <c r="AF115" s="18"/>
      <c r="AG115" s="18"/>
      <c r="AH115" s="18"/>
      <c r="AI115" s="18"/>
      <c r="AJ115" s="18"/>
      <c r="AK115" s="11" t="s">
        <v>28</v>
      </c>
      <c r="AL115" s="18">
        <f>IF(ISERROR(SEARCH("si",Tabella1[[#This Row],[Patente di guida]],1)),0,1)</f>
        <v>1</v>
      </c>
      <c r="AM115" s="11" t="s">
        <v>28</v>
      </c>
      <c r="AN115" s="18">
        <f>IF(ISERROR(SEARCH("no",Tabella1[[#This Row],[Ipertensione]],1)),0,1)</f>
        <v>0</v>
      </c>
      <c r="AO115" s="11" t="s">
        <v>382</v>
      </c>
      <c r="AP115" s="18">
        <f>IF(ISERROR(SEARCH("NO",Tabella1[[#This Row],[Cardiopatia ischemica]],1)),1,0)</f>
        <v>0</v>
      </c>
      <c r="AQ115" s="17">
        <f>IF(ISERROR(SEARCH("sconosciuto",Tabella1[[#This Row],[Cardiopatia ischemica]],1)),0,1)</f>
        <v>0</v>
      </c>
      <c r="AR115" s="11" t="s">
        <v>25</v>
      </c>
      <c r="AS115" s="18">
        <f>IF(ISERROR(SEARCH("nega",Tabella1[[#This Row],[Artimie]],1)),0,1)</f>
        <v>1</v>
      </c>
      <c r="AT115" s="11" t="s">
        <v>25</v>
      </c>
      <c r="AU115" s="18">
        <f>IF(ISERROR(SEARCH("nega",Tabella1[[#This Row],[Ipercolesterolemia]],1)),0,1)</f>
        <v>1</v>
      </c>
      <c r="AV115" s="18">
        <f>IF(ISERROR(SEARCH("boh",Tabella1[[#This Row],[Ipercolesterolemia]],1)),0,1)</f>
        <v>0</v>
      </c>
      <c r="AW115" s="11" t="s">
        <v>8</v>
      </c>
      <c r="AX115" s="18">
        <f>IF(ISERROR(SEARCH("Intolleranza",Tabella1[[#This Row],[Diabete]],1)),0,1)</f>
        <v>0</v>
      </c>
      <c r="AY115" s="18">
        <f>IF(ISERROR(SEARCH("si",Tabella1[[#This Row],[Diabete]],1)),0,1)</f>
        <v>0</v>
      </c>
      <c r="AZ115" s="11" t="s">
        <v>8</v>
      </c>
      <c r="BA115" s="18">
        <f>IF(ISERROR(SEARCH("NDD",Tabella1[[#This Row],[Patologia Tiroidea]],1)),0,1)</f>
        <v>0</v>
      </c>
      <c r="BB115" s="18">
        <f>IF(ISERROR(SEARCH("TIROIDITE",Tabella1[[#This Row],[Patologia Tiroidea]],1)),0,1)</f>
        <v>0</v>
      </c>
      <c r="BC115" s="18">
        <f>IF(ISERROR(SEARCH("HASHIMOTO",Tabella1[[#This Row],[Patologia Tiroidea]],1)),0,1)</f>
        <v>0</v>
      </c>
      <c r="BD115" s="18">
        <f>IF(ISERROR(SEARCH("BASEDOW",Tabella1[[#This Row],[Patologia Tiroidea]],1)),0,1)</f>
        <v>0</v>
      </c>
      <c r="BE115" s="18">
        <f>IF(ISERROR(SEARCH("NOD",Tabella1[[#This Row],[Patologia Tiroidea]],1)),0,1)</f>
        <v>0</v>
      </c>
      <c r="BF115" s="18">
        <f>IF(ISERROR(SEARCH("GOZ",Tabella1[[#This Row],[Patologia Tiroidea]],1)),0,1)</f>
        <v>0</v>
      </c>
      <c r="BG115" s="11" t="s">
        <v>28</v>
      </c>
      <c r="BH115" s="18">
        <f>IF(Tabella1[[#This Row],[Obesità]]="no",0,1)</f>
        <v>1</v>
      </c>
      <c r="BI115" s="11" t="s">
        <v>28</v>
      </c>
      <c r="BJ115" s="22">
        <f>IF(ISERROR(SEARCH("nega",Tabella1[[#This Row],[Reflusso gastroesofageo]],1)),1,0)</f>
        <v>1</v>
      </c>
      <c r="BK115" s="11" t="s">
        <v>8</v>
      </c>
      <c r="BL115" s="18">
        <f>IF(ISERROR(SEARCH("NDD",Tabella1[[#This Row],[Patologia respiratoria]],1)),0,1)</f>
        <v>0</v>
      </c>
      <c r="BM115" s="18">
        <f>IF(ISERROR(SEARCH("asma",Tabella1[[#This Row],[Patologia respiratoria]],1)),0,1)</f>
        <v>0</v>
      </c>
      <c r="BN115" s="18">
        <f>IF(ISERROR(SEARCH("BPCO",Tabella1[[#This Row],[Patologia respiratoria]],1)),0,1)</f>
        <v>0</v>
      </c>
      <c r="BO115" s="18">
        <f>IF(ISERROR(SEARCH("BRONCOPOLMONITE",Tabella1[[#This Row],[Patologia respiratoria]],1)),0,1)</f>
        <v>0</v>
      </c>
      <c r="BP115" s="18">
        <f>IF(ISERROR(SEARCH("ASMA, OSAS",Tabella1[[#This Row],[Patologia respiratoria]],1)),0,1)</f>
        <v>0</v>
      </c>
      <c r="BQ115" s="18">
        <f>IF(ISERROR(SEARCH("OSAS e BPCO",Tabella1[[#This Row],[Patologia respiratoria]],1)),0,1)</f>
        <v>0</v>
      </c>
      <c r="BR115" s="18">
        <f>IF(ISERROR(SEARCH("OSAS",Tabella1[[#This Row],[Patologia respiratoria]],1)),0,1)</f>
        <v>0</v>
      </c>
      <c r="BS115" s="11"/>
      <c r="BT115" s="11"/>
      <c r="BU115" s="7" t="s">
        <v>5477</v>
      </c>
      <c r="BV115" s="17">
        <f>IF(ISERROR(SEARCH("ndd",Tabella1[[#This Row],[O2 terapia]],1)),0,1)</f>
        <v>1</v>
      </c>
      <c r="BW115" s="18"/>
      <c r="BX115" s="11"/>
      <c r="BY115" s="11" t="s">
        <v>8</v>
      </c>
      <c r="BZ115" s="18">
        <v>0</v>
      </c>
      <c r="CA115" s="11" t="s">
        <v>8</v>
      </c>
      <c r="CB115" s="17">
        <v>0</v>
      </c>
      <c r="CC115" s="11" t="s">
        <v>28</v>
      </c>
      <c r="CD115" s="17">
        <v>1</v>
      </c>
      <c r="CE115" s="11" t="s">
        <v>8</v>
      </c>
      <c r="CF115" s="18">
        <v>0</v>
      </c>
      <c r="CG115" s="11" t="s">
        <v>8</v>
      </c>
      <c r="CH115" s="17">
        <v>0</v>
      </c>
      <c r="CI115" s="11" t="s">
        <v>8</v>
      </c>
      <c r="CJ115" s="18">
        <v>0</v>
      </c>
      <c r="CK115" s="11" t="s">
        <v>8</v>
      </c>
      <c r="CL115" s="17">
        <v>0</v>
      </c>
      <c r="CM115" s="11" t="s">
        <v>8</v>
      </c>
      <c r="CN115" s="17">
        <v>0</v>
      </c>
      <c r="CO115" s="11" t="s">
        <v>8</v>
      </c>
      <c r="CP115" s="18">
        <v>0</v>
      </c>
      <c r="CQ115" s="11" t="s">
        <v>85</v>
      </c>
      <c r="CR115" s="11" t="s">
        <v>1301</v>
      </c>
      <c r="CS115" s="11" t="s">
        <v>37</v>
      </c>
      <c r="CT115" s="11" t="s">
        <v>169</v>
      </c>
      <c r="CU115" s="11" t="s">
        <v>1210</v>
      </c>
      <c r="CV115" s="12" t="s">
        <v>1342</v>
      </c>
    </row>
    <row r="116" spans="1:100" ht="71.25">
      <c r="A116" s="1">
        <f t="shared" si="1"/>
        <v>115</v>
      </c>
      <c r="B116" s="5">
        <v>798</v>
      </c>
      <c r="C116" s="7"/>
      <c r="D116" s="7" t="s">
        <v>1387</v>
      </c>
      <c r="E116" s="6">
        <v>26691</v>
      </c>
      <c r="F116" s="29">
        <f ca="1">_xlfn.DAYS(NOW(),Tabella1[[#This Row],[Data di Nascita]])/365.25</f>
        <v>52.517453798767967</v>
      </c>
      <c r="G116" s="7" t="s">
        <v>1388</v>
      </c>
      <c r="H116" s="7" t="s">
        <v>1389</v>
      </c>
      <c r="I116" s="7" t="s">
        <v>1390</v>
      </c>
      <c r="J116" s="7" t="s">
        <v>1346</v>
      </c>
      <c r="K116" s="7" t="s">
        <v>1391</v>
      </c>
      <c r="L116" s="17">
        <f>IF(ISERROR(SEARCH("EX",Tabella1[[#This Row],[Attività lavorativa]],1)),0,1)</f>
        <v>0</v>
      </c>
      <c r="M116" s="17"/>
      <c r="N116" s="17"/>
      <c r="O116" s="17"/>
      <c r="P116" s="17"/>
      <c r="Q116" s="17"/>
      <c r="R116" s="17">
        <v>1</v>
      </c>
      <c r="S116" s="17"/>
      <c r="T116" s="17">
        <f>IF(ISERROR(SEARCH("NDD",Tabella1[[#This Row],[Attività lavorativa]],1)),0,1)</f>
        <v>0</v>
      </c>
      <c r="U116" s="7" t="s">
        <v>1392</v>
      </c>
      <c r="V116" s="22">
        <v>25</v>
      </c>
      <c r="W116" s="22">
        <f>IF(ISERROR(SEARCH("ex",Tabella1[[#This Row],[Fumo]],1)),0,1)</f>
        <v>1</v>
      </c>
      <c r="X116" s="22">
        <f>IF(ISERROR(SEARCH("no",Tabella1[[#This Row],[Fumo]],1)),0,1)</f>
        <v>0</v>
      </c>
      <c r="Y116" s="7" t="s">
        <v>1393</v>
      </c>
      <c r="Z116" s="17">
        <f>IF(ISERROR(SEARCH("NDD",Tabella1[[#This Row],[Bevitore alcolici]],1)),0,1)</f>
        <v>0</v>
      </c>
      <c r="AA116" s="17">
        <f>IF(ISERROR(SEARCH("raro",Tabella1[[#This Row],[Bevitore alcolici]],1)),0,1)</f>
        <v>0</v>
      </c>
      <c r="AB116" s="17">
        <f>IF(ISERROR(SEARCH("saltuariamente",Tabella1[[#This Row],[Bevitore alcolici]],1)),0,1)</f>
        <v>0</v>
      </c>
      <c r="AC116" s="17">
        <f>IF(ISERROR(SEARCH("nega",Tabella1[[#This Row],[Bevitore alcolici]],1)),0,1)</f>
        <v>0</v>
      </c>
      <c r="AD116" s="17">
        <f>IF(ISERROR(SEARCH("potus",Tabella1[[#This Row],[Bevitore alcolici]],1)),0,1)</f>
        <v>0</v>
      </c>
      <c r="AE116" s="7" t="s">
        <v>1394</v>
      </c>
      <c r="AF116" s="17"/>
      <c r="AG116" s="17"/>
      <c r="AH116" s="18">
        <v>1</v>
      </c>
      <c r="AI116" s="18"/>
      <c r="AJ116" s="18"/>
      <c r="AK116" s="7" t="s">
        <v>28</v>
      </c>
      <c r="AL116" s="17">
        <f>IF(ISERROR(SEARCH("si",Tabella1[[#This Row],[Patente di guida]],1)),0,1)</f>
        <v>1</v>
      </c>
      <c r="AM116" s="7" t="s">
        <v>8</v>
      </c>
      <c r="AN116" s="17">
        <f>IF(ISERROR(SEARCH("no",Tabella1[[#This Row],[Ipertensione]],1)),0,1)</f>
        <v>1</v>
      </c>
      <c r="AO116" s="7" t="s">
        <v>382</v>
      </c>
      <c r="AP116" s="18">
        <f>IF(ISERROR(SEARCH("NO",Tabella1[[#This Row],[Cardiopatia ischemica]],1)),1,0)</f>
        <v>0</v>
      </c>
      <c r="AQ116" s="17">
        <f>IF(ISERROR(SEARCH("sconosciuto",Tabella1[[#This Row],[Cardiopatia ischemica]],1)),0,1)</f>
        <v>0</v>
      </c>
      <c r="AR116" s="7" t="s">
        <v>3753</v>
      </c>
      <c r="AS116" s="17">
        <f>IF(ISERROR(SEARCH("nega",Tabella1[[#This Row],[Artimie]],1)),0,1)</f>
        <v>1</v>
      </c>
      <c r="AT116" s="7" t="s">
        <v>28</v>
      </c>
      <c r="AU116" s="17">
        <f>IF(ISERROR(SEARCH("nega",Tabella1[[#This Row],[Ipercolesterolemia]],1)),0,1)</f>
        <v>0</v>
      </c>
      <c r="AV116" s="17">
        <f>IF(ISERROR(SEARCH("boh",Tabella1[[#This Row],[Ipercolesterolemia]],1)),0,1)</f>
        <v>0</v>
      </c>
      <c r="AW116" s="7" t="s">
        <v>8</v>
      </c>
      <c r="AX116" s="17">
        <f>IF(ISERROR(SEARCH("Intolleranza",Tabella1[[#This Row],[Diabete]],1)),0,1)</f>
        <v>0</v>
      </c>
      <c r="AY116" s="17">
        <f>IF(ISERROR(SEARCH("si",Tabella1[[#This Row],[Diabete]],1)),0,1)</f>
        <v>0</v>
      </c>
      <c r="AZ116" s="7" t="s">
        <v>8</v>
      </c>
      <c r="BA116" s="17">
        <f>IF(ISERROR(SEARCH("NDD",Tabella1[[#This Row],[Patologia Tiroidea]],1)),0,1)</f>
        <v>0</v>
      </c>
      <c r="BB116" s="17">
        <f>IF(ISERROR(SEARCH("TIROIDITE",Tabella1[[#This Row],[Patologia Tiroidea]],1)),0,1)</f>
        <v>0</v>
      </c>
      <c r="BC116" s="17">
        <f>IF(ISERROR(SEARCH("HASHIMOTO",Tabella1[[#This Row],[Patologia Tiroidea]],1)),0,1)</f>
        <v>0</v>
      </c>
      <c r="BD116" s="17">
        <f>IF(ISERROR(SEARCH("BASEDOW",Tabella1[[#This Row],[Patologia Tiroidea]],1)),0,1)</f>
        <v>0</v>
      </c>
      <c r="BE116" s="17">
        <f>IF(ISERROR(SEARCH("NOD",Tabella1[[#This Row],[Patologia Tiroidea]],1)),0,1)</f>
        <v>0</v>
      </c>
      <c r="BF116" s="17">
        <f>IF(ISERROR(SEARCH("GOZ",Tabella1[[#This Row],[Patologia Tiroidea]],1)),0,1)</f>
        <v>0</v>
      </c>
      <c r="BG116" s="7" t="s">
        <v>8</v>
      </c>
      <c r="BH116" s="17">
        <f>IF(Tabella1[[#This Row],[Obesità]]="no",0,1)</f>
        <v>0</v>
      </c>
      <c r="BI116" s="7" t="s">
        <v>1395</v>
      </c>
      <c r="BJ116" s="22">
        <f>IF(ISERROR(SEARCH("nega",Tabella1[[#This Row],[Reflusso gastroesofageo]],1)),1,0)</f>
        <v>1</v>
      </c>
      <c r="BK116" s="7" t="s">
        <v>8</v>
      </c>
      <c r="BL116" s="17">
        <f>IF(ISERROR(SEARCH("NDD",Tabella1[[#This Row],[Patologia respiratoria]],1)),0,1)</f>
        <v>0</v>
      </c>
      <c r="BM116" s="17">
        <f>IF(ISERROR(SEARCH("asma",Tabella1[[#This Row],[Patologia respiratoria]],1)),0,1)</f>
        <v>0</v>
      </c>
      <c r="BN116" s="17">
        <f>IF(ISERROR(SEARCH("BPCO",Tabella1[[#This Row],[Patologia respiratoria]],1)),0,1)</f>
        <v>0</v>
      </c>
      <c r="BO116" s="17">
        <f>IF(ISERROR(SEARCH("BRONCOPOLMONITE",Tabella1[[#This Row],[Patologia respiratoria]],1)),0,1)</f>
        <v>0</v>
      </c>
      <c r="BP116" s="17">
        <f>IF(ISERROR(SEARCH("ASMA, OSAS",Tabella1[[#This Row],[Patologia respiratoria]],1)),0,1)</f>
        <v>0</v>
      </c>
      <c r="BQ116" s="17">
        <f>IF(ISERROR(SEARCH("OSAS e BPCO",Tabella1[[#This Row],[Patologia respiratoria]],1)),0,1)</f>
        <v>0</v>
      </c>
      <c r="BR116" s="17">
        <f>IF(ISERROR(SEARCH("OSAS",Tabella1[[#This Row],[Patologia respiratoria]],1)),0,1)</f>
        <v>0</v>
      </c>
      <c r="BS116" s="7"/>
      <c r="BT116" s="7"/>
      <c r="BU116" s="7" t="s">
        <v>5477</v>
      </c>
      <c r="BV116" s="17">
        <f>IF(ISERROR(SEARCH("ndd",Tabella1[[#This Row],[O2 terapia]],1)),0,1)</f>
        <v>1</v>
      </c>
      <c r="BW116" s="17"/>
      <c r="BX116" s="7"/>
      <c r="BY116" s="7" t="s">
        <v>8</v>
      </c>
      <c r="BZ116" s="18">
        <v>0</v>
      </c>
      <c r="CA116" s="7" t="s">
        <v>28</v>
      </c>
      <c r="CB116" s="17">
        <v>1</v>
      </c>
      <c r="CC116" s="7" t="s">
        <v>28</v>
      </c>
      <c r="CD116" s="17">
        <v>1</v>
      </c>
      <c r="CE116" s="7" t="s">
        <v>8</v>
      </c>
      <c r="CF116" s="18">
        <v>0</v>
      </c>
      <c r="CG116" s="7" t="s">
        <v>28</v>
      </c>
      <c r="CH116" s="17">
        <v>1</v>
      </c>
      <c r="CI116" s="7" t="s">
        <v>8</v>
      </c>
      <c r="CJ116" s="18">
        <v>0</v>
      </c>
      <c r="CK116" s="7" t="s">
        <v>909</v>
      </c>
      <c r="CL116" s="17">
        <v>1</v>
      </c>
      <c r="CM116" s="7" t="s">
        <v>28</v>
      </c>
      <c r="CN116" s="17">
        <v>1</v>
      </c>
      <c r="CO116" s="7" t="s">
        <v>8</v>
      </c>
      <c r="CP116" s="18">
        <v>0</v>
      </c>
      <c r="CQ116" s="7" t="s">
        <v>69</v>
      </c>
      <c r="CR116" s="7"/>
      <c r="CS116" s="7" t="s">
        <v>355</v>
      </c>
      <c r="CT116" s="7" t="s">
        <v>319</v>
      </c>
      <c r="CU116" s="7"/>
      <c r="CV116" s="8"/>
    </row>
    <row r="117" spans="1:100" ht="327.75">
      <c r="A117" s="1">
        <f t="shared" si="1"/>
        <v>116</v>
      </c>
      <c r="B117" s="9">
        <v>803</v>
      </c>
      <c r="C117" s="10">
        <v>44993</v>
      </c>
      <c r="D117" s="11" t="s">
        <v>1396</v>
      </c>
      <c r="E117" s="10">
        <v>26921</v>
      </c>
      <c r="F117" s="29">
        <f ca="1">_xlfn.DAYS(NOW(),Tabella1[[#This Row],[Data di Nascita]])/365.25</f>
        <v>51.887748117727583</v>
      </c>
      <c r="G117" s="11" t="s">
        <v>1397</v>
      </c>
      <c r="H117" s="11" t="s">
        <v>1398</v>
      </c>
      <c r="I117" s="11" t="s">
        <v>816</v>
      </c>
      <c r="J117" s="11" t="s">
        <v>1346</v>
      </c>
      <c r="K117" s="11" t="s">
        <v>1399</v>
      </c>
      <c r="L117" s="18">
        <f>IF(ISERROR(SEARCH("EX",Tabella1[[#This Row],[Attività lavorativa]],1)),0,1)</f>
        <v>0</v>
      </c>
      <c r="M117" s="18"/>
      <c r="N117" s="18"/>
      <c r="O117" s="18"/>
      <c r="P117" s="18"/>
      <c r="Q117" s="18"/>
      <c r="R117" s="18"/>
      <c r="S117" s="18"/>
      <c r="T117" s="17">
        <f>IF(ISERROR(SEARCH("NDD",Tabella1[[#This Row],[Attività lavorativa]],1)),0,1)</f>
        <v>0</v>
      </c>
      <c r="U117" s="11" t="s">
        <v>1400</v>
      </c>
      <c r="V117" s="22">
        <v>5</v>
      </c>
      <c r="W117" s="22">
        <f>IF(ISERROR(SEARCH("ex",Tabella1[[#This Row],[Fumo]],1)),0,1)</f>
        <v>0</v>
      </c>
      <c r="X117" s="22">
        <f>IF(ISERROR(SEARCH("no",Tabella1[[#This Row],[Fumo]],1)),0,1)</f>
        <v>0</v>
      </c>
      <c r="Y117" s="11" t="s">
        <v>1401</v>
      </c>
      <c r="Z117" s="18">
        <f>IF(ISERROR(SEARCH("NDD",Tabella1[[#This Row],[Bevitore alcolici]],1)),0,1)</f>
        <v>0</v>
      </c>
      <c r="AA117" s="17">
        <f>IF(ISERROR(SEARCH("raro",Tabella1[[#This Row],[Bevitore alcolici]],1)),0,1)</f>
        <v>0</v>
      </c>
      <c r="AB117" s="17">
        <f>IF(ISERROR(SEARCH("saltuariamente",Tabella1[[#This Row],[Bevitore alcolici]],1)),0,1)</f>
        <v>0</v>
      </c>
      <c r="AC117" s="17">
        <f>IF(ISERROR(SEARCH("nega",Tabella1[[#This Row],[Bevitore alcolici]],1)),0,1)</f>
        <v>0</v>
      </c>
      <c r="AD117" s="17">
        <f>IF(ISERROR(SEARCH("potus",Tabella1[[#This Row],[Bevitore alcolici]],1)),0,1)</f>
        <v>0</v>
      </c>
      <c r="AE117" s="11" t="s">
        <v>657</v>
      </c>
      <c r="AF117" s="18"/>
      <c r="AG117" s="18"/>
      <c r="AH117" s="18"/>
      <c r="AI117" s="18"/>
      <c r="AJ117" s="18"/>
      <c r="AK117" s="11" t="s">
        <v>28</v>
      </c>
      <c r="AL117" s="18">
        <f>IF(ISERROR(SEARCH("si",Tabella1[[#This Row],[Patente di guida]],1)),0,1)</f>
        <v>1</v>
      </c>
      <c r="AM117" s="11" t="s">
        <v>8</v>
      </c>
      <c r="AN117" s="18">
        <f>IF(ISERROR(SEARCH("no",Tabella1[[#This Row],[Ipertensione]],1)),0,1)</f>
        <v>1</v>
      </c>
      <c r="AO117" s="11" t="s">
        <v>382</v>
      </c>
      <c r="AP117" s="18">
        <f>IF(ISERROR(SEARCH("NO",Tabella1[[#This Row],[Cardiopatia ischemica]],1)),1,0)</f>
        <v>0</v>
      </c>
      <c r="AQ117" s="17">
        <f>IF(ISERROR(SEARCH("sconosciuto",Tabella1[[#This Row],[Cardiopatia ischemica]],1)),0,1)</f>
        <v>0</v>
      </c>
      <c r="AR117" s="11" t="s">
        <v>25</v>
      </c>
      <c r="AS117" s="22">
        <f>IF(ISERROR(SEARCH("nega",Tabella1[[#This Row],[Artimie]],1)),0,1)</f>
        <v>1</v>
      </c>
      <c r="AT117" s="11" t="s">
        <v>25</v>
      </c>
      <c r="AU117" s="22">
        <f>IF(ISERROR(SEARCH("nega",Tabella1[[#This Row],[Ipercolesterolemia]],1)),0,1)</f>
        <v>1</v>
      </c>
      <c r="AV117" s="22">
        <f>IF(ISERROR(SEARCH("boh",Tabella1[[#This Row],[Ipercolesterolemia]],1)),0,1)</f>
        <v>0</v>
      </c>
      <c r="AW117" s="11" t="s">
        <v>8</v>
      </c>
      <c r="AX117" s="22">
        <f>IF(ISERROR(SEARCH("Intolleranza",Tabella1[[#This Row],[Diabete]],1)),0,1)</f>
        <v>0</v>
      </c>
      <c r="AY117" s="22">
        <f>IF(ISERROR(SEARCH("si",Tabella1[[#This Row],[Diabete]],1)),0,1)</f>
        <v>0</v>
      </c>
      <c r="AZ117" s="11" t="s">
        <v>8</v>
      </c>
      <c r="BA117" s="18">
        <f>IF(ISERROR(SEARCH("NDD",Tabella1[[#This Row],[Patologia Tiroidea]],1)),0,1)</f>
        <v>0</v>
      </c>
      <c r="BB117" s="22">
        <f>IF(ISERROR(SEARCH("TIROIDITE",Tabella1[[#This Row],[Patologia Tiroidea]],1)),0,1)</f>
        <v>0</v>
      </c>
      <c r="BC117" s="22">
        <f>IF(ISERROR(SEARCH("HASHIMOTO",Tabella1[[#This Row],[Patologia Tiroidea]],1)),0,1)</f>
        <v>0</v>
      </c>
      <c r="BD117" s="22">
        <f>IF(ISERROR(SEARCH("BASEDOW",Tabella1[[#This Row],[Patologia Tiroidea]],1)),0,1)</f>
        <v>0</v>
      </c>
      <c r="BE117" s="22">
        <f>IF(ISERROR(SEARCH("NOD",Tabella1[[#This Row],[Patologia Tiroidea]],1)),0,1)</f>
        <v>0</v>
      </c>
      <c r="BF117" s="22">
        <f>IF(ISERROR(SEARCH("GOZ",Tabella1[[#This Row],[Patologia Tiroidea]],1)),0,1)</f>
        <v>0</v>
      </c>
      <c r="BG117" s="11" t="s">
        <v>28</v>
      </c>
      <c r="BH117" s="18">
        <f>IF(Tabella1[[#This Row],[Obesità]]="no",0,1)</f>
        <v>1</v>
      </c>
      <c r="BI117" s="11" t="s">
        <v>28</v>
      </c>
      <c r="BJ117" s="22">
        <f>IF(ISERROR(SEARCH("nega",Tabella1[[#This Row],[Reflusso gastroesofageo]],1)),1,0)</f>
        <v>1</v>
      </c>
      <c r="BK117" s="11" t="s">
        <v>8</v>
      </c>
      <c r="BL117" s="18">
        <f>IF(ISERROR(SEARCH("NDD",Tabella1[[#This Row],[Patologia respiratoria]],1)),0,1)</f>
        <v>0</v>
      </c>
      <c r="BM117" s="18">
        <f>IF(ISERROR(SEARCH("asma",Tabella1[[#This Row],[Patologia respiratoria]],1)),0,1)</f>
        <v>0</v>
      </c>
      <c r="BN117" s="18">
        <f>IF(ISERROR(SEARCH("BPCO",Tabella1[[#This Row],[Patologia respiratoria]],1)),0,1)</f>
        <v>0</v>
      </c>
      <c r="BO117" s="18">
        <f>IF(ISERROR(SEARCH("BRONCOPOLMONITE",Tabella1[[#This Row],[Patologia respiratoria]],1)),0,1)</f>
        <v>0</v>
      </c>
      <c r="BP117" s="18">
        <f>IF(ISERROR(SEARCH("ASMA, OSAS",Tabella1[[#This Row],[Patologia respiratoria]],1)),0,1)</f>
        <v>0</v>
      </c>
      <c r="BQ117" s="18">
        <f>IF(ISERROR(SEARCH("OSAS e BPCO",Tabella1[[#This Row],[Patologia respiratoria]],1)),0,1)</f>
        <v>0</v>
      </c>
      <c r="BR117" s="18">
        <f>IF(ISERROR(SEARCH("OSAS",Tabella1[[#This Row],[Patologia respiratoria]],1)),0,1)</f>
        <v>0</v>
      </c>
      <c r="BS117" s="11"/>
      <c r="BT117" s="11" t="s">
        <v>1402</v>
      </c>
      <c r="BU117" s="11" t="s">
        <v>8</v>
      </c>
      <c r="BV117" s="18">
        <f>IF(ISERROR(SEARCH("ndd",Tabella1[[#This Row],[O2 terapia]],1)),0,1)</f>
        <v>0</v>
      </c>
      <c r="BW117" s="17">
        <v>0</v>
      </c>
      <c r="BX117" s="11" t="s">
        <v>1403</v>
      </c>
      <c r="BY117" s="11" t="s">
        <v>8</v>
      </c>
      <c r="BZ117" s="18">
        <v>0</v>
      </c>
      <c r="CA117" s="11" t="s">
        <v>8</v>
      </c>
      <c r="CB117" s="17">
        <v>0</v>
      </c>
      <c r="CC117" s="11" t="s">
        <v>28</v>
      </c>
      <c r="CD117" s="17">
        <v>1</v>
      </c>
      <c r="CE117" s="11" t="s">
        <v>8</v>
      </c>
      <c r="CF117" s="18">
        <v>0</v>
      </c>
      <c r="CG117" s="11" t="s">
        <v>28</v>
      </c>
      <c r="CH117" s="17">
        <v>1</v>
      </c>
      <c r="CI117" s="11" t="s">
        <v>28</v>
      </c>
      <c r="CJ117" s="17">
        <v>1</v>
      </c>
      <c r="CK117" s="11" t="s">
        <v>28</v>
      </c>
      <c r="CL117" s="17">
        <v>1</v>
      </c>
      <c r="CM117" s="11" t="s">
        <v>28</v>
      </c>
      <c r="CN117" s="17">
        <v>1</v>
      </c>
      <c r="CO117" s="11" t="s">
        <v>8</v>
      </c>
      <c r="CP117" s="18">
        <v>0</v>
      </c>
      <c r="CQ117" s="11" t="s">
        <v>69</v>
      </c>
      <c r="CR117" s="11" t="s">
        <v>1404</v>
      </c>
      <c r="CS117" s="11" t="s">
        <v>105</v>
      </c>
      <c r="CT117" s="11" t="s">
        <v>746</v>
      </c>
      <c r="CU117" s="11" t="s">
        <v>1405</v>
      </c>
      <c r="CV117" s="12" t="s">
        <v>1382</v>
      </c>
    </row>
    <row r="118" spans="1:100" ht="42.75">
      <c r="A118" s="1">
        <f t="shared" si="1"/>
        <v>117</v>
      </c>
      <c r="B118" s="5">
        <v>805</v>
      </c>
      <c r="C118" s="7"/>
      <c r="D118" s="7" t="s">
        <v>1406</v>
      </c>
      <c r="E118" s="6">
        <v>27831</v>
      </c>
      <c r="F118" s="29">
        <f ca="1">_xlfn.DAYS(NOW(),Tabella1[[#This Row],[Data di Nascita]])/365.25</f>
        <v>49.396303901437371</v>
      </c>
      <c r="G118" s="7" t="s">
        <v>1407</v>
      </c>
      <c r="H118" s="7" t="s">
        <v>1408</v>
      </c>
      <c r="I118" s="7" t="s">
        <v>1409</v>
      </c>
      <c r="J118" s="7" t="s">
        <v>618</v>
      </c>
      <c r="K118" s="11" t="s">
        <v>5477</v>
      </c>
      <c r="L118" s="17">
        <f>IF(ISERROR(SEARCH("EX",Tabella1[[#This Row],[Attività lavorativa]],1)),0,1)</f>
        <v>0</v>
      </c>
      <c r="M118" s="17"/>
      <c r="N118" s="17"/>
      <c r="O118" s="17"/>
      <c r="P118" s="17"/>
      <c r="Q118" s="17"/>
      <c r="R118" s="17"/>
      <c r="S118" s="17"/>
      <c r="T118" s="17">
        <f>IF(ISERROR(SEARCH("NDD",Tabella1[[#This Row],[Attività lavorativa]],1)),0,1)</f>
        <v>1</v>
      </c>
      <c r="U118" s="7" t="s">
        <v>1410</v>
      </c>
      <c r="V118" s="22">
        <v>15</v>
      </c>
      <c r="W118" s="22">
        <f>IF(ISERROR(SEARCH("ex",Tabella1[[#This Row],[Fumo]],1)),0,1)</f>
        <v>1</v>
      </c>
      <c r="X118" s="22">
        <f>IF(ISERROR(SEARCH("no",Tabella1[[#This Row],[Fumo]],1)),0,1)</f>
        <v>0</v>
      </c>
      <c r="Y118" s="7" t="s">
        <v>3706</v>
      </c>
      <c r="Z118" s="17">
        <f>IF(ISERROR(SEARCH("NDD",Tabella1[[#This Row],[Bevitore alcolici]],1)),0,1)</f>
        <v>0</v>
      </c>
      <c r="AA118" s="17">
        <f>IF(ISERROR(SEARCH("raro",Tabella1[[#This Row],[Bevitore alcolici]],1)),0,1)</f>
        <v>0</v>
      </c>
      <c r="AB118" s="17">
        <f>IF(ISERROR(SEARCH("saltuariamente",Tabella1[[#This Row],[Bevitore alcolici]],1)),0,1)</f>
        <v>0</v>
      </c>
      <c r="AC118" s="17">
        <f>IF(ISERROR(SEARCH("nega",Tabella1[[#This Row],[Bevitore alcolici]],1)),0,1)</f>
        <v>0</v>
      </c>
      <c r="AD118" s="17">
        <f>IF(ISERROR(SEARCH("potus",Tabella1[[#This Row],[Bevitore alcolici]],1)),0,1)</f>
        <v>0</v>
      </c>
      <c r="AE118" s="7" t="s">
        <v>5647</v>
      </c>
      <c r="AF118" s="17"/>
      <c r="AG118" s="17"/>
      <c r="AH118" s="17"/>
      <c r="AI118" s="17"/>
      <c r="AJ118" s="17"/>
      <c r="AK118" s="7" t="s">
        <v>28</v>
      </c>
      <c r="AL118" s="17">
        <f>IF(ISERROR(SEARCH("si",Tabella1[[#This Row],[Patente di guida]],1)),0,1)</f>
        <v>1</v>
      </c>
      <c r="AM118" s="7" t="s">
        <v>28</v>
      </c>
      <c r="AN118" s="17">
        <f>IF(ISERROR(SEARCH("no",Tabella1[[#This Row],[Ipertensione]],1)),0,1)</f>
        <v>0</v>
      </c>
      <c r="AO118" s="7" t="s">
        <v>382</v>
      </c>
      <c r="AP118" s="18">
        <f>IF(ISERROR(SEARCH("NO",Tabella1[[#This Row],[Cardiopatia ischemica]],1)),1,0)</f>
        <v>0</v>
      </c>
      <c r="AQ118" s="17">
        <f>IF(ISERROR(SEARCH("sconosciuto",Tabella1[[#This Row],[Cardiopatia ischemica]],1)),0,1)</f>
        <v>0</v>
      </c>
      <c r="AR118" s="7" t="s">
        <v>25</v>
      </c>
      <c r="AS118" s="22">
        <f>IF(ISERROR(SEARCH("nega",Tabella1[[#This Row],[Artimie]],1)),0,1)</f>
        <v>1</v>
      </c>
      <c r="AT118" s="7" t="s">
        <v>25</v>
      </c>
      <c r="AU118" s="22">
        <f>IF(ISERROR(SEARCH("nega",Tabella1[[#This Row],[Ipercolesterolemia]],1)),0,1)</f>
        <v>1</v>
      </c>
      <c r="AV118" s="22">
        <f>IF(ISERROR(SEARCH("boh",Tabella1[[#This Row],[Ipercolesterolemia]],1)),0,1)</f>
        <v>0</v>
      </c>
      <c r="AW118" s="7" t="s">
        <v>8</v>
      </c>
      <c r="AX118" s="22">
        <f>IF(ISERROR(SEARCH("Intolleranza",Tabella1[[#This Row],[Diabete]],1)),0,1)</f>
        <v>0</v>
      </c>
      <c r="AY118" s="22">
        <f>IF(ISERROR(SEARCH("si",Tabella1[[#This Row],[Diabete]],1)),0,1)</f>
        <v>0</v>
      </c>
      <c r="AZ118" s="7" t="s">
        <v>8</v>
      </c>
      <c r="BA118" s="17">
        <f>IF(ISERROR(SEARCH("NDD",Tabella1[[#This Row],[Patologia Tiroidea]],1)),0,1)</f>
        <v>0</v>
      </c>
      <c r="BB118" s="22">
        <f>IF(ISERROR(SEARCH("TIROIDITE",Tabella1[[#This Row],[Patologia Tiroidea]],1)),0,1)</f>
        <v>0</v>
      </c>
      <c r="BC118" s="22">
        <f>IF(ISERROR(SEARCH("HASHIMOTO",Tabella1[[#This Row],[Patologia Tiroidea]],1)),0,1)</f>
        <v>0</v>
      </c>
      <c r="BD118" s="22">
        <f>IF(ISERROR(SEARCH("BASEDOW",Tabella1[[#This Row],[Patologia Tiroidea]],1)),0,1)</f>
        <v>0</v>
      </c>
      <c r="BE118" s="22">
        <f>IF(ISERROR(SEARCH("NOD",Tabella1[[#This Row],[Patologia Tiroidea]],1)),0,1)</f>
        <v>0</v>
      </c>
      <c r="BF118" s="22">
        <f>IF(ISERROR(SEARCH("GOZ",Tabella1[[#This Row],[Patologia Tiroidea]],1)),0,1)</f>
        <v>0</v>
      </c>
      <c r="BG118" s="7" t="s">
        <v>28</v>
      </c>
      <c r="BH118" s="17">
        <f>IF(Tabella1[[#This Row],[Obesità]]="no",0,1)</f>
        <v>1</v>
      </c>
      <c r="BI118" s="7" t="s">
        <v>28</v>
      </c>
      <c r="BJ118" s="22">
        <f>IF(ISERROR(SEARCH("nega",Tabella1[[#This Row],[Reflusso gastroesofageo]],1)),1,0)</f>
        <v>1</v>
      </c>
      <c r="BK118" s="7" t="s">
        <v>5477</v>
      </c>
      <c r="BL118" s="17">
        <f>IF(ISERROR(SEARCH("NDD",Tabella1[[#This Row],[Patologia respiratoria]],1)),0,1)</f>
        <v>1</v>
      </c>
      <c r="BM118" s="17">
        <f>IF(ISERROR(SEARCH("asma",Tabella1[[#This Row],[Patologia respiratoria]],1)),0,1)</f>
        <v>0</v>
      </c>
      <c r="BN118" s="17">
        <f>IF(ISERROR(SEARCH("BPCO",Tabella1[[#This Row],[Patologia respiratoria]],1)),0,1)</f>
        <v>0</v>
      </c>
      <c r="BO118" s="17">
        <f>IF(ISERROR(SEARCH("BRONCOPOLMONITE",Tabella1[[#This Row],[Patologia respiratoria]],1)),0,1)</f>
        <v>0</v>
      </c>
      <c r="BP118" s="17">
        <f>IF(ISERROR(SEARCH("ASMA, OSAS",Tabella1[[#This Row],[Patologia respiratoria]],1)),0,1)</f>
        <v>0</v>
      </c>
      <c r="BQ118" s="17">
        <f>IF(ISERROR(SEARCH("OSAS e BPCO",Tabella1[[#This Row],[Patologia respiratoria]],1)),0,1)</f>
        <v>0</v>
      </c>
      <c r="BR118" s="17">
        <f>IF(ISERROR(SEARCH("OSAS",Tabella1[[#This Row],[Patologia respiratoria]],1)),0,1)</f>
        <v>0</v>
      </c>
      <c r="BS118" s="7"/>
      <c r="BT118" s="7" t="s">
        <v>1411</v>
      </c>
      <c r="BU118" s="7" t="s">
        <v>8</v>
      </c>
      <c r="BV118" s="17">
        <f>IF(ISERROR(SEARCH("ndd",Tabella1[[#This Row],[O2 terapia]],1)),0,1)</f>
        <v>0</v>
      </c>
      <c r="BW118" s="17">
        <v>0</v>
      </c>
      <c r="BX118" s="7"/>
      <c r="BY118" s="7" t="s">
        <v>8</v>
      </c>
      <c r="BZ118" s="18">
        <v>0</v>
      </c>
      <c r="CA118" s="7" t="s">
        <v>28</v>
      </c>
      <c r="CB118" s="17">
        <v>1</v>
      </c>
      <c r="CC118" s="7" t="s">
        <v>28</v>
      </c>
      <c r="CD118" s="17">
        <v>1</v>
      </c>
      <c r="CE118" s="7" t="s">
        <v>8</v>
      </c>
      <c r="CF118" s="18">
        <v>0</v>
      </c>
      <c r="CG118" s="7" t="s">
        <v>8</v>
      </c>
      <c r="CH118" s="17">
        <v>0</v>
      </c>
      <c r="CI118" s="7" t="s">
        <v>5477</v>
      </c>
      <c r="CJ118" s="17"/>
      <c r="CK118" s="7" t="s">
        <v>28</v>
      </c>
      <c r="CL118" s="17">
        <v>1</v>
      </c>
      <c r="CM118" s="7" t="s">
        <v>1412</v>
      </c>
      <c r="CN118" s="17">
        <v>1</v>
      </c>
      <c r="CO118" s="7" t="s">
        <v>8</v>
      </c>
      <c r="CP118" s="18">
        <v>0</v>
      </c>
      <c r="CQ118" s="7" t="s">
        <v>202</v>
      </c>
      <c r="CR118" s="7" t="s">
        <v>1413</v>
      </c>
      <c r="CS118" s="7" t="s">
        <v>71</v>
      </c>
      <c r="CT118" s="7" t="s">
        <v>554</v>
      </c>
      <c r="CU118" s="7"/>
      <c r="CV118" s="8"/>
    </row>
    <row r="119" spans="1:100" ht="42.75">
      <c r="A119" s="1">
        <f t="shared" si="1"/>
        <v>118</v>
      </c>
      <c r="B119" s="9">
        <v>806</v>
      </c>
      <c r="C119" s="11"/>
      <c r="D119" s="11" t="s">
        <v>1414</v>
      </c>
      <c r="E119" s="10">
        <v>27737</v>
      </c>
      <c r="F119" s="29">
        <f ca="1">_xlfn.DAYS(NOW(),Tabella1[[#This Row],[Data di Nascita]])/365.25</f>
        <v>49.653661875427787</v>
      </c>
      <c r="G119" s="11" t="s">
        <v>1415</v>
      </c>
      <c r="H119" s="11" t="s">
        <v>1416</v>
      </c>
      <c r="I119" s="11" t="s">
        <v>1417</v>
      </c>
      <c r="J119" s="11" t="s">
        <v>1044</v>
      </c>
      <c r="K119" s="11" t="s">
        <v>5477</v>
      </c>
      <c r="L119" s="18">
        <f>IF(ISERROR(SEARCH("EX",Tabella1[[#This Row],[Attività lavorativa]],1)),0,1)</f>
        <v>0</v>
      </c>
      <c r="M119" s="18"/>
      <c r="N119" s="18"/>
      <c r="O119" s="18"/>
      <c r="P119" s="18"/>
      <c r="Q119" s="18"/>
      <c r="R119" s="18"/>
      <c r="S119" s="18"/>
      <c r="T119" s="17">
        <f>IF(ISERROR(SEARCH("NDD",Tabella1[[#This Row],[Attività lavorativa]],1)),0,1)</f>
        <v>1</v>
      </c>
      <c r="U119" s="11" t="s">
        <v>1418</v>
      </c>
      <c r="V119" s="22">
        <v>60</v>
      </c>
      <c r="W119" s="22">
        <f>IF(ISERROR(SEARCH("ex",Tabella1[[#This Row],[Fumo]],1)),0,1)</f>
        <v>0</v>
      </c>
      <c r="X119" s="22">
        <f>IF(ISERROR(SEARCH("no",Tabella1[[#This Row],[Fumo]],1)),0,1)</f>
        <v>0</v>
      </c>
      <c r="Y119" s="11" t="s">
        <v>1419</v>
      </c>
      <c r="Z119" s="18">
        <f>IF(ISERROR(SEARCH("NDD",Tabella1[[#This Row],[Bevitore alcolici]],1)),0,1)</f>
        <v>0</v>
      </c>
      <c r="AA119" s="17">
        <f>IF(ISERROR(SEARCH("raro",Tabella1[[#This Row],[Bevitore alcolici]],1)),0,1)</f>
        <v>0</v>
      </c>
      <c r="AB119" s="17">
        <f>IF(ISERROR(SEARCH("saltuariamente",Tabella1[[#This Row],[Bevitore alcolici]],1)),0,1)</f>
        <v>0</v>
      </c>
      <c r="AC119" s="17">
        <f>IF(ISERROR(SEARCH("nega",Tabella1[[#This Row],[Bevitore alcolici]],1)),0,1)</f>
        <v>0</v>
      </c>
      <c r="AD119" s="17">
        <f>IF(ISERROR(SEARCH("potus",Tabella1[[#This Row],[Bevitore alcolici]],1)),0,1)</f>
        <v>0</v>
      </c>
      <c r="AE119" s="11" t="s">
        <v>5647</v>
      </c>
      <c r="AF119" s="18"/>
      <c r="AG119" s="18"/>
      <c r="AH119" s="18"/>
      <c r="AI119" s="18"/>
      <c r="AJ119" s="18"/>
      <c r="AK119" s="11" t="s">
        <v>28</v>
      </c>
      <c r="AL119" s="18">
        <f>IF(ISERROR(SEARCH("si",Tabella1[[#This Row],[Patente di guida]],1)),0,1)</f>
        <v>1</v>
      </c>
      <c r="AM119" s="11" t="s">
        <v>1420</v>
      </c>
      <c r="AN119" s="18">
        <f>IF(ISERROR(SEARCH("no",Tabella1[[#This Row],[Ipertensione]],1)),0,1)</f>
        <v>1</v>
      </c>
      <c r="AO119" s="11" t="s">
        <v>382</v>
      </c>
      <c r="AP119" s="18">
        <f>IF(ISERROR(SEARCH("NO",Tabella1[[#This Row],[Cardiopatia ischemica]],1)),1,0)</f>
        <v>0</v>
      </c>
      <c r="AQ119" s="17">
        <f>IF(ISERROR(SEARCH("sconosciuto",Tabella1[[#This Row],[Cardiopatia ischemica]],1)),0,1)</f>
        <v>0</v>
      </c>
      <c r="AR119" s="11" t="s">
        <v>25</v>
      </c>
      <c r="AS119" s="22">
        <f>IF(ISERROR(SEARCH("nega",Tabella1[[#This Row],[Artimie]],1)),0,1)</f>
        <v>1</v>
      </c>
      <c r="AT119" s="11" t="s">
        <v>28</v>
      </c>
      <c r="AU119" s="22">
        <f>IF(ISERROR(SEARCH("nega",Tabella1[[#This Row],[Ipercolesterolemia]],1)),0,1)</f>
        <v>0</v>
      </c>
      <c r="AV119" s="22">
        <f>IF(ISERROR(SEARCH("boh",Tabella1[[#This Row],[Ipercolesterolemia]],1)),0,1)</f>
        <v>0</v>
      </c>
      <c r="AW119" s="11" t="s">
        <v>429</v>
      </c>
      <c r="AX119" s="22">
        <f>IF(ISERROR(SEARCH("Intolleranza",Tabella1[[#This Row],[Diabete]],1)),0,1)</f>
        <v>1</v>
      </c>
      <c r="AY119" s="22">
        <f>IF(ISERROR(SEARCH("si",Tabella1[[#This Row],[Diabete]],1)),0,1)</f>
        <v>0</v>
      </c>
      <c r="AZ119" s="7" t="s">
        <v>5477</v>
      </c>
      <c r="BA119" s="17">
        <f>IF(ISERROR(SEARCH("NDD",Tabella1[[#This Row],[Patologia Tiroidea]],1)),0,1)</f>
        <v>1</v>
      </c>
      <c r="BB119" s="22">
        <f>IF(ISERROR(SEARCH("TIROIDITE",Tabella1[[#This Row],[Patologia Tiroidea]],1)),0,1)</f>
        <v>0</v>
      </c>
      <c r="BC119" s="22">
        <f>IF(ISERROR(SEARCH("HASHIMOTO",Tabella1[[#This Row],[Patologia Tiroidea]],1)),0,1)</f>
        <v>0</v>
      </c>
      <c r="BD119" s="22">
        <f>IF(ISERROR(SEARCH("BASEDOW",Tabella1[[#This Row],[Patologia Tiroidea]],1)),0,1)</f>
        <v>0</v>
      </c>
      <c r="BE119" s="22">
        <f>IF(ISERROR(SEARCH("NOD",Tabella1[[#This Row],[Patologia Tiroidea]],1)),0,1)</f>
        <v>0</v>
      </c>
      <c r="BF119" s="22">
        <f>IF(ISERROR(SEARCH("GOZ",Tabella1[[#This Row],[Patologia Tiroidea]],1)),0,1)</f>
        <v>0</v>
      </c>
      <c r="BG119" s="11" t="s">
        <v>1421</v>
      </c>
      <c r="BH119" s="18">
        <f>IF(Tabella1[[#This Row],[Obesità]]="no",0,1)</f>
        <v>1</v>
      </c>
      <c r="BI119" s="11" t="s">
        <v>28</v>
      </c>
      <c r="BJ119" s="22">
        <f>IF(ISERROR(SEARCH("nega",Tabella1[[#This Row],[Reflusso gastroesofageo]],1)),1,0)</f>
        <v>1</v>
      </c>
      <c r="BK119" s="11" t="s">
        <v>28</v>
      </c>
      <c r="BL119" s="18">
        <f>IF(ISERROR(SEARCH("NDD",Tabella1[[#This Row],[Patologia respiratoria]],1)),0,1)</f>
        <v>0</v>
      </c>
      <c r="BM119" s="18">
        <f>IF(ISERROR(SEARCH("asma",Tabella1[[#This Row],[Patologia respiratoria]],1)),0,1)</f>
        <v>0</v>
      </c>
      <c r="BN119" s="18">
        <f>IF(ISERROR(SEARCH("BPCO",Tabella1[[#This Row],[Patologia respiratoria]],1)),0,1)</f>
        <v>0</v>
      </c>
      <c r="BO119" s="18">
        <f>IF(ISERROR(SEARCH("BRONCOPOLMONITE",Tabella1[[#This Row],[Patologia respiratoria]],1)),0,1)</f>
        <v>0</v>
      </c>
      <c r="BP119" s="18">
        <f>IF(ISERROR(SEARCH("ASMA, OSAS",Tabella1[[#This Row],[Patologia respiratoria]],1)),0,1)</f>
        <v>0</v>
      </c>
      <c r="BQ119" s="18">
        <f>IF(ISERROR(SEARCH("OSAS e BPCO",Tabella1[[#This Row],[Patologia respiratoria]],1)),0,1)</f>
        <v>0</v>
      </c>
      <c r="BR119" s="18">
        <f>IF(ISERROR(SEARCH("OSAS",Tabella1[[#This Row],[Patologia respiratoria]],1)),0,1)</f>
        <v>0</v>
      </c>
      <c r="BS119" s="11"/>
      <c r="BT119" s="11" t="s">
        <v>1422</v>
      </c>
      <c r="BU119" s="11" t="s">
        <v>8</v>
      </c>
      <c r="BV119" s="18">
        <f>IF(ISERROR(SEARCH("ndd",Tabella1[[#This Row],[O2 terapia]],1)),0,1)</f>
        <v>0</v>
      </c>
      <c r="BW119" s="17">
        <v>0</v>
      </c>
      <c r="BX119" s="11"/>
      <c r="BY119" s="11" t="s">
        <v>1423</v>
      </c>
      <c r="BZ119" s="17">
        <v>1</v>
      </c>
      <c r="CA119" s="11" t="s">
        <v>28</v>
      </c>
      <c r="CB119" s="17">
        <v>1</v>
      </c>
      <c r="CC119" s="11" t="s">
        <v>28</v>
      </c>
      <c r="CD119" s="17">
        <v>1</v>
      </c>
      <c r="CE119" s="11" t="s">
        <v>28</v>
      </c>
      <c r="CF119" s="17">
        <v>1</v>
      </c>
      <c r="CG119" s="11" t="s">
        <v>28</v>
      </c>
      <c r="CH119" s="17">
        <v>1</v>
      </c>
      <c r="CI119" s="11" t="s">
        <v>28</v>
      </c>
      <c r="CJ119" s="17">
        <v>1</v>
      </c>
      <c r="CK119" s="11" t="s">
        <v>8</v>
      </c>
      <c r="CL119" s="17">
        <v>0</v>
      </c>
      <c r="CM119" s="11" t="s">
        <v>8</v>
      </c>
      <c r="CN119" s="17">
        <v>0</v>
      </c>
      <c r="CO119" s="11" t="s">
        <v>28</v>
      </c>
      <c r="CP119" s="17">
        <v>1</v>
      </c>
      <c r="CQ119" s="11" t="s">
        <v>103</v>
      </c>
      <c r="CR119" s="11" t="s">
        <v>318</v>
      </c>
      <c r="CS119" s="11" t="s">
        <v>219</v>
      </c>
      <c r="CT119" s="11" t="s">
        <v>1424</v>
      </c>
      <c r="CU119" s="11"/>
      <c r="CV119" s="12"/>
    </row>
    <row r="120" spans="1:100" ht="409.5">
      <c r="A120" s="1">
        <f t="shared" si="1"/>
        <v>119</v>
      </c>
      <c r="B120" s="5">
        <v>814</v>
      </c>
      <c r="C120" s="6">
        <v>45007</v>
      </c>
      <c r="D120" s="7" t="s">
        <v>1425</v>
      </c>
      <c r="E120" s="6">
        <v>25902</v>
      </c>
      <c r="F120" s="29">
        <f ca="1">_xlfn.DAYS(NOW(),Tabella1[[#This Row],[Data di Nascita]])/365.25</f>
        <v>54.677618069815196</v>
      </c>
      <c r="G120" s="7" t="s">
        <v>1426</v>
      </c>
      <c r="H120" s="7" t="s">
        <v>1427</v>
      </c>
      <c r="I120" s="7" t="s">
        <v>1428</v>
      </c>
      <c r="J120" s="7" t="s">
        <v>618</v>
      </c>
      <c r="K120" s="7" t="s">
        <v>1429</v>
      </c>
      <c r="L120" s="17">
        <f>IF(ISERROR(SEARCH("EX",Tabella1[[#This Row],[Attività lavorativa]],1)),0,1)</f>
        <v>0</v>
      </c>
      <c r="M120" s="17"/>
      <c r="N120" s="17"/>
      <c r="O120" s="17"/>
      <c r="P120" s="17"/>
      <c r="Q120" s="17"/>
      <c r="R120" s="17"/>
      <c r="S120" s="17"/>
      <c r="T120" s="17">
        <f>IF(ISERROR(SEARCH("NDD",Tabella1[[#This Row],[Attività lavorativa]],1)),0,1)</f>
        <v>0</v>
      </c>
      <c r="U120" s="7" t="s">
        <v>8</v>
      </c>
      <c r="V120" s="22"/>
      <c r="W120" s="22">
        <f>IF(ISERROR(SEARCH("ex",Tabella1[[#This Row],[Fumo]],1)),0,1)</f>
        <v>0</v>
      </c>
      <c r="X120" s="22">
        <f>IF(ISERROR(SEARCH("no",Tabella1[[#This Row],[Fumo]],1)),0,1)</f>
        <v>1</v>
      </c>
      <c r="Y120" s="7" t="s">
        <v>25</v>
      </c>
      <c r="Z120" s="17">
        <f>IF(ISERROR(SEARCH("NDD",Tabella1[[#This Row],[Bevitore alcolici]],1)),0,1)</f>
        <v>0</v>
      </c>
      <c r="AA120" s="17">
        <f>IF(ISERROR(SEARCH("raro",Tabella1[[#This Row],[Bevitore alcolici]],1)),0,1)</f>
        <v>0</v>
      </c>
      <c r="AB120" s="17">
        <f>IF(ISERROR(SEARCH("saltuariamente",Tabella1[[#This Row],[Bevitore alcolici]],1)),0,1)</f>
        <v>0</v>
      </c>
      <c r="AC120" s="17">
        <f>IF(ISERROR(SEARCH("nega",Tabella1[[#This Row],[Bevitore alcolici]],1)),0,1)</f>
        <v>1</v>
      </c>
      <c r="AD120" s="17">
        <f>IF(ISERROR(SEARCH("potus",Tabella1[[#This Row],[Bevitore alcolici]],1)),0,1)</f>
        <v>0</v>
      </c>
      <c r="AE120" s="7" t="s">
        <v>1430</v>
      </c>
      <c r="AF120" s="17"/>
      <c r="AG120" s="18">
        <v>1</v>
      </c>
      <c r="AH120" s="18"/>
      <c r="AI120" s="18"/>
      <c r="AJ120" s="18"/>
      <c r="AK120" s="7" t="s">
        <v>28</v>
      </c>
      <c r="AL120" s="17">
        <f>IF(ISERROR(SEARCH("si",Tabella1[[#This Row],[Patente di guida]],1)),0,1)</f>
        <v>1</v>
      </c>
      <c r="AM120" s="7" t="s">
        <v>28</v>
      </c>
      <c r="AN120" s="17">
        <f>IF(ISERROR(SEARCH("no",Tabella1[[#This Row],[Ipertensione]],1)),0,1)</f>
        <v>0</v>
      </c>
      <c r="AO120" s="7" t="s">
        <v>3733</v>
      </c>
      <c r="AP120" s="18">
        <f>IF(ISERROR(SEARCH("NO",Tabella1[[#This Row],[Cardiopatia ischemica]],1)),1,0)</f>
        <v>0</v>
      </c>
      <c r="AQ120" s="17">
        <f>IF(ISERROR(SEARCH("sconosciuto",Tabella1[[#This Row],[Cardiopatia ischemica]],1)),0,1)</f>
        <v>0</v>
      </c>
      <c r="AR120" s="7" t="s">
        <v>25</v>
      </c>
      <c r="AS120" s="22">
        <f>IF(ISERROR(SEARCH("nega",Tabella1[[#This Row],[Artimie]],1)),0,1)</f>
        <v>1</v>
      </c>
      <c r="AT120" s="7" t="s">
        <v>47</v>
      </c>
      <c r="AU120" s="22">
        <f>IF(ISERROR(SEARCH("nega",Tabella1[[#This Row],[Ipercolesterolemia]],1)),0,1)</f>
        <v>0</v>
      </c>
      <c r="AV120" s="22">
        <f>IF(ISERROR(SEARCH("boh",Tabella1[[#This Row],[Ipercolesterolemia]],1)),0,1)</f>
        <v>0</v>
      </c>
      <c r="AW120" s="7" t="s">
        <v>8</v>
      </c>
      <c r="AX120" s="22">
        <f>IF(ISERROR(SEARCH("Intolleranza",Tabella1[[#This Row],[Diabete]],1)),0,1)</f>
        <v>0</v>
      </c>
      <c r="AY120" s="22">
        <f>IF(ISERROR(SEARCH("si",Tabella1[[#This Row],[Diabete]],1)),0,1)</f>
        <v>0</v>
      </c>
      <c r="AZ120" s="7" t="s">
        <v>8</v>
      </c>
      <c r="BA120" s="17">
        <f>IF(ISERROR(SEARCH("NDD",Tabella1[[#This Row],[Patologia Tiroidea]],1)),0,1)</f>
        <v>0</v>
      </c>
      <c r="BB120" s="22">
        <f>IF(ISERROR(SEARCH("TIROIDITE",Tabella1[[#This Row],[Patologia Tiroidea]],1)),0,1)</f>
        <v>0</v>
      </c>
      <c r="BC120" s="22">
        <f>IF(ISERROR(SEARCH("HASHIMOTO",Tabella1[[#This Row],[Patologia Tiroidea]],1)),0,1)</f>
        <v>0</v>
      </c>
      <c r="BD120" s="22">
        <f>IF(ISERROR(SEARCH("BASEDOW",Tabella1[[#This Row],[Patologia Tiroidea]],1)),0,1)</f>
        <v>0</v>
      </c>
      <c r="BE120" s="22">
        <f>IF(ISERROR(SEARCH("NOD",Tabella1[[#This Row],[Patologia Tiroidea]],1)),0,1)</f>
        <v>0</v>
      </c>
      <c r="BF120" s="22">
        <f>IF(ISERROR(SEARCH("GOZ",Tabella1[[#This Row],[Patologia Tiroidea]],1)),0,1)</f>
        <v>0</v>
      </c>
      <c r="BG120" s="7" t="s">
        <v>8</v>
      </c>
      <c r="BH120" s="17">
        <f>IF(Tabella1[[#This Row],[Obesità]]="no",0,1)</f>
        <v>0</v>
      </c>
      <c r="BI120" s="7" t="s">
        <v>354</v>
      </c>
      <c r="BJ120" s="22">
        <f>IF(ISERROR(SEARCH("nega",Tabella1[[#This Row],[Reflusso gastroesofageo]],1)),1,0)</f>
        <v>1</v>
      </c>
      <c r="BK120" s="7" t="s">
        <v>3805</v>
      </c>
      <c r="BL120" s="17">
        <f>IF(ISERROR(SEARCH("NDD",Tabella1[[#This Row],[Patologia respiratoria]],1)),0,1)</f>
        <v>0</v>
      </c>
      <c r="BM120" s="17">
        <f>IF(ISERROR(SEARCH("asma",Tabella1[[#This Row],[Patologia respiratoria]],1)),0,1)</f>
        <v>1</v>
      </c>
      <c r="BN120" s="17">
        <f>IF(ISERROR(SEARCH("BPCO",Tabella1[[#This Row],[Patologia respiratoria]],1)),0,1)</f>
        <v>0</v>
      </c>
      <c r="BO120" s="17">
        <f>IF(ISERROR(SEARCH("BRONCOPOLMONITE",Tabella1[[#This Row],[Patologia respiratoria]],1)),0,1)</f>
        <v>0</v>
      </c>
      <c r="BP120" s="17">
        <f>IF(ISERROR(SEARCH("ASMA, OSAS",Tabella1[[#This Row],[Patologia respiratoria]],1)),0,1)</f>
        <v>0</v>
      </c>
      <c r="BQ120" s="17">
        <f>IF(ISERROR(SEARCH("OSAS e BPCO",Tabella1[[#This Row],[Patologia respiratoria]],1)),0,1)</f>
        <v>0</v>
      </c>
      <c r="BR120" s="17">
        <f>IF(ISERROR(SEARCH("OSAS",Tabella1[[#This Row],[Patologia respiratoria]],1)),0,1)</f>
        <v>0</v>
      </c>
      <c r="BS120" s="7"/>
      <c r="BT120" s="7" t="s">
        <v>1431</v>
      </c>
      <c r="BU120" s="7" t="s">
        <v>8</v>
      </c>
      <c r="BV120" s="17">
        <f>IF(ISERROR(SEARCH("ndd",Tabella1[[#This Row],[O2 terapia]],1)),0,1)</f>
        <v>0</v>
      </c>
      <c r="BW120" s="17">
        <v>0</v>
      </c>
      <c r="BX120" s="7"/>
      <c r="BY120" s="7" t="s">
        <v>8</v>
      </c>
      <c r="BZ120" s="18">
        <v>0</v>
      </c>
      <c r="CA120" s="7" t="s">
        <v>8</v>
      </c>
      <c r="CB120" s="17">
        <v>0</v>
      </c>
      <c r="CC120" s="7" t="s">
        <v>1432</v>
      </c>
      <c r="CD120" s="17">
        <v>1</v>
      </c>
      <c r="CE120" s="7" t="s">
        <v>8</v>
      </c>
      <c r="CF120" s="18">
        <v>0</v>
      </c>
      <c r="CG120" s="7" t="s">
        <v>8</v>
      </c>
      <c r="CH120" s="17">
        <v>0</v>
      </c>
      <c r="CI120" s="7" t="s">
        <v>354</v>
      </c>
      <c r="CJ120" s="17">
        <v>1</v>
      </c>
      <c r="CK120" s="7" t="s">
        <v>1433</v>
      </c>
      <c r="CL120" s="17">
        <v>1</v>
      </c>
      <c r="CM120" s="7" t="s">
        <v>8</v>
      </c>
      <c r="CN120" s="17">
        <v>0</v>
      </c>
      <c r="CO120" s="7" t="s">
        <v>8</v>
      </c>
      <c r="CP120" s="18">
        <v>0</v>
      </c>
      <c r="CQ120" s="7" t="s">
        <v>54</v>
      </c>
      <c r="CR120" s="7" t="s">
        <v>152</v>
      </c>
      <c r="CS120" s="7" t="s">
        <v>71</v>
      </c>
      <c r="CT120" s="7" t="s">
        <v>787</v>
      </c>
      <c r="CU120" s="7" t="s">
        <v>1434</v>
      </c>
      <c r="CV120" s="8" t="s">
        <v>1435</v>
      </c>
    </row>
    <row r="121" spans="1:100" ht="28.5">
      <c r="A121" s="1">
        <f t="shared" si="1"/>
        <v>120</v>
      </c>
      <c r="B121" s="9">
        <v>818</v>
      </c>
      <c r="C121" s="10">
        <v>45009</v>
      </c>
      <c r="D121" s="11" t="s">
        <v>1436</v>
      </c>
      <c r="E121" s="10">
        <v>23901</v>
      </c>
      <c r="F121" s="29">
        <f ca="1">_xlfn.DAYS(NOW(),Tabella1[[#This Row],[Data di Nascita]])/365.25</f>
        <v>60.156057494866531</v>
      </c>
      <c r="G121" s="11" t="s">
        <v>1437</v>
      </c>
      <c r="H121" s="11"/>
      <c r="I121" s="11" t="s">
        <v>1438</v>
      </c>
      <c r="J121" s="11" t="s">
        <v>618</v>
      </c>
      <c r="K121" s="11" t="s">
        <v>1439</v>
      </c>
      <c r="L121" s="18">
        <f>IF(ISERROR(SEARCH("EX",Tabella1[[#This Row],[Attività lavorativa]],1)),0,1)</f>
        <v>0</v>
      </c>
      <c r="M121" s="18"/>
      <c r="N121" s="18"/>
      <c r="O121" s="18">
        <v>1</v>
      </c>
      <c r="P121" s="18"/>
      <c r="Q121" s="18"/>
      <c r="R121" s="18"/>
      <c r="S121" s="18"/>
      <c r="T121" s="17">
        <f>IF(ISERROR(SEARCH("NDD",Tabella1[[#This Row],[Attività lavorativa]],1)),0,1)</f>
        <v>0</v>
      </c>
      <c r="U121" s="11" t="s">
        <v>8</v>
      </c>
      <c r="V121" s="22"/>
      <c r="W121" s="22">
        <f>IF(ISERROR(SEARCH("ex",Tabella1[[#This Row],[Fumo]],1)),0,1)</f>
        <v>0</v>
      </c>
      <c r="X121" s="22">
        <f>IF(ISERROR(SEARCH("no",Tabella1[[#This Row],[Fumo]],1)),0,1)</f>
        <v>1</v>
      </c>
      <c r="Y121" s="11" t="s">
        <v>25</v>
      </c>
      <c r="Z121" s="18">
        <f>IF(ISERROR(SEARCH("NDD",Tabella1[[#This Row],[Bevitore alcolici]],1)),0,1)</f>
        <v>0</v>
      </c>
      <c r="AA121" s="17">
        <f>IF(ISERROR(SEARCH("raro",Tabella1[[#This Row],[Bevitore alcolici]],1)),0,1)</f>
        <v>0</v>
      </c>
      <c r="AB121" s="17">
        <f>IF(ISERROR(SEARCH("saltuariamente",Tabella1[[#This Row],[Bevitore alcolici]],1)),0,1)</f>
        <v>0</v>
      </c>
      <c r="AC121" s="17">
        <f>IF(ISERROR(SEARCH("nega",Tabella1[[#This Row],[Bevitore alcolici]],1)),0,1)</f>
        <v>1</v>
      </c>
      <c r="AD121" s="17">
        <f>IF(ISERROR(SEARCH("potus",Tabella1[[#This Row],[Bevitore alcolici]],1)),0,1)</f>
        <v>0</v>
      </c>
      <c r="AE121" s="11" t="s">
        <v>5477</v>
      </c>
      <c r="AF121" s="18">
        <v>1</v>
      </c>
      <c r="AG121" s="18"/>
      <c r="AH121" s="18"/>
      <c r="AI121" s="18"/>
      <c r="AJ121" s="18"/>
      <c r="AK121" s="11" t="s">
        <v>28</v>
      </c>
      <c r="AL121" s="18">
        <f>IF(ISERROR(SEARCH("si",Tabella1[[#This Row],[Patente di guida]],1)),0,1)</f>
        <v>1</v>
      </c>
      <c r="AM121" s="11" t="s">
        <v>28</v>
      </c>
      <c r="AN121" s="18">
        <f>IF(ISERROR(SEARCH("no",Tabella1[[#This Row],[Ipertensione]],1)),0,1)</f>
        <v>0</v>
      </c>
      <c r="AO121" s="11" t="s">
        <v>382</v>
      </c>
      <c r="AP121" s="18">
        <f>IF(ISERROR(SEARCH("NO",Tabella1[[#This Row],[Cardiopatia ischemica]],1)),1,0)</f>
        <v>0</v>
      </c>
      <c r="AQ121" s="17">
        <f>IF(ISERROR(SEARCH("sconosciuto",Tabella1[[#This Row],[Cardiopatia ischemica]],1)),0,1)</f>
        <v>0</v>
      </c>
      <c r="AR121" s="11" t="s">
        <v>1440</v>
      </c>
      <c r="AS121" s="22">
        <f>IF(ISERROR(SEARCH("nega",Tabella1[[#This Row],[Artimie]],1)),0,1)</f>
        <v>0</v>
      </c>
      <c r="AT121" s="11" t="s">
        <v>28</v>
      </c>
      <c r="AU121" s="22">
        <f>IF(ISERROR(SEARCH("nega",Tabella1[[#This Row],[Ipercolesterolemia]],1)),0,1)</f>
        <v>0</v>
      </c>
      <c r="AV121" s="22">
        <f>IF(ISERROR(SEARCH("boh",Tabella1[[#This Row],[Ipercolesterolemia]],1)),0,1)</f>
        <v>0</v>
      </c>
      <c r="AW121" s="11" t="s">
        <v>8</v>
      </c>
      <c r="AX121" s="22">
        <f>IF(ISERROR(SEARCH("Intolleranza",Tabella1[[#This Row],[Diabete]],1)),0,1)</f>
        <v>0</v>
      </c>
      <c r="AY121" s="22">
        <f>IF(ISERROR(SEARCH("si",Tabella1[[#This Row],[Diabete]],1)),0,1)</f>
        <v>0</v>
      </c>
      <c r="AZ121" s="11" t="s">
        <v>8</v>
      </c>
      <c r="BA121" s="18">
        <f>IF(ISERROR(SEARCH("NDD",Tabella1[[#This Row],[Patologia Tiroidea]],1)),0,1)</f>
        <v>0</v>
      </c>
      <c r="BB121" s="22">
        <f>IF(ISERROR(SEARCH("TIROIDITE",Tabella1[[#This Row],[Patologia Tiroidea]],1)),0,1)</f>
        <v>0</v>
      </c>
      <c r="BC121" s="22">
        <f>IF(ISERROR(SEARCH("HASHIMOTO",Tabella1[[#This Row],[Patologia Tiroidea]],1)),0,1)</f>
        <v>0</v>
      </c>
      <c r="BD121" s="22">
        <f>IF(ISERROR(SEARCH("BASEDOW",Tabella1[[#This Row],[Patologia Tiroidea]],1)),0,1)</f>
        <v>0</v>
      </c>
      <c r="BE121" s="22">
        <f>IF(ISERROR(SEARCH("NOD",Tabella1[[#This Row],[Patologia Tiroidea]],1)),0,1)</f>
        <v>0</v>
      </c>
      <c r="BF121" s="22">
        <f>IF(ISERROR(SEARCH("GOZ",Tabella1[[#This Row],[Patologia Tiroidea]],1)),0,1)</f>
        <v>0</v>
      </c>
      <c r="BG121" s="11" t="s">
        <v>28</v>
      </c>
      <c r="BH121" s="18">
        <f>IF(Tabella1[[#This Row],[Obesità]]="no",0,1)</f>
        <v>1</v>
      </c>
      <c r="BI121" s="11" t="s">
        <v>28</v>
      </c>
      <c r="BJ121" s="22">
        <f>IF(ISERROR(SEARCH("nega",Tabella1[[#This Row],[Reflusso gastroesofageo]],1)),1,0)</f>
        <v>1</v>
      </c>
      <c r="BK121" s="11" t="s">
        <v>8</v>
      </c>
      <c r="BL121" s="18">
        <f>IF(ISERROR(SEARCH("NDD",Tabella1[[#This Row],[Patologia respiratoria]],1)),0,1)</f>
        <v>0</v>
      </c>
      <c r="BM121" s="18">
        <f>IF(ISERROR(SEARCH("asma",Tabella1[[#This Row],[Patologia respiratoria]],1)),0,1)</f>
        <v>0</v>
      </c>
      <c r="BN121" s="18">
        <f>IF(ISERROR(SEARCH("BPCO",Tabella1[[#This Row],[Patologia respiratoria]],1)),0,1)</f>
        <v>0</v>
      </c>
      <c r="BO121" s="18">
        <f>IF(ISERROR(SEARCH("BRONCOPOLMONITE",Tabella1[[#This Row],[Patologia respiratoria]],1)),0,1)</f>
        <v>0</v>
      </c>
      <c r="BP121" s="18">
        <f>IF(ISERROR(SEARCH("ASMA, OSAS",Tabella1[[#This Row],[Patologia respiratoria]],1)),0,1)</f>
        <v>0</v>
      </c>
      <c r="BQ121" s="18">
        <f>IF(ISERROR(SEARCH("OSAS e BPCO",Tabella1[[#This Row],[Patologia respiratoria]],1)),0,1)</f>
        <v>0</v>
      </c>
      <c r="BR121" s="18">
        <f>IF(ISERROR(SEARCH("OSAS",Tabella1[[#This Row],[Patologia respiratoria]],1)),0,1)</f>
        <v>0</v>
      </c>
      <c r="BS121" s="11"/>
      <c r="BT121" s="11" t="s">
        <v>1441</v>
      </c>
      <c r="BU121" s="11" t="s">
        <v>8</v>
      </c>
      <c r="BV121" s="18">
        <f>IF(ISERROR(SEARCH("ndd",Tabella1[[#This Row],[O2 terapia]],1)),0,1)</f>
        <v>0</v>
      </c>
      <c r="BW121" s="17">
        <v>0</v>
      </c>
      <c r="BX121" s="11"/>
      <c r="BY121" s="11" t="s">
        <v>8</v>
      </c>
      <c r="BZ121" s="18">
        <v>0</v>
      </c>
      <c r="CA121" s="11" t="s">
        <v>28</v>
      </c>
      <c r="CB121" s="17">
        <v>1</v>
      </c>
      <c r="CC121" s="11" t="s">
        <v>28</v>
      </c>
      <c r="CD121" s="17">
        <v>1</v>
      </c>
      <c r="CE121" s="11" t="s">
        <v>28</v>
      </c>
      <c r="CF121" s="17">
        <v>1</v>
      </c>
      <c r="CG121" s="11" t="s">
        <v>28</v>
      </c>
      <c r="CH121" s="17">
        <v>1</v>
      </c>
      <c r="CI121" s="11" t="s">
        <v>8</v>
      </c>
      <c r="CJ121" s="18">
        <v>0</v>
      </c>
      <c r="CK121" s="11" t="s">
        <v>8</v>
      </c>
      <c r="CL121" s="17">
        <v>0</v>
      </c>
      <c r="CM121" s="11" t="s">
        <v>28</v>
      </c>
      <c r="CN121" s="17">
        <v>1</v>
      </c>
      <c r="CO121" s="11" t="s">
        <v>28</v>
      </c>
      <c r="CP121" s="17">
        <v>1</v>
      </c>
      <c r="CQ121" s="11" t="s">
        <v>35</v>
      </c>
      <c r="CR121" s="11" t="s">
        <v>1442</v>
      </c>
      <c r="CS121" s="11" t="s">
        <v>1443</v>
      </c>
      <c r="CT121" s="11" t="s">
        <v>1444</v>
      </c>
      <c r="CU121" s="11"/>
      <c r="CV121" s="12"/>
    </row>
    <row r="122" spans="1:100">
      <c r="A122" s="1">
        <f t="shared" si="1"/>
        <v>121</v>
      </c>
      <c r="B122" s="5">
        <v>832</v>
      </c>
      <c r="C122" s="6">
        <v>45015</v>
      </c>
      <c r="D122" s="7" t="s">
        <v>1445</v>
      </c>
      <c r="E122" s="6">
        <v>14691</v>
      </c>
      <c r="F122" s="29">
        <f ca="1">_xlfn.DAYS(NOW(),Tabella1[[#This Row],[Data di Nascita]])/365.25</f>
        <v>85.371663244353186</v>
      </c>
      <c r="G122" s="7" t="s">
        <v>1446</v>
      </c>
      <c r="H122" s="7" t="s">
        <v>1447</v>
      </c>
      <c r="I122" s="7" t="s">
        <v>1448</v>
      </c>
      <c r="J122" s="7" t="s">
        <v>1264</v>
      </c>
      <c r="K122" s="7" t="s">
        <v>428</v>
      </c>
      <c r="L122" s="18">
        <v>1</v>
      </c>
      <c r="M122" s="17"/>
      <c r="N122" s="17"/>
      <c r="O122" s="17"/>
      <c r="P122" s="17"/>
      <c r="Q122" s="17"/>
      <c r="R122" s="17"/>
      <c r="S122" s="17"/>
      <c r="T122" s="17">
        <f>IF(ISERROR(SEARCH("NDD",Tabella1[[#This Row],[Attività lavorativa]],1)),0,1)</f>
        <v>0</v>
      </c>
      <c r="U122" s="7" t="s">
        <v>8</v>
      </c>
      <c r="V122" s="22"/>
      <c r="W122" s="22">
        <f>IF(ISERROR(SEARCH("ex",Tabella1[[#This Row],[Fumo]],1)),0,1)</f>
        <v>0</v>
      </c>
      <c r="X122" s="22">
        <f>IF(ISERROR(SEARCH("no",Tabella1[[#This Row],[Fumo]],1)),0,1)</f>
        <v>1</v>
      </c>
      <c r="Y122" s="7" t="s">
        <v>25</v>
      </c>
      <c r="Z122" s="17">
        <f>IF(ISERROR(SEARCH("NDD",Tabella1[[#This Row],[Bevitore alcolici]],1)),0,1)</f>
        <v>0</v>
      </c>
      <c r="AA122" s="17">
        <f>IF(ISERROR(SEARCH("raro",Tabella1[[#This Row],[Bevitore alcolici]],1)),0,1)</f>
        <v>0</v>
      </c>
      <c r="AB122" s="17">
        <f>IF(ISERROR(SEARCH("saltuariamente",Tabella1[[#This Row],[Bevitore alcolici]],1)),0,1)</f>
        <v>0</v>
      </c>
      <c r="AC122" s="17">
        <f>IF(ISERROR(SEARCH("nega",Tabella1[[#This Row],[Bevitore alcolici]],1)),0,1)</f>
        <v>1</v>
      </c>
      <c r="AD122" s="17">
        <f>IF(ISERROR(SEARCH("potus",Tabella1[[#This Row],[Bevitore alcolici]],1)),0,1)</f>
        <v>0</v>
      </c>
      <c r="AE122" s="7" t="s">
        <v>657</v>
      </c>
      <c r="AF122" s="17"/>
      <c r="AG122" s="17"/>
      <c r="AH122" s="17"/>
      <c r="AI122" s="17"/>
      <c r="AJ122" s="17"/>
      <c r="AK122" s="7" t="s">
        <v>8</v>
      </c>
      <c r="AL122" s="17">
        <f>IF(ISERROR(SEARCH("si",Tabella1[[#This Row],[Patente di guida]],1)),0,1)</f>
        <v>0</v>
      </c>
      <c r="AM122" s="7" t="s">
        <v>28</v>
      </c>
      <c r="AN122" s="17">
        <f>IF(ISERROR(SEARCH("no",Tabella1[[#This Row],[Ipertensione]],1)),0,1)</f>
        <v>0</v>
      </c>
      <c r="AO122" s="7" t="s">
        <v>28</v>
      </c>
      <c r="AP122" s="18">
        <f>IF(ISERROR(SEARCH("NO",Tabella1[[#This Row],[Cardiopatia ischemica]],1)),1,0)</f>
        <v>1</v>
      </c>
      <c r="AQ122" s="17">
        <f>IF(ISERROR(SEARCH("sconosciuto",Tabella1[[#This Row],[Cardiopatia ischemica]],1)),0,1)</f>
        <v>0</v>
      </c>
      <c r="AR122" s="7" t="s">
        <v>25</v>
      </c>
      <c r="AS122" s="22">
        <f>IF(ISERROR(SEARCH("nega",Tabella1[[#This Row],[Artimie]],1)),0,1)</f>
        <v>1</v>
      </c>
      <c r="AT122" s="7" t="s">
        <v>25</v>
      </c>
      <c r="AU122" s="22">
        <f>IF(ISERROR(SEARCH("nega",Tabella1[[#This Row],[Ipercolesterolemia]],1)),0,1)</f>
        <v>1</v>
      </c>
      <c r="AV122" s="22">
        <f>IF(ISERROR(SEARCH("boh",Tabella1[[#This Row],[Ipercolesterolemia]],1)),0,1)</f>
        <v>0</v>
      </c>
      <c r="AW122" s="7" t="s">
        <v>8</v>
      </c>
      <c r="AX122" s="22">
        <f>IF(ISERROR(SEARCH("Intolleranza",Tabella1[[#This Row],[Diabete]],1)),0,1)</f>
        <v>0</v>
      </c>
      <c r="AY122" s="22">
        <f>IF(ISERROR(SEARCH("si",Tabella1[[#This Row],[Diabete]],1)),0,1)</f>
        <v>0</v>
      </c>
      <c r="AZ122" s="7" t="s">
        <v>8</v>
      </c>
      <c r="BA122" s="17">
        <f>IF(ISERROR(SEARCH("NDD",Tabella1[[#This Row],[Patologia Tiroidea]],1)),0,1)</f>
        <v>0</v>
      </c>
      <c r="BB122" s="22">
        <f>IF(ISERROR(SEARCH("TIROIDITE",Tabella1[[#This Row],[Patologia Tiroidea]],1)),0,1)</f>
        <v>0</v>
      </c>
      <c r="BC122" s="22">
        <f>IF(ISERROR(SEARCH("HASHIMOTO",Tabella1[[#This Row],[Patologia Tiroidea]],1)),0,1)</f>
        <v>0</v>
      </c>
      <c r="BD122" s="22">
        <f>IF(ISERROR(SEARCH("BASEDOW",Tabella1[[#This Row],[Patologia Tiroidea]],1)),0,1)</f>
        <v>0</v>
      </c>
      <c r="BE122" s="22">
        <f>IF(ISERROR(SEARCH("NOD",Tabella1[[#This Row],[Patologia Tiroidea]],1)),0,1)</f>
        <v>0</v>
      </c>
      <c r="BF122" s="22">
        <f>IF(ISERROR(SEARCH("GOZ",Tabella1[[#This Row],[Patologia Tiroidea]],1)),0,1)</f>
        <v>0</v>
      </c>
      <c r="BG122" s="7" t="s">
        <v>8</v>
      </c>
      <c r="BH122" s="17">
        <f>IF(Tabella1[[#This Row],[Obesità]]="no",0,1)</f>
        <v>0</v>
      </c>
      <c r="BI122" s="7" t="s">
        <v>25</v>
      </c>
      <c r="BJ122" s="22">
        <f>IF(ISERROR(SEARCH("nega",Tabella1[[#This Row],[Reflusso gastroesofageo]],1)),1,0)</f>
        <v>0</v>
      </c>
      <c r="BK122" s="7" t="s">
        <v>8</v>
      </c>
      <c r="BL122" s="17">
        <f>IF(ISERROR(SEARCH("NDD",Tabella1[[#This Row],[Patologia respiratoria]],1)),0,1)</f>
        <v>0</v>
      </c>
      <c r="BM122" s="17">
        <f>IF(ISERROR(SEARCH("asma",Tabella1[[#This Row],[Patologia respiratoria]],1)),0,1)</f>
        <v>0</v>
      </c>
      <c r="BN122" s="17">
        <f>IF(ISERROR(SEARCH("BPCO",Tabella1[[#This Row],[Patologia respiratoria]],1)),0,1)</f>
        <v>0</v>
      </c>
      <c r="BO122" s="17">
        <f>IF(ISERROR(SEARCH("BRONCOPOLMONITE",Tabella1[[#This Row],[Patologia respiratoria]],1)),0,1)</f>
        <v>0</v>
      </c>
      <c r="BP122" s="17">
        <f>IF(ISERROR(SEARCH("ASMA, OSAS",Tabella1[[#This Row],[Patologia respiratoria]],1)),0,1)</f>
        <v>0</v>
      </c>
      <c r="BQ122" s="17">
        <f>IF(ISERROR(SEARCH("OSAS e BPCO",Tabella1[[#This Row],[Patologia respiratoria]],1)),0,1)</f>
        <v>0</v>
      </c>
      <c r="BR122" s="17">
        <f>IF(ISERROR(SEARCH("OSAS",Tabella1[[#This Row],[Patologia respiratoria]],1)),0,1)</f>
        <v>0</v>
      </c>
      <c r="BS122" s="7"/>
      <c r="BT122" s="7"/>
      <c r="BU122" s="7" t="s">
        <v>8</v>
      </c>
      <c r="BV122" s="17">
        <f>IF(ISERROR(SEARCH("ndd",Tabella1[[#This Row],[O2 terapia]],1)),0,1)</f>
        <v>0</v>
      </c>
      <c r="BW122" s="17">
        <v>0</v>
      </c>
      <c r="BX122" s="7"/>
      <c r="BY122" s="7" t="s">
        <v>28</v>
      </c>
      <c r="BZ122" s="17">
        <v>1</v>
      </c>
      <c r="CA122" s="7" t="s">
        <v>8</v>
      </c>
      <c r="CB122" s="17">
        <v>0</v>
      </c>
      <c r="CC122" s="7" t="s">
        <v>28</v>
      </c>
      <c r="CD122" s="17">
        <v>1</v>
      </c>
      <c r="CE122" s="7" t="s">
        <v>8</v>
      </c>
      <c r="CF122" s="18">
        <v>0</v>
      </c>
      <c r="CG122" s="7" t="s">
        <v>8</v>
      </c>
      <c r="CH122" s="17">
        <v>0</v>
      </c>
      <c r="CI122" s="7" t="s">
        <v>8</v>
      </c>
      <c r="CJ122" s="18">
        <v>0</v>
      </c>
      <c r="CK122" s="7" t="s">
        <v>8</v>
      </c>
      <c r="CL122" s="17">
        <v>0</v>
      </c>
      <c r="CM122" s="7" t="s">
        <v>28</v>
      </c>
      <c r="CN122" s="17">
        <v>1</v>
      </c>
      <c r="CO122" s="7" t="s">
        <v>8</v>
      </c>
      <c r="CP122" s="18">
        <v>0</v>
      </c>
      <c r="CQ122" s="7" t="s">
        <v>13</v>
      </c>
      <c r="CR122" s="7"/>
      <c r="CS122" s="7"/>
      <c r="CT122" s="7"/>
      <c r="CU122" s="7"/>
      <c r="CV122" s="8"/>
    </row>
    <row r="123" spans="1:100" ht="42.75">
      <c r="A123" s="1">
        <f t="shared" si="1"/>
        <v>122</v>
      </c>
      <c r="B123" s="9">
        <v>833</v>
      </c>
      <c r="C123" s="10">
        <v>45015</v>
      </c>
      <c r="D123" s="11" t="s">
        <v>1449</v>
      </c>
      <c r="E123" s="10">
        <v>28602</v>
      </c>
      <c r="F123" s="29">
        <f ca="1">_xlfn.DAYS(NOW(),Tabella1[[#This Row],[Data di Nascita]])/365.25</f>
        <v>47.285420944558524</v>
      </c>
      <c r="G123" s="11" t="s">
        <v>1450</v>
      </c>
      <c r="H123" s="11" t="s">
        <v>1451</v>
      </c>
      <c r="I123" s="11" t="s">
        <v>1452</v>
      </c>
      <c r="J123" s="11" t="s">
        <v>618</v>
      </c>
      <c r="K123" s="11" t="s">
        <v>5</v>
      </c>
      <c r="L123" s="18">
        <f>IF(ISERROR(SEARCH("EX",Tabella1[[#This Row],[Attività lavorativa]],1)),0,1)</f>
        <v>0</v>
      </c>
      <c r="M123" s="18"/>
      <c r="N123" s="17">
        <v>1</v>
      </c>
      <c r="O123" s="17"/>
      <c r="P123" s="17"/>
      <c r="Q123" s="17"/>
      <c r="R123" s="17"/>
      <c r="S123" s="17"/>
      <c r="T123" s="17">
        <f>IF(ISERROR(SEARCH("NDD",Tabella1[[#This Row],[Attività lavorativa]],1)),0,1)</f>
        <v>0</v>
      </c>
      <c r="U123" s="11" t="s">
        <v>1453</v>
      </c>
      <c r="V123" s="22">
        <v>15</v>
      </c>
      <c r="W123" s="22">
        <f>IF(ISERROR(SEARCH("ex",Tabella1[[#This Row],[Fumo]],1)),0,1)</f>
        <v>1</v>
      </c>
      <c r="X123" s="22">
        <f>IF(ISERROR(SEARCH("no",Tabella1[[#This Row],[Fumo]],1)),0,1)</f>
        <v>0</v>
      </c>
      <c r="Y123" s="11" t="s">
        <v>3697</v>
      </c>
      <c r="Z123" s="18">
        <f>IF(ISERROR(SEARCH("NDD",Tabella1[[#This Row],[Bevitore alcolici]],1)),0,1)</f>
        <v>0</v>
      </c>
      <c r="AA123" s="17">
        <f>IF(ISERROR(SEARCH("raro",Tabella1[[#This Row],[Bevitore alcolici]],1)),0,1)</f>
        <v>0</v>
      </c>
      <c r="AB123" s="17">
        <f>IF(ISERROR(SEARCH("saltuariamente",Tabella1[[#This Row],[Bevitore alcolici]],1)),0,1)</f>
        <v>1</v>
      </c>
      <c r="AC123" s="17">
        <f>IF(ISERROR(SEARCH("nega",Tabella1[[#This Row],[Bevitore alcolici]],1)),0,1)</f>
        <v>0</v>
      </c>
      <c r="AD123" s="17">
        <f>IF(ISERROR(SEARCH("potus",Tabella1[[#This Row],[Bevitore alcolici]],1)),0,1)</f>
        <v>0</v>
      </c>
      <c r="AE123" s="11" t="s">
        <v>657</v>
      </c>
      <c r="AF123" s="18"/>
      <c r="AG123" s="18"/>
      <c r="AH123" s="18"/>
      <c r="AI123" s="18"/>
      <c r="AJ123" s="18"/>
      <c r="AK123" s="11" t="s">
        <v>28</v>
      </c>
      <c r="AL123" s="18">
        <f>IF(ISERROR(SEARCH("si",Tabella1[[#This Row],[Patente di guida]],1)),0,1)</f>
        <v>1</v>
      </c>
      <c r="AM123" s="11" t="s">
        <v>8</v>
      </c>
      <c r="AN123" s="18">
        <f>IF(ISERROR(SEARCH("no",Tabella1[[#This Row],[Ipertensione]],1)),0,1)</f>
        <v>1</v>
      </c>
      <c r="AO123" s="11" t="s">
        <v>382</v>
      </c>
      <c r="AP123" s="18">
        <f>IF(ISERROR(SEARCH("NO",Tabella1[[#This Row],[Cardiopatia ischemica]],1)),1,0)</f>
        <v>0</v>
      </c>
      <c r="AQ123" s="17">
        <f>IF(ISERROR(SEARCH("sconosciuto",Tabella1[[#This Row],[Cardiopatia ischemica]],1)),0,1)</f>
        <v>0</v>
      </c>
      <c r="AR123" s="11" t="s">
        <v>25</v>
      </c>
      <c r="AS123" s="22">
        <f>IF(ISERROR(SEARCH("nega",Tabella1[[#This Row],[Artimie]],1)),0,1)</f>
        <v>1</v>
      </c>
      <c r="AT123" s="11" t="s">
        <v>25</v>
      </c>
      <c r="AU123" s="22">
        <f>IF(ISERROR(SEARCH("nega",Tabella1[[#This Row],[Ipercolesterolemia]],1)),0,1)</f>
        <v>1</v>
      </c>
      <c r="AV123" s="22">
        <f>IF(ISERROR(SEARCH("boh",Tabella1[[#This Row],[Ipercolesterolemia]],1)),0,1)</f>
        <v>0</v>
      </c>
      <c r="AW123" s="11" t="s">
        <v>8</v>
      </c>
      <c r="AX123" s="22">
        <f>IF(ISERROR(SEARCH("Intolleranza",Tabella1[[#This Row],[Diabete]],1)),0,1)</f>
        <v>0</v>
      </c>
      <c r="AY123" s="22">
        <f>IF(ISERROR(SEARCH("si",Tabella1[[#This Row],[Diabete]],1)),0,1)</f>
        <v>0</v>
      </c>
      <c r="AZ123" s="11" t="s">
        <v>8</v>
      </c>
      <c r="BA123" s="18">
        <f>IF(ISERROR(SEARCH("NDD",Tabella1[[#This Row],[Patologia Tiroidea]],1)),0,1)</f>
        <v>0</v>
      </c>
      <c r="BB123" s="22">
        <f>IF(ISERROR(SEARCH("TIROIDITE",Tabella1[[#This Row],[Patologia Tiroidea]],1)),0,1)</f>
        <v>0</v>
      </c>
      <c r="BC123" s="22">
        <f>IF(ISERROR(SEARCH("HASHIMOTO",Tabella1[[#This Row],[Patologia Tiroidea]],1)),0,1)</f>
        <v>0</v>
      </c>
      <c r="BD123" s="22">
        <f>IF(ISERROR(SEARCH("BASEDOW",Tabella1[[#This Row],[Patologia Tiroidea]],1)),0,1)</f>
        <v>0</v>
      </c>
      <c r="BE123" s="22">
        <f>IF(ISERROR(SEARCH("NOD",Tabella1[[#This Row],[Patologia Tiroidea]],1)),0,1)</f>
        <v>0</v>
      </c>
      <c r="BF123" s="22">
        <f>IF(ISERROR(SEARCH("GOZ",Tabella1[[#This Row],[Patologia Tiroidea]],1)),0,1)</f>
        <v>0</v>
      </c>
      <c r="BG123" s="11" t="s">
        <v>8</v>
      </c>
      <c r="BH123" s="18">
        <f>IF(Tabella1[[#This Row],[Obesità]]="no",0,1)</f>
        <v>0</v>
      </c>
      <c r="BI123" s="11" t="s">
        <v>25</v>
      </c>
      <c r="BJ123" s="22">
        <f>IF(ISERROR(SEARCH("nega",Tabella1[[#This Row],[Reflusso gastroesofageo]],1)),1,0)</f>
        <v>0</v>
      </c>
      <c r="BK123" s="11" t="s">
        <v>8</v>
      </c>
      <c r="BL123" s="18">
        <f>IF(ISERROR(SEARCH("NDD",Tabella1[[#This Row],[Patologia respiratoria]],1)),0,1)</f>
        <v>0</v>
      </c>
      <c r="BM123" s="18">
        <f>IF(ISERROR(SEARCH("asma",Tabella1[[#This Row],[Patologia respiratoria]],1)),0,1)</f>
        <v>0</v>
      </c>
      <c r="BN123" s="18">
        <f>IF(ISERROR(SEARCH("BPCO",Tabella1[[#This Row],[Patologia respiratoria]],1)),0,1)</f>
        <v>0</v>
      </c>
      <c r="BO123" s="18">
        <f>IF(ISERROR(SEARCH("BRONCOPOLMONITE",Tabella1[[#This Row],[Patologia respiratoria]],1)),0,1)</f>
        <v>0</v>
      </c>
      <c r="BP123" s="18">
        <f>IF(ISERROR(SEARCH("ASMA, OSAS",Tabella1[[#This Row],[Patologia respiratoria]],1)),0,1)</f>
        <v>0</v>
      </c>
      <c r="BQ123" s="18">
        <f>IF(ISERROR(SEARCH("OSAS e BPCO",Tabella1[[#This Row],[Patologia respiratoria]],1)),0,1)</f>
        <v>0</v>
      </c>
      <c r="BR123" s="18">
        <f>IF(ISERROR(SEARCH("OSAS",Tabella1[[#This Row],[Patologia respiratoria]],1)),0,1)</f>
        <v>0</v>
      </c>
      <c r="BS123" s="11"/>
      <c r="BT123" s="11" t="s">
        <v>25</v>
      </c>
      <c r="BU123" s="11" t="s">
        <v>8</v>
      </c>
      <c r="BV123" s="18">
        <f>IF(ISERROR(SEARCH("ndd",Tabella1[[#This Row],[O2 terapia]],1)),0,1)</f>
        <v>0</v>
      </c>
      <c r="BW123" s="17">
        <v>0</v>
      </c>
      <c r="BX123" s="11"/>
      <c r="BY123" s="11" t="s">
        <v>8</v>
      </c>
      <c r="BZ123" s="18">
        <v>0</v>
      </c>
      <c r="CA123" s="11" t="s">
        <v>28</v>
      </c>
      <c r="CB123" s="17">
        <v>1</v>
      </c>
      <c r="CC123" s="11" t="s">
        <v>28</v>
      </c>
      <c r="CD123" s="17">
        <v>1</v>
      </c>
      <c r="CE123" s="11" t="s">
        <v>8</v>
      </c>
      <c r="CF123" s="18">
        <v>0</v>
      </c>
      <c r="CG123" s="11" t="s">
        <v>28</v>
      </c>
      <c r="CH123" s="17">
        <v>1</v>
      </c>
      <c r="CI123" s="7" t="s">
        <v>5477</v>
      </c>
      <c r="CJ123" s="18"/>
      <c r="CK123" s="11" t="s">
        <v>28</v>
      </c>
      <c r="CL123" s="17">
        <v>1</v>
      </c>
      <c r="CM123" s="11" t="s">
        <v>8</v>
      </c>
      <c r="CN123" s="17">
        <v>0</v>
      </c>
      <c r="CO123" s="11" t="s">
        <v>8</v>
      </c>
      <c r="CP123" s="18">
        <v>0</v>
      </c>
      <c r="CQ123" s="11" t="s">
        <v>85</v>
      </c>
      <c r="CR123" s="11" t="s">
        <v>850</v>
      </c>
      <c r="CS123" s="11"/>
      <c r="CT123" s="11"/>
      <c r="CU123" s="11"/>
      <c r="CV123" s="12"/>
    </row>
    <row r="124" spans="1:100" ht="114">
      <c r="A124" s="1">
        <f t="shared" si="1"/>
        <v>123</v>
      </c>
      <c r="B124" s="5">
        <v>837</v>
      </c>
      <c r="C124" s="6">
        <v>45016</v>
      </c>
      <c r="D124" s="7" t="s">
        <v>1454</v>
      </c>
      <c r="E124" s="6">
        <v>18755</v>
      </c>
      <c r="F124" s="29">
        <f ca="1">_xlfn.DAYS(NOW(),Tabella1[[#This Row],[Data di Nascita]])/365.25</f>
        <v>74.245037645448321</v>
      </c>
      <c r="G124" s="7" t="s">
        <v>1455</v>
      </c>
      <c r="H124" s="7" t="s">
        <v>1456</v>
      </c>
      <c r="I124" s="7" t="s">
        <v>816</v>
      </c>
      <c r="J124" s="7" t="s">
        <v>1457</v>
      </c>
      <c r="K124" s="7" t="s">
        <v>5603</v>
      </c>
      <c r="L124" s="17">
        <f>IF(ISERROR(SEARCH("EX",Tabella1[[#This Row],[Attività lavorativa]],1)),0,1)</f>
        <v>1</v>
      </c>
      <c r="M124" s="17"/>
      <c r="N124" s="17"/>
      <c r="O124" s="17"/>
      <c r="P124" s="17"/>
      <c r="Q124" s="17"/>
      <c r="R124" s="17"/>
      <c r="S124" s="17"/>
      <c r="T124" s="17">
        <f>IF(ISERROR(SEARCH("NDD",Tabella1[[#This Row],[Attività lavorativa]],1)),0,1)</f>
        <v>0</v>
      </c>
      <c r="U124" s="7" t="s">
        <v>1458</v>
      </c>
      <c r="V124" s="22">
        <v>25</v>
      </c>
      <c r="W124" s="22">
        <f>IF(ISERROR(SEARCH("ex",Tabella1[[#This Row],[Fumo]],1)),0,1)</f>
        <v>1</v>
      </c>
      <c r="X124" s="22">
        <f>IF(ISERROR(SEARCH("no",Tabella1[[#This Row],[Fumo]],1)),0,1)</f>
        <v>1</v>
      </c>
      <c r="Y124" s="7" t="s">
        <v>1459</v>
      </c>
      <c r="Z124" s="17">
        <f>IF(ISERROR(SEARCH("NDD",Tabella1[[#This Row],[Bevitore alcolici]],1)),0,1)</f>
        <v>0</v>
      </c>
      <c r="AA124" s="17">
        <f>IF(ISERROR(SEARCH("raro",Tabella1[[#This Row],[Bevitore alcolici]],1)),0,1)</f>
        <v>0</v>
      </c>
      <c r="AB124" s="17">
        <f>IF(ISERROR(SEARCH("saltuariamente",Tabella1[[#This Row],[Bevitore alcolici]],1)),0,1)</f>
        <v>0</v>
      </c>
      <c r="AC124" s="17">
        <f>IF(ISERROR(SEARCH("nega",Tabella1[[#This Row],[Bevitore alcolici]],1)),0,1)</f>
        <v>0</v>
      </c>
      <c r="AD124" s="17">
        <f>IF(ISERROR(SEARCH("potus",Tabella1[[#This Row],[Bevitore alcolici]],1)),0,1)</f>
        <v>0</v>
      </c>
      <c r="AE124" s="7" t="s">
        <v>657</v>
      </c>
      <c r="AF124" s="17"/>
      <c r="AG124" s="17"/>
      <c r="AH124" s="17"/>
      <c r="AI124" s="17"/>
      <c r="AJ124" s="17"/>
      <c r="AK124" s="7" t="s">
        <v>28</v>
      </c>
      <c r="AL124" s="17">
        <f>IF(ISERROR(SEARCH("si",Tabella1[[#This Row],[Patente di guida]],1)),0,1)</f>
        <v>1</v>
      </c>
      <c r="AM124" s="7" t="s">
        <v>28</v>
      </c>
      <c r="AN124" s="17">
        <f>IF(ISERROR(SEARCH("no",Tabella1[[#This Row],[Ipertensione]],1)),0,1)</f>
        <v>0</v>
      </c>
      <c r="AO124" s="7" t="s">
        <v>3745</v>
      </c>
      <c r="AP124" s="18">
        <f>IF(ISERROR(SEARCH("NO",Tabella1[[#This Row],[Cardiopatia ischemica]],1)),1,0)</f>
        <v>0</v>
      </c>
      <c r="AQ124" s="17">
        <f>IF(ISERROR(SEARCH("sconosciuto",Tabella1[[#This Row],[Cardiopatia ischemica]],1)),0,1)</f>
        <v>0</v>
      </c>
      <c r="AR124" s="7" t="s">
        <v>25</v>
      </c>
      <c r="AS124" s="17">
        <f>IF(ISERROR(SEARCH("nega",Tabella1[[#This Row],[Artimie]],1)),0,1)</f>
        <v>1</v>
      </c>
      <c r="AT124" s="7" t="s">
        <v>28</v>
      </c>
      <c r="AU124" s="17">
        <f>IF(ISERROR(SEARCH("nega",Tabella1[[#This Row],[Ipercolesterolemia]],1)),0,1)</f>
        <v>0</v>
      </c>
      <c r="AV124" s="17">
        <f>IF(ISERROR(SEARCH("boh",Tabella1[[#This Row],[Ipercolesterolemia]],1)),0,1)</f>
        <v>0</v>
      </c>
      <c r="AW124" s="7" t="s">
        <v>8</v>
      </c>
      <c r="AX124" s="17">
        <f>IF(ISERROR(SEARCH("Intolleranza",Tabella1[[#This Row],[Diabete]],1)),0,1)</f>
        <v>0</v>
      </c>
      <c r="AY124" s="17">
        <f>IF(ISERROR(SEARCH("si",Tabella1[[#This Row],[Diabete]],1)),0,1)</f>
        <v>0</v>
      </c>
      <c r="AZ124" s="7" t="s">
        <v>8</v>
      </c>
      <c r="BA124" s="17">
        <f>IF(ISERROR(SEARCH("NDD",Tabella1[[#This Row],[Patologia Tiroidea]],1)),0,1)</f>
        <v>0</v>
      </c>
      <c r="BB124" s="17">
        <f>IF(ISERROR(SEARCH("TIROIDITE",Tabella1[[#This Row],[Patologia Tiroidea]],1)),0,1)</f>
        <v>0</v>
      </c>
      <c r="BC124" s="17">
        <f>IF(ISERROR(SEARCH("HASHIMOTO",Tabella1[[#This Row],[Patologia Tiroidea]],1)),0,1)</f>
        <v>0</v>
      </c>
      <c r="BD124" s="17">
        <f>IF(ISERROR(SEARCH("BASEDOW",Tabella1[[#This Row],[Patologia Tiroidea]],1)),0,1)</f>
        <v>0</v>
      </c>
      <c r="BE124" s="17">
        <f>IF(ISERROR(SEARCH("NOD",Tabella1[[#This Row],[Patologia Tiroidea]],1)),0,1)</f>
        <v>0</v>
      </c>
      <c r="BF124" s="17">
        <f>IF(ISERROR(SEARCH("GOZ",Tabella1[[#This Row],[Patologia Tiroidea]],1)),0,1)</f>
        <v>0</v>
      </c>
      <c r="BG124" s="7" t="s">
        <v>28</v>
      </c>
      <c r="BH124" s="17">
        <f>IF(Tabella1[[#This Row],[Obesità]]="no",0,1)</f>
        <v>1</v>
      </c>
      <c r="BI124" s="7" t="s">
        <v>28</v>
      </c>
      <c r="BJ124" s="22">
        <f>IF(ISERROR(SEARCH("nega",Tabella1[[#This Row],[Reflusso gastroesofageo]],1)),1,0)</f>
        <v>1</v>
      </c>
      <c r="BK124" s="7" t="s">
        <v>1460</v>
      </c>
      <c r="BL124" s="17">
        <f>IF(ISERROR(SEARCH("NDD",Tabella1[[#This Row],[Patologia respiratoria]],1)),0,1)</f>
        <v>0</v>
      </c>
      <c r="BM124" s="17">
        <f>IF(ISERROR(SEARCH("asma",Tabella1[[#This Row],[Patologia respiratoria]],1)),0,1)</f>
        <v>0</v>
      </c>
      <c r="BN124" s="17">
        <f>IF(ISERROR(SEARCH("BPCO",Tabella1[[#This Row],[Patologia respiratoria]],1)),0,1)</f>
        <v>1</v>
      </c>
      <c r="BO124" s="17">
        <f>IF(ISERROR(SEARCH("BRONCOPOLMONITE",Tabella1[[#This Row],[Patologia respiratoria]],1)),0,1)</f>
        <v>0</v>
      </c>
      <c r="BP124" s="17">
        <f>IF(ISERROR(SEARCH("ASMA, OSAS",Tabella1[[#This Row],[Patologia respiratoria]],1)),0,1)</f>
        <v>0</v>
      </c>
      <c r="BQ124" s="17">
        <f>IF(ISERROR(SEARCH("OSAS e BPCO",Tabella1[[#This Row],[Patologia respiratoria]],1)),0,1)</f>
        <v>0</v>
      </c>
      <c r="BR124" s="17">
        <f>IF(ISERROR(SEARCH("OSAS",Tabella1[[#This Row],[Patologia respiratoria]],1)),0,1)</f>
        <v>0</v>
      </c>
      <c r="BS124" s="7"/>
      <c r="BT124" s="7" t="s">
        <v>1461</v>
      </c>
      <c r="BU124" s="7" t="s">
        <v>5477</v>
      </c>
      <c r="BV124" s="17">
        <f>IF(ISERROR(SEARCH("ndd",Tabella1[[#This Row],[O2 terapia]],1)),0,1)</f>
        <v>1</v>
      </c>
      <c r="BW124" s="17"/>
      <c r="BX124" s="7" t="s">
        <v>1462</v>
      </c>
      <c r="BY124" s="7" t="s">
        <v>8</v>
      </c>
      <c r="BZ124" s="18">
        <v>0</v>
      </c>
      <c r="CA124" s="7" t="s">
        <v>8</v>
      </c>
      <c r="CB124" s="17">
        <v>0</v>
      </c>
      <c r="CC124" s="7" t="s">
        <v>1463</v>
      </c>
      <c r="CD124" s="17">
        <v>1</v>
      </c>
      <c r="CE124" s="7" t="s">
        <v>8</v>
      </c>
      <c r="CF124" s="18">
        <v>0</v>
      </c>
      <c r="CG124" s="7" t="s">
        <v>1464</v>
      </c>
      <c r="CH124" s="17">
        <v>1</v>
      </c>
      <c r="CI124" s="7" t="s">
        <v>8</v>
      </c>
      <c r="CJ124" s="18">
        <v>0</v>
      </c>
      <c r="CK124" s="7" t="s">
        <v>1465</v>
      </c>
      <c r="CL124" s="17">
        <v>1</v>
      </c>
      <c r="CM124" s="7" t="s">
        <v>28</v>
      </c>
      <c r="CN124" s="17">
        <v>1</v>
      </c>
      <c r="CO124" s="7" t="s">
        <v>8</v>
      </c>
      <c r="CP124" s="18">
        <v>0</v>
      </c>
      <c r="CQ124" s="7" t="s">
        <v>85</v>
      </c>
      <c r="CR124" s="7" t="s">
        <v>1466</v>
      </c>
      <c r="CS124" s="7" t="s">
        <v>389</v>
      </c>
      <c r="CT124" s="7" t="s">
        <v>450</v>
      </c>
      <c r="CU124" s="7" t="s">
        <v>1467</v>
      </c>
      <c r="CV124" s="8"/>
    </row>
    <row r="125" spans="1:100" ht="213.75">
      <c r="A125" s="1">
        <f t="shared" si="1"/>
        <v>124</v>
      </c>
      <c r="B125" s="9">
        <v>840</v>
      </c>
      <c r="C125" s="10">
        <v>45019</v>
      </c>
      <c r="D125" s="11" t="s">
        <v>1468</v>
      </c>
      <c r="E125" s="10">
        <v>31695</v>
      </c>
      <c r="F125" s="29">
        <f ca="1">_xlfn.DAYS(NOW(),Tabella1[[#This Row],[Data di Nascita]])/365.25</f>
        <v>38.817248459958932</v>
      </c>
      <c r="G125" s="11" t="s">
        <v>1469</v>
      </c>
      <c r="H125" s="11" t="s">
        <v>1470</v>
      </c>
      <c r="I125" s="11" t="s">
        <v>816</v>
      </c>
      <c r="J125" s="11" t="s">
        <v>1346</v>
      </c>
      <c r="K125" s="11" t="s">
        <v>5604</v>
      </c>
      <c r="L125" s="18">
        <f>IF(ISERROR(SEARCH("EX",Tabella1[[#This Row],[Attività lavorativa]],1)),0,1)</f>
        <v>1</v>
      </c>
      <c r="M125" s="18"/>
      <c r="N125" s="18"/>
      <c r="O125" s="18"/>
      <c r="P125" s="18"/>
      <c r="Q125" s="18"/>
      <c r="R125" s="18"/>
      <c r="S125" s="18"/>
      <c r="T125" s="17">
        <f>IF(ISERROR(SEARCH("NDD",Tabella1[[#This Row],[Attività lavorativa]],1)),0,1)</f>
        <v>0</v>
      </c>
      <c r="U125" s="11" t="s">
        <v>1471</v>
      </c>
      <c r="V125" s="22">
        <v>8</v>
      </c>
      <c r="W125" s="22">
        <f>IF(ISERROR(SEARCH("ex",Tabella1[[#This Row],[Fumo]],1)),0,1)</f>
        <v>1</v>
      </c>
      <c r="X125" s="22">
        <f>IF(ISERROR(SEARCH("no",Tabella1[[#This Row],[Fumo]],1)),0,1)</f>
        <v>0</v>
      </c>
      <c r="Y125" s="11" t="s">
        <v>25</v>
      </c>
      <c r="Z125" s="18">
        <f>IF(ISERROR(SEARCH("NDD",Tabella1[[#This Row],[Bevitore alcolici]],1)),0,1)</f>
        <v>0</v>
      </c>
      <c r="AA125" s="17">
        <f>IF(ISERROR(SEARCH("raro",Tabella1[[#This Row],[Bevitore alcolici]],1)),0,1)</f>
        <v>0</v>
      </c>
      <c r="AB125" s="17">
        <f>IF(ISERROR(SEARCH("saltuariamente",Tabella1[[#This Row],[Bevitore alcolici]],1)),0,1)</f>
        <v>0</v>
      </c>
      <c r="AC125" s="17">
        <f>IF(ISERROR(SEARCH("nega",Tabella1[[#This Row],[Bevitore alcolici]],1)),0,1)</f>
        <v>1</v>
      </c>
      <c r="AD125" s="17">
        <f>IF(ISERROR(SEARCH("potus",Tabella1[[#This Row],[Bevitore alcolici]],1)),0,1)</f>
        <v>0</v>
      </c>
      <c r="AE125" s="11" t="s">
        <v>657</v>
      </c>
      <c r="AF125" s="18"/>
      <c r="AG125" s="18"/>
      <c r="AH125" s="18"/>
      <c r="AI125" s="18"/>
      <c r="AJ125" s="18"/>
      <c r="AK125" s="11" t="s">
        <v>28</v>
      </c>
      <c r="AL125" s="18">
        <f>IF(ISERROR(SEARCH("si",Tabella1[[#This Row],[Patente di guida]],1)),0,1)</f>
        <v>1</v>
      </c>
      <c r="AM125" s="11" t="s">
        <v>8</v>
      </c>
      <c r="AN125" s="18">
        <f>IF(ISERROR(SEARCH("no",Tabella1[[#This Row],[Ipertensione]],1)),0,1)</f>
        <v>1</v>
      </c>
      <c r="AO125" s="11" t="s">
        <v>382</v>
      </c>
      <c r="AP125" s="18">
        <f>IF(ISERROR(SEARCH("NO",Tabella1[[#This Row],[Cardiopatia ischemica]],1)),1,0)</f>
        <v>0</v>
      </c>
      <c r="AQ125" s="17">
        <f>IF(ISERROR(SEARCH("sconosciuto",Tabella1[[#This Row],[Cardiopatia ischemica]],1)),0,1)</f>
        <v>0</v>
      </c>
      <c r="AR125" s="11" t="s">
        <v>25</v>
      </c>
      <c r="AS125" s="22">
        <f>IF(ISERROR(SEARCH("nega",Tabella1[[#This Row],[Artimie]],1)),0,1)</f>
        <v>1</v>
      </c>
      <c r="AT125" s="11" t="s">
        <v>25</v>
      </c>
      <c r="AU125" s="22">
        <f>IF(ISERROR(SEARCH("nega",Tabella1[[#This Row],[Ipercolesterolemia]],1)),0,1)</f>
        <v>1</v>
      </c>
      <c r="AV125" s="22">
        <f>IF(ISERROR(SEARCH("boh",Tabella1[[#This Row],[Ipercolesterolemia]],1)),0,1)</f>
        <v>0</v>
      </c>
      <c r="AW125" s="11" t="s">
        <v>8</v>
      </c>
      <c r="AX125" s="22">
        <f>IF(ISERROR(SEARCH("Intolleranza",Tabella1[[#This Row],[Diabete]],1)),0,1)</f>
        <v>0</v>
      </c>
      <c r="AY125" s="22">
        <f>IF(ISERROR(SEARCH("si",Tabella1[[#This Row],[Diabete]],1)),0,1)</f>
        <v>0</v>
      </c>
      <c r="AZ125" s="11" t="s">
        <v>8</v>
      </c>
      <c r="BA125" s="18">
        <f>IF(ISERROR(SEARCH("NDD",Tabella1[[#This Row],[Patologia Tiroidea]],1)),0,1)</f>
        <v>0</v>
      </c>
      <c r="BB125" s="22">
        <f>IF(ISERROR(SEARCH("TIROIDITE",Tabella1[[#This Row],[Patologia Tiroidea]],1)),0,1)</f>
        <v>0</v>
      </c>
      <c r="BC125" s="22">
        <f>IF(ISERROR(SEARCH("HASHIMOTO",Tabella1[[#This Row],[Patologia Tiroidea]],1)),0,1)</f>
        <v>0</v>
      </c>
      <c r="BD125" s="22">
        <f>IF(ISERROR(SEARCH("BASEDOW",Tabella1[[#This Row],[Patologia Tiroidea]],1)),0,1)</f>
        <v>0</v>
      </c>
      <c r="BE125" s="22">
        <f>IF(ISERROR(SEARCH("NOD",Tabella1[[#This Row],[Patologia Tiroidea]],1)),0,1)</f>
        <v>0</v>
      </c>
      <c r="BF125" s="22">
        <f>IF(ISERROR(SEARCH("GOZ",Tabella1[[#This Row],[Patologia Tiroidea]],1)),0,1)</f>
        <v>0</v>
      </c>
      <c r="BG125" s="11" t="s">
        <v>28</v>
      </c>
      <c r="BH125" s="18">
        <f>IF(Tabella1[[#This Row],[Obesità]]="no",0,1)</f>
        <v>1</v>
      </c>
      <c r="BI125" s="11" t="s">
        <v>25</v>
      </c>
      <c r="BJ125" s="22">
        <f>IF(ISERROR(SEARCH("nega",Tabella1[[#This Row],[Reflusso gastroesofageo]],1)),1,0)</f>
        <v>0</v>
      </c>
      <c r="BK125" s="11" t="s">
        <v>8</v>
      </c>
      <c r="BL125" s="18">
        <f>IF(ISERROR(SEARCH("NDD",Tabella1[[#This Row],[Patologia respiratoria]],1)),0,1)</f>
        <v>0</v>
      </c>
      <c r="BM125" s="18">
        <f>IF(ISERROR(SEARCH("asma",Tabella1[[#This Row],[Patologia respiratoria]],1)),0,1)</f>
        <v>0</v>
      </c>
      <c r="BN125" s="18">
        <f>IF(ISERROR(SEARCH("BPCO",Tabella1[[#This Row],[Patologia respiratoria]],1)),0,1)</f>
        <v>0</v>
      </c>
      <c r="BO125" s="18">
        <f>IF(ISERROR(SEARCH("BRONCOPOLMONITE",Tabella1[[#This Row],[Patologia respiratoria]],1)),0,1)</f>
        <v>0</v>
      </c>
      <c r="BP125" s="18">
        <f>IF(ISERROR(SEARCH("ASMA, OSAS",Tabella1[[#This Row],[Patologia respiratoria]],1)),0,1)</f>
        <v>0</v>
      </c>
      <c r="BQ125" s="18">
        <f>IF(ISERROR(SEARCH("OSAS e BPCO",Tabella1[[#This Row],[Patologia respiratoria]],1)),0,1)</f>
        <v>0</v>
      </c>
      <c r="BR125" s="18">
        <f>IF(ISERROR(SEARCH("OSAS",Tabella1[[#This Row],[Patologia respiratoria]],1)),0,1)</f>
        <v>0</v>
      </c>
      <c r="BS125" s="11" t="s">
        <v>1472</v>
      </c>
      <c r="BT125" s="11" t="s">
        <v>8</v>
      </c>
      <c r="BU125" s="11" t="s">
        <v>8</v>
      </c>
      <c r="BV125" s="18">
        <f>IF(ISERROR(SEARCH("ndd",Tabella1[[#This Row],[O2 terapia]],1)),0,1)</f>
        <v>0</v>
      </c>
      <c r="BW125" s="17">
        <v>0</v>
      </c>
      <c r="BX125" s="11" t="s">
        <v>1473</v>
      </c>
      <c r="BY125" s="11" t="s">
        <v>8</v>
      </c>
      <c r="BZ125" s="18">
        <v>0</v>
      </c>
      <c r="CA125" s="11" t="s">
        <v>8</v>
      </c>
      <c r="CB125" s="17">
        <v>0</v>
      </c>
      <c r="CC125" s="11" t="s">
        <v>28</v>
      </c>
      <c r="CD125" s="17">
        <v>1</v>
      </c>
      <c r="CE125" s="11" t="s">
        <v>8</v>
      </c>
      <c r="CF125" s="18">
        <v>0</v>
      </c>
      <c r="CG125" s="11" t="s">
        <v>8</v>
      </c>
      <c r="CH125" s="17">
        <v>0</v>
      </c>
      <c r="CI125" s="11" t="s">
        <v>28</v>
      </c>
      <c r="CJ125" s="17">
        <v>1</v>
      </c>
      <c r="CK125" s="11" t="s">
        <v>1474</v>
      </c>
      <c r="CL125" s="17">
        <v>1</v>
      </c>
      <c r="CM125" s="11" t="s">
        <v>8</v>
      </c>
      <c r="CN125" s="17">
        <v>0</v>
      </c>
      <c r="CO125" s="11" t="s">
        <v>8</v>
      </c>
      <c r="CP125" s="18">
        <v>0</v>
      </c>
      <c r="CQ125" s="11" t="s">
        <v>13</v>
      </c>
      <c r="CR125" s="11" t="s">
        <v>1475</v>
      </c>
      <c r="CS125" s="11" t="s">
        <v>105</v>
      </c>
      <c r="CT125" s="11" t="s">
        <v>37</v>
      </c>
      <c r="CU125" s="11" t="s">
        <v>1476</v>
      </c>
      <c r="CV125" s="12" t="s">
        <v>1477</v>
      </c>
    </row>
    <row r="126" spans="1:100" ht="213.75">
      <c r="A126" s="1">
        <f t="shared" si="1"/>
        <v>125</v>
      </c>
      <c r="B126" s="5">
        <v>842</v>
      </c>
      <c r="C126" s="6">
        <v>45020</v>
      </c>
      <c r="D126" s="7" t="s">
        <v>1478</v>
      </c>
      <c r="E126" s="6">
        <v>29727</v>
      </c>
      <c r="F126" s="29">
        <f ca="1">_xlfn.DAYS(NOW(),Tabella1[[#This Row],[Data di Nascita]])/365.25</f>
        <v>44.205338809034906</v>
      </c>
      <c r="G126" s="7" t="s">
        <v>1479</v>
      </c>
      <c r="H126" s="7" t="s">
        <v>1480</v>
      </c>
      <c r="I126" s="7" t="s">
        <v>816</v>
      </c>
      <c r="J126" s="7" t="s">
        <v>1346</v>
      </c>
      <c r="K126" s="7" t="s">
        <v>5605</v>
      </c>
      <c r="L126" s="17">
        <f>IF(ISERROR(SEARCH("EX",Tabella1[[#This Row],[Attività lavorativa]],1)),0,1)</f>
        <v>1</v>
      </c>
      <c r="M126" s="17"/>
      <c r="N126" s="17">
        <v>1</v>
      </c>
      <c r="O126" s="17"/>
      <c r="P126" s="17"/>
      <c r="Q126" s="17"/>
      <c r="R126" s="17"/>
      <c r="S126" s="17"/>
      <c r="T126" s="17">
        <f>IF(ISERROR(SEARCH("NDD",Tabella1[[#This Row],[Attività lavorativa]],1)),0,1)</f>
        <v>0</v>
      </c>
      <c r="U126" s="7" t="s">
        <v>1481</v>
      </c>
      <c r="V126" s="22">
        <v>4</v>
      </c>
      <c r="W126" s="22">
        <f>IF(ISERROR(SEARCH("ex",Tabella1[[#This Row],[Fumo]],1)),0,1)</f>
        <v>1</v>
      </c>
      <c r="X126" s="22">
        <f>IF(ISERROR(SEARCH("no",Tabella1[[#This Row],[Fumo]],1)),0,1)</f>
        <v>0</v>
      </c>
      <c r="Y126" s="7" t="s">
        <v>3696</v>
      </c>
      <c r="Z126" s="17">
        <f>IF(ISERROR(SEARCH("NDD",Tabella1[[#This Row],[Bevitore alcolici]],1)),0,1)</f>
        <v>0</v>
      </c>
      <c r="AA126" s="17">
        <f>IF(ISERROR(SEARCH("raro",Tabella1[[#This Row],[Bevitore alcolici]],1)),0,1)</f>
        <v>0</v>
      </c>
      <c r="AB126" s="17">
        <f>IF(ISERROR(SEARCH("saltuariamente",Tabella1[[#This Row],[Bevitore alcolici]],1)),0,1)</f>
        <v>1</v>
      </c>
      <c r="AC126" s="17">
        <f>IF(ISERROR(SEARCH("nega",Tabella1[[#This Row],[Bevitore alcolici]],1)),0,1)</f>
        <v>0</v>
      </c>
      <c r="AD126" s="17">
        <f>IF(ISERROR(SEARCH("potus",Tabella1[[#This Row],[Bevitore alcolici]],1)),0,1)</f>
        <v>0</v>
      </c>
      <c r="AE126" s="7" t="s">
        <v>1482</v>
      </c>
      <c r="AF126" s="17"/>
      <c r="AG126" s="17"/>
      <c r="AH126" s="18">
        <v>1</v>
      </c>
      <c r="AI126" s="18"/>
      <c r="AJ126" s="18"/>
      <c r="AK126" s="7" t="s">
        <v>28</v>
      </c>
      <c r="AL126" s="17">
        <f>IF(ISERROR(SEARCH("si",Tabella1[[#This Row],[Patente di guida]],1)),0,1)</f>
        <v>1</v>
      </c>
      <c r="AM126" s="7" t="s">
        <v>8</v>
      </c>
      <c r="AN126" s="17">
        <f>IF(ISERROR(SEARCH("no",Tabella1[[#This Row],[Ipertensione]],1)),0,1)</f>
        <v>1</v>
      </c>
      <c r="AO126" s="7" t="s">
        <v>382</v>
      </c>
      <c r="AP126" s="18">
        <f>IF(ISERROR(SEARCH("NO",Tabella1[[#This Row],[Cardiopatia ischemica]],1)),1,0)</f>
        <v>0</v>
      </c>
      <c r="AQ126" s="17">
        <f>IF(ISERROR(SEARCH("sconosciuto",Tabella1[[#This Row],[Cardiopatia ischemica]],1)),0,1)</f>
        <v>0</v>
      </c>
      <c r="AR126" s="7" t="s">
        <v>25</v>
      </c>
      <c r="AS126" s="22">
        <f>IF(ISERROR(SEARCH("nega",Tabella1[[#This Row],[Artimie]],1)),0,1)</f>
        <v>1</v>
      </c>
      <c r="AT126" s="7" t="s">
        <v>25</v>
      </c>
      <c r="AU126" s="22">
        <f>IF(ISERROR(SEARCH("nega",Tabella1[[#This Row],[Ipercolesterolemia]],1)),0,1)</f>
        <v>1</v>
      </c>
      <c r="AV126" s="22">
        <f>IF(ISERROR(SEARCH("boh",Tabella1[[#This Row],[Ipercolesterolemia]],1)),0,1)</f>
        <v>0</v>
      </c>
      <c r="AW126" s="7" t="s">
        <v>8</v>
      </c>
      <c r="AX126" s="22">
        <f>IF(ISERROR(SEARCH("Intolleranza",Tabella1[[#This Row],[Diabete]],1)),0,1)</f>
        <v>0</v>
      </c>
      <c r="AY126" s="22">
        <f>IF(ISERROR(SEARCH("si",Tabella1[[#This Row],[Diabete]],1)),0,1)</f>
        <v>0</v>
      </c>
      <c r="AZ126" s="7" t="s">
        <v>8</v>
      </c>
      <c r="BA126" s="17">
        <f>IF(ISERROR(SEARCH("NDD",Tabella1[[#This Row],[Patologia Tiroidea]],1)),0,1)</f>
        <v>0</v>
      </c>
      <c r="BB126" s="22">
        <f>IF(ISERROR(SEARCH("TIROIDITE",Tabella1[[#This Row],[Patologia Tiroidea]],1)),0,1)</f>
        <v>0</v>
      </c>
      <c r="BC126" s="22">
        <f>IF(ISERROR(SEARCH("HASHIMOTO",Tabella1[[#This Row],[Patologia Tiroidea]],1)),0,1)</f>
        <v>0</v>
      </c>
      <c r="BD126" s="22">
        <f>IF(ISERROR(SEARCH("BASEDOW",Tabella1[[#This Row],[Patologia Tiroidea]],1)),0,1)</f>
        <v>0</v>
      </c>
      <c r="BE126" s="22">
        <f>IF(ISERROR(SEARCH("NOD",Tabella1[[#This Row],[Patologia Tiroidea]],1)),0,1)</f>
        <v>0</v>
      </c>
      <c r="BF126" s="22">
        <f>IF(ISERROR(SEARCH("GOZ",Tabella1[[#This Row],[Patologia Tiroidea]],1)),0,1)</f>
        <v>0</v>
      </c>
      <c r="BG126" s="7" t="s">
        <v>8</v>
      </c>
      <c r="BH126" s="17">
        <f>IF(Tabella1[[#This Row],[Obesità]]="no",0,1)</f>
        <v>0</v>
      </c>
      <c r="BI126" s="7" t="s">
        <v>25</v>
      </c>
      <c r="BJ126" s="22">
        <f>IF(ISERROR(SEARCH("nega",Tabella1[[#This Row],[Reflusso gastroesofageo]],1)),1,0)</f>
        <v>0</v>
      </c>
      <c r="BK126" s="7" t="s">
        <v>1483</v>
      </c>
      <c r="BL126" s="17">
        <f>IF(ISERROR(SEARCH("NDD",Tabella1[[#This Row],[Patologia respiratoria]],1)),0,1)</f>
        <v>0</v>
      </c>
      <c r="BM126" s="17">
        <f>IF(ISERROR(SEARCH("asma",Tabella1[[#This Row],[Patologia respiratoria]],1)),0,1)</f>
        <v>0</v>
      </c>
      <c r="BN126" s="17">
        <f>IF(ISERROR(SEARCH("BPCO",Tabella1[[#This Row],[Patologia respiratoria]],1)),0,1)</f>
        <v>0</v>
      </c>
      <c r="BO126" s="17">
        <f>IF(ISERROR(SEARCH("BRONCOPOLMONITE",Tabella1[[#This Row],[Patologia respiratoria]],1)),0,1)</f>
        <v>0</v>
      </c>
      <c r="BP126" s="17">
        <f>IF(ISERROR(SEARCH("ASMA, OSAS",Tabella1[[#This Row],[Patologia respiratoria]],1)),0,1)</f>
        <v>0</v>
      </c>
      <c r="BQ126" s="17">
        <f>IF(ISERROR(SEARCH("OSAS e BPCO",Tabella1[[#This Row],[Patologia respiratoria]],1)),0,1)</f>
        <v>0</v>
      </c>
      <c r="BR126" s="17">
        <f>IF(ISERROR(SEARCH("OSAS",Tabella1[[#This Row],[Patologia respiratoria]],1)),0,1)</f>
        <v>0</v>
      </c>
      <c r="BS126" s="7" t="s">
        <v>1484</v>
      </c>
      <c r="BT126" s="7" t="s">
        <v>132</v>
      </c>
      <c r="BU126" s="7" t="s">
        <v>8</v>
      </c>
      <c r="BV126" s="17">
        <f>IF(ISERROR(SEARCH("ndd",Tabella1[[#This Row],[O2 terapia]],1)),0,1)</f>
        <v>0</v>
      </c>
      <c r="BW126" s="17">
        <v>0</v>
      </c>
      <c r="BX126" s="7" t="s">
        <v>1485</v>
      </c>
      <c r="BY126" s="7" t="s">
        <v>1486</v>
      </c>
      <c r="BZ126" s="17">
        <v>1</v>
      </c>
      <c r="CA126" s="7" t="s">
        <v>28</v>
      </c>
      <c r="CB126" s="17">
        <v>1</v>
      </c>
      <c r="CC126" s="7" t="s">
        <v>28</v>
      </c>
      <c r="CD126" s="17">
        <v>1</v>
      </c>
      <c r="CE126" s="7" t="s">
        <v>8</v>
      </c>
      <c r="CF126" s="18">
        <v>0</v>
      </c>
      <c r="CG126" s="7" t="s">
        <v>8</v>
      </c>
      <c r="CH126" s="17">
        <v>0</v>
      </c>
      <c r="CI126" s="7" t="s">
        <v>8</v>
      </c>
      <c r="CJ126" s="18">
        <v>0</v>
      </c>
      <c r="CK126" s="7" t="s">
        <v>8</v>
      </c>
      <c r="CL126" s="17">
        <v>0</v>
      </c>
      <c r="CM126" s="7" t="s">
        <v>28</v>
      </c>
      <c r="CN126" s="17">
        <v>1</v>
      </c>
      <c r="CO126" s="7" t="s">
        <v>8</v>
      </c>
      <c r="CP126" s="18">
        <v>0</v>
      </c>
      <c r="CQ126" s="7" t="s">
        <v>368</v>
      </c>
      <c r="CR126" s="7" t="s">
        <v>1487</v>
      </c>
      <c r="CS126" s="7" t="s">
        <v>71</v>
      </c>
      <c r="CT126" s="7" t="s">
        <v>262</v>
      </c>
      <c r="CU126" s="7" t="s">
        <v>1476</v>
      </c>
      <c r="CV126" s="8" t="s">
        <v>1488</v>
      </c>
    </row>
    <row r="127" spans="1:100" ht="28.5">
      <c r="A127" s="1">
        <f t="shared" si="1"/>
        <v>126</v>
      </c>
      <c r="B127" s="9">
        <v>843</v>
      </c>
      <c r="C127" s="10">
        <v>45020</v>
      </c>
      <c r="D127" s="11" t="s">
        <v>1489</v>
      </c>
      <c r="E127" s="10">
        <v>36861</v>
      </c>
      <c r="F127" s="29">
        <f ca="1">_xlfn.DAYS(NOW(),Tabella1[[#This Row],[Data di Nascita]])/365.25</f>
        <v>24.673511293634498</v>
      </c>
      <c r="G127" s="11" t="s">
        <v>1490</v>
      </c>
      <c r="H127" s="11" t="s">
        <v>1491</v>
      </c>
      <c r="I127" s="11" t="s">
        <v>1492</v>
      </c>
      <c r="J127" s="11" t="s">
        <v>817</v>
      </c>
      <c r="K127" s="11" t="s">
        <v>5</v>
      </c>
      <c r="L127" s="18">
        <f>IF(ISERROR(SEARCH("EX",Tabella1[[#This Row],[Attività lavorativa]],1)),0,1)</f>
        <v>0</v>
      </c>
      <c r="M127" s="18"/>
      <c r="N127" s="17">
        <v>1</v>
      </c>
      <c r="O127" s="18"/>
      <c r="P127" s="18"/>
      <c r="Q127" s="18"/>
      <c r="R127" s="18"/>
      <c r="S127" s="18"/>
      <c r="T127" s="17">
        <f>IF(ISERROR(SEARCH("NDD",Tabella1[[#This Row],[Attività lavorativa]],1)),0,1)</f>
        <v>0</v>
      </c>
      <c r="U127" s="11" t="s">
        <v>8</v>
      </c>
      <c r="V127" s="22"/>
      <c r="W127" s="22">
        <f>IF(ISERROR(SEARCH("ex",Tabella1[[#This Row],[Fumo]],1)),0,1)</f>
        <v>0</v>
      </c>
      <c r="X127" s="22">
        <f>IF(ISERROR(SEARCH("no",Tabella1[[#This Row],[Fumo]],1)),0,1)</f>
        <v>1</v>
      </c>
      <c r="Y127" s="11" t="s">
        <v>25</v>
      </c>
      <c r="Z127" s="18">
        <f>IF(ISERROR(SEARCH("NDD",Tabella1[[#This Row],[Bevitore alcolici]],1)),0,1)</f>
        <v>0</v>
      </c>
      <c r="AA127" s="17">
        <f>IF(ISERROR(SEARCH("raro",Tabella1[[#This Row],[Bevitore alcolici]],1)),0,1)</f>
        <v>0</v>
      </c>
      <c r="AB127" s="17">
        <f>IF(ISERROR(SEARCH("saltuariamente",Tabella1[[#This Row],[Bevitore alcolici]],1)),0,1)</f>
        <v>0</v>
      </c>
      <c r="AC127" s="17">
        <f>IF(ISERROR(SEARCH("nega",Tabella1[[#This Row],[Bevitore alcolici]],1)),0,1)</f>
        <v>1</v>
      </c>
      <c r="AD127" s="17">
        <f>IF(ISERROR(SEARCH("potus",Tabella1[[#This Row],[Bevitore alcolici]],1)),0,1)</f>
        <v>0</v>
      </c>
      <c r="AE127" s="11" t="s">
        <v>5687</v>
      </c>
      <c r="AF127" s="18"/>
      <c r="AG127" s="18"/>
      <c r="AH127" s="18"/>
      <c r="AI127" s="18"/>
      <c r="AJ127" s="18"/>
      <c r="AK127" s="11" t="s">
        <v>8</v>
      </c>
      <c r="AL127" s="18">
        <f>IF(ISERROR(SEARCH("si",Tabella1[[#This Row],[Patente di guida]],1)),0,1)</f>
        <v>0</v>
      </c>
      <c r="AM127" s="11" t="s">
        <v>8</v>
      </c>
      <c r="AN127" s="18">
        <f>IF(ISERROR(SEARCH("no",Tabella1[[#This Row],[Ipertensione]],1)),0,1)</f>
        <v>1</v>
      </c>
      <c r="AO127" s="11" t="s">
        <v>382</v>
      </c>
      <c r="AP127" s="18">
        <f>IF(ISERROR(SEARCH("NO",Tabella1[[#This Row],[Cardiopatia ischemica]],1)),1,0)</f>
        <v>0</v>
      </c>
      <c r="AQ127" s="17">
        <f>IF(ISERROR(SEARCH("sconosciuto",Tabella1[[#This Row],[Cardiopatia ischemica]],1)),0,1)</f>
        <v>0</v>
      </c>
      <c r="AR127" s="11" t="s">
        <v>25</v>
      </c>
      <c r="AS127" s="22">
        <f>IF(ISERROR(SEARCH("nega",Tabella1[[#This Row],[Artimie]],1)),0,1)</f>
        <v>1</v>
      </c>
      <c r="AT127" s="11" t="s">
        <v>25</v>
      </c>
      <c r="AU127" s="22">
        <f>IF(ISERROR(SEARCH("nega",Tabella1[[#This Row],[Ipercolesterolemia]],1)),0,1)</f>
        <v>1</v>
      </c>
      <c r="AV127" s="22">
        <f>IF(ISERROR(SEARCH("boh",Tabella1[[#This Row],[Ipercolesterolemia]],1)),0,1)</f>
        <v>0</v>
      </c>
      <c r="AW127" s="11" t="s">
        <v>8</v>
      </c>
      <c r="AX127" s="22">
        <f>IF(ISERROR(SEARCH("Intolleranza",Tabella1[[#This Row],[Diabete]],1)),0,1)</f>
        <v>0</v>
      </c>
      <c r="AY127" s="22">
        <f>IF(ISERROR(SEARCH("si",Tabella1[[#This Row],[Diabete]],1)),0,1)</f>
        <v>0</v>
      </c>
      <c r="AZ127" s="11" t="s">
        <v>8</v>
      </c>
      <c r="BA127" s="18">
        <f>IF(ISERROR(SEARCH("NDD",Tabella1[[#This Row],[Patologia Tiroidea]],1)),0,1)</f>
        <v>0</v>
      </c>
      <c r="BB127" s="22">
        <f>IF(ISERROR(SEARCH("TIROIDITE",Tabella1[[#This Row],[Patologia Tiroidea]],1)),0,1)</f>
        <v>0</v>
      </c>
      <c r="BC127" s="22">
        <f>IF(ISERROR(SEARCH("HASHIMOTO",Tabella1[[#This Row],[Patologia Tiroidea]],1)),0,1)</f>
        <v>0</v>
      </c>
      <c r="BD127" s="22">
        <f>IF(ISERROR(SEARCH("BASEDOW",Tabella1[[#This Row],[Patologia Tiroidea]],1)),0,1)</f>
        <v>0</v>
      </c>
      <c r="BE127" s="22">
        <f>IF(ISERROR(SEARCH("NOD",Tabella1[[#This Row],[Patologia Tiroidea]],1)),0,1)</f>
        <v>0</v>
      </c>
      <c r="BF127" s="22">
        <f>IF(ISERROR(SEARCH("GOZ",Tabella1[[#This Row],[Patologia Tiroidea]],1)),0,1)</f>
        <v>0</v>
      </c>
      <c r="BG127" s="11" t="s">
        <v>8</v>
      </c>
      <c r="BH127" s="18">
        <f>IF(Tabella1[[#This Row],[Obesità]]="no",0,1)</f>
        <v>0</v>
      </c>
      <c r="BI127" s="11" t="s">
        <v>25</v>
      </c>
      <c r="BJ127" s="22">
        <f>IF(ISERROR(SEARCH("nega",Tabella1[[#This Row],[Reflusso gastroesofageo]],1)),1,0)</f>
        <v>0</v>
      </c>
      <c r="BK127" s="11" t="s">
        <v>8</v>
      </c>
      <c r="BL127" s="18">
        <f>IF(ISERROR(SEARCH("NDD",Tabella1[[#This Row],[Patologia respiratoria]],1)),0,1)</f>
        <v>0</v>
      </c>
      <c r="BM127" s="18">
        <f>IF(ISERROR(SEARCH("asma",Tabella1[[#This Row],[Patologia respiratoria]],1)),0,1)</f>
        <v>0</v>
      </c>
      <c r="BN127" s="18">
        <f>IF(ISERROR(SEARCH("BPCO",Tabella1[[#This Row],[Patologia respiratoria]],1)),0,1)</f>
        <v>0</v>
      </c>
      <c r="BO127" s="18">
        <f>IF(ISERROR(SEARCH("BRONCOPOLMONITE",Tabella1[[#This Row],[Patologia respiratoria]],1)),0,1)</f>
        <v>0</v>
      </c>
      <c r="BP127" s="18">
        <f>IF(ISERROR(SEARCH("ASMA, OSAS",Tabella1[[#This Row],[Patologia respiratoria]],1)),0,1)</f>
        <v>0</v>
      </c>
      <c r="BQ127" s="18">
        <f>IF(ISERROR(SEARCH("OSAS e BPCO",Tabella1[[#This Row],[Patologia respiratoria]],1)),0,1)</f>
        <v>0</v>
      </c>
      <c r="BR127" s="18">
        <f>IF(ISERROR(SEARCH("OSAS",Tabella1[[#This Row],[Patologia respiratoria]],1)),0,1)</f>
        <v>0</v>
      </c>
      <c r="BS127" s="11"/>
      <c r="BT127" s="11" t="s">
        <v>1493</v>
      </c>
      <c r="BU127" s="11" t="s">
        <v>8</v>
      </c>
      <c r="BV127" s="18">
        <f>IF(ISERROR(SEARCH("ndd",Tabella1[[#This Row],[O2 terapia]],1)),0,1)</f>
        <v>0</v>
      </c>
      <c r="BW127" s="17">
        <v>0</v>
      </c>
      <c r="BX127" s="11"/>
      <c r="BY127" s="11" t="s">
        <v>8</v>
      </c>
      <c r="BZ127" s="18">
        <v>0</v>
      </c>
      <c r="CA127" s="11" t="s">
        <v>28</v>
      </c>
      <c r="CB127" s="17">
        <v>1</v>
      </c>
      <c r="CC127" s="11" t="s">
        <v>8</v>
      </c>
      <c r="CD127" s="18">
        <v>0</v>
      </c>
      <c r="CE127" s="11" t="s">
        <v>8</v>
      </c>
      <c r="CF127" s="18">
        <v>0</v>
      </c>
      <c r="CG127" s="11" t="s">
        <v>1494</v>
      </c>
      <c r="CH127" s="17">
        <v>1</v>
      </c>
      <c r="CI127" s="7" t="s">
        <v>5477</v>
      </c>
      <c r="CJ127" s="18"/>
      <c r="CK127" s="11" t="s">
        <v>8</v>
      </c>
      <c r="CL127" s="17">
        <v>0</v>
      </c>
      <c r="CM127" s="11" t="s">
        <v>8</v>
      </c>
      <c r="CN127" s="17">
        <v>0</v>
      </c>
      <c r="CO127" s="11" t="s">
        <v>8</v>
      </c>
      <c r="CP127" s="18">
        <v>0</v>
      </c>
      <c r="CQ127" s="11" t="s">
        <v>152</v>
      </c>
      <c r="CR127" s="11" t="s">
        <v>152</v>
      </c>
      <c r="CS127" s="11"/>
      <c r="CT127" s="11"/>
      <c r="CU127" s="11"/>
      <c r="CV127" s="12"/>
    </row>
    <row r="128" spans="1:100" ht="270.75">
      <c r="A128" s="1">
        <f t="shared" si="1"/>
        <v>127</v>
      </c>
      <c r="B128" s="5">
        <v>845</v>
      </c>
      <c r="C128" s="6">
        <v>45020</v>
      </c>
      <c r="D128" s="7" t="s">
        <v>1495</v>
      </c>
      <c r="E128" s="6">
        <v>23101</v>
      </c>
      <c r="F128" s="29">
        <f ca="1">_xlfn.DAYS(NOW(),Tabella1[[#This Row],[Data di Nascita]])/365.25</f>
        <v>62.346338124572213</v>
      </c>
      <c r="G128" s="7" t="s">
        <v>1496</v>
      </c>
      <c r="H128" s="7" t="s">
        <v>1497</v>
      </c>
      <c r="I128" s="7" t="s">
        <v>816</v>
      </c>
      <c r="J128" s="7" t="s">
        <v>1346</v>
      </c>
      <c r="K128" s="7" t="s">
        <v>1498</v>
      </c>
      <c r="L128" s="17">
        <f>IF(ISERROR(SEARCH("EX",Tabella1[[#This Row],[Attività lavorativa]],1)),0,1)</f>
        <v>0</v>
      </c>
      <c r="M128" s="18">
        <v>1</v>
      </c>
      <c r="N128" s="18"/>
      <c r="O128" s="18"/>
      <c r="P128" s="18"/>
      <c r="Q128" s="18"/>
      <c r="R128" s="18"/>
      <c r="S128" s="18"/>
      <c r="T128" s="17">
        <f>IF(ISERROR(SEARCH("NDD",Tabella1[[#This Row],[Attività lavorativa]],1)),0,1)</f>
        <v>0</v>
      </c>
      <c r="U128" s="7" t="s">
        <v>1499</v>
      </c>
      <c r="V128" s="22">
        <v>25</v>
      </c>
      <c r="W128" s="22">
        <f>IF(ISERROR(SEARCH("ex",Tabella1[[#This Row],[Fumo]],1)),0,1)</f>
        <v>0</v>
      </c>
      <c r="X128" s="22">
        <f>IF(ISERROR(SEARCH("no",Tabella1[[#This Row],[Fumo]],1)),0,1)</f>
        <v>0</v>
      </c>
      <c r="Y128" s="7" t="s">
        <v>26</v>
      </c>
      <c r="Z128" s="17">
        <f>IF(ISERROR(SEARCH("NDD",Tabella1[[#This Row],[Bevitore alcolici]],1)),0,1)</f>
        <v>0</v>
      </c>
      <c r="AA128" s="17">
        <f>IF(ISERROR(SEARCH("raro",Tabella1[[#This Row],[Bevitore alcolici]],1)),0,1)</f>
        <v>0</v>
      </c>
      <c r="AB128" s="17">
        <f>IF(ISERROR(SEARCH("saltuariamente",Tabella1[[#This Row],[Bevitore alcolici]],1)),0,1)</f>
        <v>1</v>
      </c>
      <c r="AC128" s="17">
        <f>IF(ISERROR(SEARCH("nega",Tabella1[[#This Row],[Bevitore alcolici]],1)),0,1)</f>
        <v>0</v>
      </c>
      <c r="AD128" s="17">
        <f>IF(ISERROR(SEARCH("potus",Tabella1[[#This Row],[Bevitore alcolici]],1)),0,1)</f>
        <v>0</v>
      </c>
      <c r="AE128" s="7" t="s">
        <v>1500</v>
      </c>
      <c r="AF128" s="17"/>
      <c r="AG128" s="17"/>
      <c r="AH128" s="18">
        <v>1</v>
      </c>
      <c r="AI128" s="18"/>
      <c r="AJ128" s="18"/>
      <c r="AK128" s="7" t="s">
        <v>28</v>
      </c>
      <c r="AL128" s="17">
        <f>IF(ISERROR(SEARCH("si",Tabella1[[#This Row],[Patente di guida]],1)),0,1)</f>
        <v>1</v>
      </c>
      <c r="AM128" s="7" t="s">
        <v>28</v>
      </c>
      <c r="AN128" s="17">
        <f>IF(ISERROR(SEARCH("no",Tabella1[[#This Row],[Ipertensione]],1)),0,1)</f>
        <v>0</v>
      </c>
      <c r="AO128" s="7" t="s">
        <v>382</v>
      </c>
      <c r="AP128" s="18">
        <f>IF(ISERROR(SEARCH("NO",Tabella1[[#This Row],[Cardiopatia ischemica]],1)),1,0)</f>
        <v>0</v>
      </c>
      <c r="AQ128" s="17">
        <f>IF(ISERROR(SEARCH("sconosciuto",Tabella1[[#This Row],[Cardiopatia ischemica]],1)),0,1)</f>
        <v>0</v>
      </c>
      <c r="AR128" s="7" t="s">
        <v>25</v>
      </c>
      <c r="AS128" s="22">
        <f>IF(ISERROR(SEARCH("nega",Tabella1[[#This Row],[Artimie]],1)),0,1)</f>
        <v>1</v>
      </c>
      <c r="AT128" s="7" t="s">
        <v>3756</v>
      </c>
      <c r="AU128" s="22">
        <f>IF(ISERROR(SEARCH("nega",Tabella1[[#This Row],[Ipercolesterolemia]],1)),0,1)</f>
        <v>1</v>
      </c>
      <c r="AV128" s="22">
        <f>IF(ISERROR(SEARCH("boh",Tabella1[[#This Row],[Ipercolesterolemia]],1)),0,1)</f>
        <v>0</v>
      </c>
      <c r="AW128" s="7" t="s">
        <v>8</v>
      </c>
      <c r="AX128" s="22">
        <f>IF(ISERROR(SEARCH("Intolleranza",Tabella1[[#This Row],[Diabete]],1)),0,1)</f>
        <v>0</v>
      </c>
      <c r="AY128" s="22">
        <f>IF(ISERROR(SEARCH("si",Tabella1[[#This Row],[Diabete]],1)),0,1)</f>
        <v>0</v>
      </c>
      <c r="AZ128" s="7" t="s">
        <v>1501</v>
      </c>
      <c r="BA128" s="17">
        <f>IF(ISERROR(SEARCH("NDD",Tabella1[[#This Row],[Patologia Tiroidea]],1)),0,1)</f>
        <v>0</v>
      </c>
      <c r="BB128" s="22">
        <f>IF(ISERROR(SEARCH("TIROIDITE",Tabella1[[#This Row],[Patologia Tiroidea]],1)),0,1)</f>
        <v>0</v>
      </c>
      <c r="BC128" s="22">
        <f>IF(ISERROR(SEARCH("HASHIMOTO",Tabella1[[#This Row],[Patologia Tiroidea]],1)),0,1)</f>
        <v>0</v>
      </c>
      <c r="BD128" s="22">
        <f>IF(ISERROR(SEARCH("BASEDOW",Tabella1[[#This Row],[Patologia Tiroidea]],1)),0,1)</f>
        <v>0</v>
      </c>
      <c r="BE128" s="22">
        <f>IF(ISERROR(SEARCH("NOD",Tabella1[[#This Row],[Patologia Tiroidea]],1)),0,1)</f>
        <v>0</v>
      </c>
      <c r="BF128" s="22">
        <f>IF(ISERROR(SEARCH("GOZ",Tabella1[[#This Row],[Patologia Tiroidea]],1)),0,1)</f>
        <v>0</v>
      </c>
      <c r="BG128" s="7" t="s">
        <v>28</v>
      </c>
      <c r="BH128" s="17">
        <f>IF(Tabella1[[#This Row],[Obesità]]="no",0,1)</f>
        <v>1</v>
      </c>
      <c r="BI128" s="7" t="s">
        <v>25</v>
      </c>
      <c r="BJ128" s="22">
        <f>IF(ISERROR(SEARCH("nega",Tabella1[[#This Row],[Reflusso gastroesofageo]],1)),1,0)</f>
        <v>0</v>
      </c>
      <c r="BK128" s="7" t="s">
        <v>8</v>
      </c>
      <c r="BL128" s="17">
        <f>IF(ISERROR(SEARCH("NDD",Tabella1[[#This Row],[Patologia respiratoria]],1)),0,1)</f>
        <v>0</v>
      </c>
      <c r="BM128" s="17">
        <f>IF(ISERROR(SEARCH("asma",Tabella1[[#This Row],[Patologia respiratoria]],1)),0,1)</f>
        <v>0</v>
      </c>
      <c r="BN128" s="17">
        <f>IF(ISERROR(SEARCH("BPCO",Tabella1[[#This Row],[Patologia respiratoria]],1)),0,1)</f>
        <v>0</v>
      </c>
      <c r="BO128" s="17">
        <f>IF(ISERROR(SEARCH("BRONCOPOLMONITE",Tabella1[[#This Row],[Patologia respiratoria]],1)),0,1)</f>
        <v>0</v>
      </c>
      <c r="BP128" s="17">
        <f>IF(ISERROR(SEARCH("ASMA, OSAS",Tabella1[[#This Row],[Patologia respiratoria]],1)),0,1)</f>
        <v>0</v>
      </c>
      <c r="BQ128" s="17">
        <f>IF(ISERROR(SEARCH("OSAS e BPCO",Tabella1[[#This Row],[Patologia respiratoria]],1)),0,1)</f>
        <v>0</v>
      </c>
      <c r="BR128" s="17">
        <f>IF(ISERROR(SEARCH("OSAS",Tabella1[[#This Row],[Patologia respiratoria]],1)),0,1)</f>
        <v>0</v>
      </c>
      <c r="BS128" s="7" t="s">
        <v>1502</v>
      </c>
      <c r="BT128" s="7" t="s">
        <v>1503</v>
      </c>
      <c r="BU128" s="7" t="s">
        <v>8</v>
      </c>
      <c r="BV128" s="17">
        <f>IF(ISERROR(SEARCH("ndd",Tabella1[[#This Row],[O2 terapia]],1)),0,1)</f>
        <v>0</v>
      </c>
      <c r="BW128" s="17">
        <v>0</v>
      </c>
      <c r="BX128" s="7" t="s">
        <v>1504</v>
      </c>
      <c r="BY128" s="7" t="s">
        <v>1505</v>
      </c>
      <c r="BZ128" s="17">
        <v>1</v>
      </c>
      <c r="CA128" s="7" t="s">
        <v>8</v>
      </c>
      <c r="CB128" s="17">
        <v>0</v>
      </c>
      <c r="CC128" s="7" t="s">
        <v>28</v>
      </c>
      <c r="CD128" s="17">
        <v>1</v>
      </c>
      <c r="CE128" s="7" t="s">
        <v>8</v>
      </c>
      <c r="CF128" s="18">
        <v>0</v>
      </c>
      <c r="CG128" s="7" t="s">
        <v>8</v>
      </c>
      <c r="CH128" s="17">
        <v>0</v>
      </c>
      <c r="CI128" s="7" t="s">
        <v>8</v>
      </c>
      <c r="CJ128" s="18">
        <v>0</v>
      </c>
      <c r="CK128" s="7" t="s">
        <v>8</v>
      </c>
      <c r="CL128" s="17">
        <v>0</v>
      </c>
      <c r="CM128" s="7" t="s">
        <v>28</v>
      </c>
      <c r="CN128" s="17">
        <v>1</v>
      </c>
      <c r="CO128" s="7" t="s">
        <v>8</v>
      </c>
      <c r="CP128" s="18">
        <v>0</v>
      </c>
      <c r="CQ128" s="7" t="s">
        <v>54</v>
      </c>
      <c r="CR128" s="7" t="s">
        <v>279</v>
      </c>
      <c r="CS128" s="7" t="s">
        <v>37</v>
      </c>
      <c r="CT128" s="7" t="s">
        <v>539</v>
      </c>
      <c r="CU128" s="7" t="s">
        <v>1506</v>
      </c>
      <c r="CV128" s="8" t="s">
        <v>1507</v>
      </c>
    </row>
    <row r="129" spans="1:100" ht="57">
      <c r="A129" s="1">
        <f t="shared" si="1"/>
        <v>128</v>
      </c>
      <c r="B129" s="9">
        <v>849</v>
      </c>
      <c r="C129" s="10">
        <v>45021</v>
      </c>
      <c r="D129" s="11" t="s">
        <v>1508</v>
      </c>
      <c r="E129" s="10">
        <v>18799</v>
      </c>
      <c r="F129" s="29">
        <f ca="1">_xlfn.DAYS(NOW(),Tabella1[[#This Row],[Data di Nascita]])/365.25</f>
        <v>74.124572210814506</v>
      </c>
      <c r="G129" s="11" t="s">
        <v>1509</v>
      </c>
      <c r="H129" s="11" t="s">
        <v>1510</v>
      </c>
      <c r="I129" s="11"/>
      <c r="J129" s="11" t="s">
        <v>427</v>
      </c>
      <c r="K129" s="11" t="s">
        <v>1312</v>
      </c>
      <c r="L129" s="18">
        <f>IF(ISERROR(SEARCH("EX",Tabella1[[#This Row],[Attività lavorativa]],1)),0,1)</f>
        <v>0</v>
      </c>
      <c r="M129" s="18"/>
      <c r="N129" s="18"/>
      <c r="O129" s="18"/>
      <c r="P129" s="18"/>
      <c r="Q129" s="18"/>
      <c r="R129" s="18"/>
      <c r="S129" s="18"/>
      <c r="T129" s="17">
        <f>IF(ISERROR(SEARCH("NDD",Tabella1[[#This Row],[Attività lavorativa]],1)),0,1)</f>
        <v>0</v>
      </c>
      <c r="U129" s="11" t="s">
        <v>1511</v>
      </c>
      <c r="V129" s="22">
        <v>3</v>
      </c>
      <c r="W129" s="22">
        <f>IF(ISERROR(SEARCH("ex",Tabella1[[#This Row],[Fumo]],1)),0,1)</f>
        <v>1</v>
      </c>
      <c r="X129" s="22">
        <f>IF(ISERROR(SEARCH("no",Tabella1[[#This Row],[Fumo]],1)),0,1)</f>
        <v>0</v>
      </c>
      <c r="Y129" s="11" t="s">
        <v>5477</v>
      </c>
      <c r="Z129" s="18">
        <f>IF(ISERROR(SEARCH("NDD",Tabella1[[#This Row],[Bevitore alcolici]],1)),0,1)</f>
        <v>1</v>
      </c>
      <c r="AA129" s="17">
        <f>IF(ISERROR(SEARCH("raro",Tabella1[[#This Row],[Bevitore alcolici]],1)),0,1)</f>
        <v>0</v>
      </c>
      <c r="AB129" s="17">
        <f>IF(ISERROR(SEARCH("saltuariamente",Tabella1[[#This Row],[Bevitore alcolici]],1)),0,1)</f>
        <v>0</v>
      </c>
      <c r="AC129" s="17">
        <f>IF(ISERROR(SEARCH("nega",Tabella1[[#This Row],[Bevitore alcolici]],1)),0,1)</f>
        <v>0</v>
      </c>
      <c r="AD129" s="17">
        <f>IF(ISERROR(SEARCH("potus",Tabella1[[#This Row],[Bevitore alcolici]],1)),0,1)</f>
        <v>0</v>
      </c>
      <c r="AE129" s="11" t="s">
        <v>5477</v>
      </c>
      <c r="AF129" s="18">
        <v>1</v>
      </c>
      <c r="AG129" s="18"/>
      <c r="AH129" s="18"/>
      <c r="AI129" s="18"/>
      <c r="AJ129" s="18"/>
      <c r="AK129" s="11" t="s">
        <v>5477</v>
      </c>
      <c r="AL129" s="18">
        <f>IF(ISERROR(SEARCH("si",Tabella1[[#This Row],[Patente di guida]],1)),0,1)</f>
        <v>0</v>
      </c>
      <c r="AM129" s="11" t="s">
        <v>8</v>
      </c>
      <c r="AN129" s="18">
        <f>IF(ISERROR(SEARCH("no",Tabella1[[#This Row],[Ipertensione]],1)),0,1)</f>
        <v>1</v>
      </c>
      <c r="AO129" s="11" t="s">
        <v>382</v>
      </c>
      <c r="AP129" s="18">
        <f>IF(ISERROR(SEARCH("NO",Tabella1[[#This Row],[Cardiopatia ischemica]],1)),1,0)</f>
        <v>0</v>
      </c>
      <c r="AQ129" s="17">
        <f>IF(ISERROR(SEARCH("sconosciuto",Tabella1[[#This Row],[Cardiopatia ischemica]],1)),0,1)</f>
        <v>0</v>
      </c>
      <c r="AR129" s="11" t="s">
        <v>859</v>
      </c>
      <c r="AS129" s="18">
        <f>IF(ISERROR(SEARCH("nega",Tabella1[[#This Row],[Artimie]],1)),0,1)</f>
        <v>0</v>
      </c>
      <c r="AT129" s="11" t="s">
        <v>25</v>
      </c>
      <c r="AU129" s="18">
        <f>IF(ISERROR(SEARCH("nega",Tabella1[[#This Row],[Ipercolesterolemia]],1)),0,1)</f>
        <v>1</v>
      </c>
      <c r="AV129" s="18">
        <f>IF(ISERROR(SEARCH("boh",Tabella1[[#This Row],[Ipercolesterolemia]],1)),0,1)</f>
        <v>0</v>
      </c>
      <c r="AW129" s="11" t="s">
        <v>8</v>
      </c>
      <c r="AX129" s="18">
        <f>IF(ISERROR(SEARCH("Intolleranza",Tabella1[[#This Row],[Diabete]],1)),0,1)</f>
        <v>0</v>
      </c>
      <c r="AY129" s="18">
        <f>IF(ISERROR(SEARCH("si",Tabella1[[#This Row],[Diabete]],1)),0,1)</f>
        <v>0</v>
      </c>
      <c r="AZ129" s="11" t="s">
        <v>8</v>
      </c>
      <c r="BA129" s="18">
        <f>IF(ISERROR(SEARCH("NDD",Tabella1[[#This Row],[Patologia Tiroidea]],1)),0,1)</f>
        <v>0</v>
      </c>
      <c r="BB129" s="18">
        <f>IF(ISERROR(SEARCH("TIROIDITE",Tabella1[[#This Row],[Patologia Tiroidea]],1)),0,1)</f>
        <v>0</v>
      </c>
      <c r="BC129" s="18">
        <f>IF(ISERROR(SEARCH("HASHIMOTO",Tabella1[[#This Row],[Patologia Tiroidea]],1)),0,1)</f>
        <v>0</v>
      </c>
      <c r="BD129" s="18">
        <f>IF(ISERROR(SEARCH("BASEDOW",Tabella1[[#This Row],[Patologia Tiroidea]],1)),0,1)</f>
        <v>0</v>
      </c>
      <c r="BE129" s="18">
        <f>IF(ISERROR(SEARCH("NOD",Tabella1[[#This Row],[Patologia Tiroidea]],1)),0,1)</f>
        <v>0</v>
      </c>
      <c r="BF129" s="18">
        <f>IF(ISERROR(SEARCH("GOZ",Tabella1[[#This Row],[Patologia Tiroidea]],1)),0,1)</f>
        <v>0</v>
      </c>
      <c r="BG129" s="11" t="s">
        <v>8</v>
      </c>
      <c r="BH129" s="18">
        <f>IF(Tabella1[[#This Row],[Obesità]]="no",0,1)</f>
        <v>0</v>
      </c>
      <c r="BI129" s="11" t="s">
        <v>25</v>
      </c>
      <c r="BJ129" s="22">
        <f>IF(ISERROR(SEARCH("nega",Tabella1[[#This Row],[Reflusso gastroesofageo]],1)),1,0)</f>
        <v>0</v>
      </c>
      <c r="BK129" s="7" t="s">
        <v>5477</v>
      </c>
      <c r="BL129" s="17">
        <f>IF(ISERROR(SEARCH("NDD",Tabella1[[#This Row],[Patologia respiratoria]],1)),0,1)</f>
        <v>1</v>
      </c>
      <c r="BM129" s="18">
        <f>IF(ISERROR(SEARCH("asma",Tabella1[[#This Row],[Patologia respiratoria]],1)),0,1)</f>
        <v>0</v>
      </c>
      <c r="BN129" s="18">
        <f>IF(ISERROR(SEARCH("BPCO",Tabella1[[#This Row],[Patologia respiratoria]],1)),0,1)</f>
        <v>0</v>
      </c>
      <c r="BO129" s="18">
        <f>IF(ISERROR(SEARCH("BRONCOPOLMONITE",Tabella1[[#This Row],[Patologia respiratoria]],1)),0,1)</f>
        <v>0</v>
      </c>
      <c r="BP129" s="18">
        <f>IF(ISERROR(SEARCH("ASMA, OSAS",Tabella1[[#This Row],[Patologia respiratoria]],1)),0,1)</f>
        <v>0</v>
      </c>
      <c r="BQ129" s="18">
        <f>IF(ISERROR(SEARCH("OSAS e BPCO",Tabella1[[#This Row],[Patologia respiratoria]],1)),0,1)</f>
        <v>0</v>
      </c>
      <c r="BR129" s="18">
        <f>IF(ISERROR(SEARCH("OSAS",Tabella1[[#This Row],[Patologia respiratoria]],1)),0,1)</f>
        <v>0</v>
      </c>
      <c r="BS129" s="11"/>
      <c r="BT129" s="11" t="s">
        <v>1512</v>
      </c>
      <c r="BU129" s="7" t="s">
        <v>5477</v>
      </c>
      <c r="BV129" s="17">
        <f>IF(ISERROR(SEARCH("ndd",Tabella1[[#This Row],[O2 terapia]],1)),0,1)</f>
        <v>1</v>
      </c>
      <c r="BW129" s="18"/>
      <c r="BX129" s="11"/>
      <c r="BY129" s="11" t="s">
        <v>8</v>
      </c>
      <c r="BZ129" s="18">
        <v>0</v>
      </c>
      <c r="CA129" s="11" t="s">
        <v>8</v>
      </c>
      <c r="CB129" s="17">
        <v>0</v>
      </c>
      <c r="CC129" s="11" t="s">
        <v>31</v>
      </c>
      <c r="CD129" s="17">
        <v>1</v>
      </c>
      <c r="CE129" s="11" t="s">
        <v>8</v>
      </c>
      <c r="CF129" s="18">
        <v>0</v>
      </c>
      <c r="CG129" s="11" t="s">
        <v>8</v>
      </c>
      <c r="CH129" s="17">
        <v>0</v>
      </c>
      <c r="CI129" s="11" t="s">
        <v>8</v>
      </c>
      <c r="CJ129" s="18">
        <v>0</v>
      </c>
      <c r="CK129" s="11" t="s">
        <v>8</v>
      </c>
      <c r="CL129" s="17">
        <v>0</v>
      </c>
      <c r="CM129" s="11" t="s">
        <v>28</v>
      </c>
      <c r="CN129" s="17">
        <v>1</v>
      </c>
      <c r="CO129" s="11" t="s">
        <v>8</v>
      </c>
      <c r="CP129" s="18">
        <v>0</v>
      </c>
      <c r="CQ129" s="11" t="s">
        <v>85</v>
      </c>
      <c r="CR129" s="11" t="s">
        <v>135</v>
      </c>
      <c r="CS129" s="11" t="s">
        <v>71</v>
      </c>
      <c r="CT129" s="11" t="s">
        <v>450</v>
      </c>
      <c r="CU129" s="11" t="s">
        <v>1513</v>
      </c>
      <c r="CV129" s="12"/>
    </row>
    <row r="130" spans="1:100" ht="242.25">
      <c r="A130" s="1">
        <f t="shared" si="1"/>
        <v>129</v>
      </c>
      <c r="B130" s="5">
        <v>850</v>
      </c>
      <c r="C130" s="6">
        <v>45022</v>
      </c>
      <c r="D130" s="7" t="s">
        <v>1514</v>
      </c>
      <c r="E130" s="6">
        <v>21134</v>
      </c>
      <c r="F130" s="29">
        <f ca="1">_xlfn.DAYS(NOW(),Tabella1[[#This Row],[Data di Nascita]])/365.25</f>
        <v>67.731690622861052</v>
      </c>
      <c r="G130" s="7" t="s">
        <v>1515</v>
      </c>
      <c r="H130" s="7" t="s">
        <v>1516</v>
      </c>
      <c r="I130" s="7" t="s">
        <v>816</v>
      </c>
      <c r="J130" s="7" t="s">
        <v>427</v>
      </c>
      <c r="K130" s="7" t="s">
        <v>1517</v>
      </c>
      <c r="L130" s="17">
        <f>IF(ISERROR(SEARCH("EX",Tabella1[[#This Row],[Attività lavorativa]],1)),0,1)</f>
        <v>0</v>
      </c>
      <c r="M130" s="17"/>
      <c r="N130" s="17"/>
      <c r="O130" s="17"/>
      <c r="P130" s="18">
        <v>1</v>
      </c>
      <c r="Q130" s="17"/>
      <c r="R130" s="17"/>
      <c r="S130" s="17"/>
      <c r="T130" s="17">
        <f>IF(ISERROR(SEARCH("NDD",Tabella1[[#This Row],[Attività lavorativa]],1)),0,1)</f>
        <v>0</v>
      </c>
      <c r="U130" s="7" t="s">
        <v>8</v>
      </c>
      <c r="V130" s="22"/>
      <c r="W130" s="22">
        <f>IF(ISERROR(SEARCH("ex",Tabella1[[#This Row],[Fumo]],1)),0,1)</f>
        <v>0</v>
      </c>
      <c r="X130" s="22">
        <f>IF(ISERROR(SEARCH("no",Tabella1[[#This Row],[Fumo]],1)),0,1)</f>
        <v>1</v>
      </c>
      <c r="Y130" s="7" t="s">
        <v>25</v>
      </c>
      <c r="Z130" s="17">
        <f>IF(ISERROR(SEARCH("NDD",Tabella1[[#This Row],[Bevitore alcolici]],1)),0,1)</f>
        <v>0</v>
      </c>
      <c r="AA130" s="17">
        <f>IF(ISERROR(SEARCH("raro",Tabella1[[#This Row],[Bevitore alcolici]],1)),0,1)</f>
        <v>0</v>
      </c>
      <c r="AB130" s="17">
        <f>IF(ISERROR(SEARCH("saltuariamente",Tabella1[[#This Row],[Bevitore alcolici]],1)),0,1)</f>
        <v>0</v>
      </c>
      <c r="AC130" s="17">
        <f>IF(ISERROR(SEARCH("nega",Tabella1[[#This Row],[Bevitore alcolici]],1)),0,1)</f>
        <v>1</v>
      </c>
      <c r="AD130" s="17">
        <f>IF(ISERROR(SEARCH("potus",Tabella1[[#This Row],[Bevitore alcolici]],1)),0,1)</f>
        <v>0</v>
      </c>
      <c r="AE130" s="7" t="s">
        <v>657</v>
      </c>
      <c r="AF130" s="17"/>
      <c r="AG130" s="17"/>
      <c r="AH130" s="17"/>
      <c r="AI130" s="17"/>
      <c r="AJ130" s="17"/>
      <c r="AK130" s="7" t="s">
        <v>8</v>
      </c>
      <c r="AL130" s="17">
        <f>IF(ISERROR(SEARCH("si",Tabella1[[#This Row],[Patente di guida]],1)),0,1)</f>
        <v>0</v>
      </c>
      <c r="AM130" s="7" t="s">
        <v>28</v>
      </c>
      <c r="AN130" s="17">
        <f>IF(ISERROR(SEARCH("no",Tabella1[[#This Row],[Ipertensione]],1)),0,1)</f>
        <v>0</v>
      </c>
      <c r="AO130" s="7" t="s">
        <v>3734</v>
      </c>
      <c r="AP130" s="18">
        <f>IF(ISERROR(SEARCH("NO",Tabella1[[#This Row],[Cardiopatia ischemica]],1)),1,0)</f>
        <v>0</v>
      </c>
      <c r="AQ130" s="17">
        <f>IF(ISERROR(SEARCH("sconosciuto",Tabella1[[#This Row],[Cardiopatia ischemica]],1)),0,1)</f>
        <v>0</v>
      </c>
      <c r="AR130" s="7" t="s">
        <v>3751</v>
      </c>
      <c r="AS130" s="22">
        <f>IF(ISERROR(SEARCH("nega",Tabella1[[#This Row],[Artimie]],1)),0,1)</f>
        <v>0</v>
      </c>
      <c r="AT130" s="7" t="s">
        <v>25</v>
      </c>
      <c r="AU130" s="22">
        <f>IF(ISERROR(SEARCH("nega",Tabella1[[#This Row],[Ipercolesterolemia]],1)),0,1)</f>
        <v>1</v>
      </c>
      <c r="AV130" s="22">
        <f>IF(ISERROR(SEARCH("boh",Tabella1[[#This Row],[Ipercolesterolemia]],1)),0,1)</f>
        <v>0</v>
      </c>
      <c r="AW130" s="7" t="s">
        <v>8</v>
      </c>
      <c r="AX130" s="22">
        <f>IF(ISERROR(SEARCH("Intolleranza",Tabella1[[#This Row],[Diabete]],1)),0,1)</f>
        <v>0</v>
      </c>
      <c r="AY130" s="22">
        <f>IF(ISERROR(SEARCH("si",Tabella1[[#This Row],[Diabete]],1)),0,1)</f>
        <v>0</v>
      </c>
      <c r="AZ130" s="7" t="s">
        <v>1518</v>
      </c>
      <c r="BA130" s="17">
        <f>IF(ISERROR(SEARCH("NDD",Tabella1[[#This Row],[Patologia Tiroidea]],1)),0,1)</f>
        <v>0</v>
      </c>
      <c r="BB130" s="22">
        <f>IF(ISERROR(SEARCH("TIROIDITE",Tabella1[[#This Row],[Patologia Tiroidea]],1)),0,1)</f>
        <v>0</v>
      </c>
      <c r="BC130" s="22">
        <f>IF(ISERROR(SEARCH("HASHIMOTO",Tabella1[[#This Row],[Patologia Tiroidea]],1)),0,1)</f>
        <v>0</v>
      </c>
      <c r="BD130" s="22">
        <f>IF(ISERROR(SEARCH("BASEDOW",Tabella1[[#This Row],[Patologia Tiroidea]],1)),0,1)</f>
        <v>0</v>
      </c>
      <c r="BE130" s="22">
        <f>IF(ISERROR(SEARCH("NOD",Tabella1[[#This Row],[Patologia Tiroidea]],1)),0,1)</f>
        <v>0</v>
      </c>
      <c r="BF130" s="22">
        <f>IF(ISERROR(SEARCH("GOZ",Tabella1[[#This Row],[Patologia Tiroidea]],1)),0,1)</f>
        <v>0</v>
      </c>
      <c r="BG130" s="7" t="s">
        <v>28</v>
      </c>
      <c r="BH130" s="17">
        <f>IF(Tabella1[[#This Row],[Obesità]]="no",0,1)</f>
        <v>1</v>
      </c>
      <c r="BI130" s="7" t="s">
        <v>25</v>
      </c>
      <c r="BJ130" s="22">
        <f>IF(ISERROR(SEARCH("nega",Tabella1[[#This Row],[Reflusso gastroesofageo]],1)),1,0)</f>
        <v>0</v>
      </c>
      <c r="BK130" s="7" t="s">
        <v>8</v>
      </c>
      <c r="BL130" s="17">
        <f>IF(ISERROR(SEARCH("NDD",Tabella1[[#This Row],[Patologia respiratoria]],1)),0,1)</f>
        <v>0</v>
      </c>
      <c r="BM130" s="17">
        <f>IF(ISERROR(SEARCH("asma",Tabella1[[#This Row],[Patologia respiratoria]],1)),0,1)</f>
        <v>0</v>
      </c>
      <c r="BN130" s="17">
        <f>IF(ISERROR(SEARCH("BPCO",Tabella1[[#This Row],[Patologia respiratoria]],1)),0,1)</f>
        <v>0</v>
      </c>
      <c r="BO130" s="17">
        <f>IF(ISERROR(SEARCH("BRONCOPOLMONITE",Tabella1[[#This Row],[Patologia respiratoria]],1)),0,1)</f>
        <v>0</v>
      </c>
      <c r="BP130" s="17">
        <f>IF(ISERROR(SEARCH("ASMA, OSAS",Tabella1[[#This Row],[Patologia respiratoria]],1)),0,1)</f>
        <v>0</v>
      </c>
      <c r="BQ130" s="17">
        <f>IF(ISERROR(SEARCH("OSAS e BPCO",Tabella1[[#This Row],[Patologia respiratoria]],1)),0,1)</f>
        <v>0</v>
      </c>
      <c r="BR130" s="17">
        <f>IF(ISERROR(SEARCH("OSAS",Tabella1[[#This Row],[Patologia respiratoria]],1)),0,1)</f>
        <v>0</v>
      </c>
      <c r="BS130" s="7" t="s">
        <v>1519</v>
      </c>
      <c r="BT130" s="7" t="s">
        <v>1520</v>
      </c>
      <c r="BU130" s="7" t="s">
        <v>8</v>
      </c>
      <c r="BV130" s="17">
        <f>IF(ISERROR(SEARCH("ndd",Tabella1[[#This Row],[O2 terapia]],1)),0,1)</f>
        <v>0</v>
      </c>
      <c r="BW130" s="17">
        <v>0</v>
      </c>
      <c r="BX130" s="7" t="s">
        <v>1521</v>
      </c>
      <c r="BY130" s="7" t="s">
        <v>8</v>
      </c>
      <c r="BZ130" s="18">
        <v>0</v>
      </c>
      <c r="CA130" s="7" t="s">
        <v>28</v>
      </c>
      <c r="CB130" s="17">
        <v>1</v>
      </c>
      <c r="CC130" s="7" t="s">
        <v>1522</v>
      </c>
      <c r="CD130" s="17">
        <v>1</v>
      </c>
      <c r="CE130" s="7" t="s">
        <v>8</v>
      </c>
      <c r="CF130" s="18">
        <v>0</v>
      </c>
      <c r="CG130" s="7" t="s">
        <v>8</v>
      </c>
      <c r="CH130" s="17">
        <v>0</v>
      </c>
      <c r="CI130" s="7" t="s">
        <v>8</v>
      </c>
      <c r="CJ130" s="18">
        <v>0</v>
      </c>
      <c r="CK130" s="7" t="s">
        <v>1523</v>
      </c>
      <c r="CL130" s="17">
        <v>1</v>
      </c>
      <c r="CM130" s="7" t="s">
        <v>28</v>
      </c>
      <c r="CN130" s="17">
        <v>1</v>
      </c>
      <c r="CO130" s="7" t="s">
        <v>8</v>
      </c>
      <c r="CP130" s="18">
        <v>0</v>
      </c>
      <c r="CQ130" s="7" t="s">
        <v>54</v>
      </c>
      <c r="CR130" s="7" t="s">
        <v>1524</v>
      </c>
      <c r="CS130" s="7" t="s">
        <v>389</v>
      </c>
      <c r="CT130" s="7" t="s">
        <v>104</v>
      </c>
      <c r="CU130" s="7" t="s">
        <v>1525</v>
      </c>
      <c r="CV130" s="8" t="s">
        <v>1526</v>
      </c>
    </row>
    <row r="131" spans="1:100" ht="28.5">
      <c r="A131" s="1">
        <f t="shared" ref="A131:A194" si="2">A130+1</f>
        <v>130</v>
      </c>
      <c r="B131" s="9">
        <v>853</v>
      </c>
      <c r="C131" s="10">
        <v>45023</v>
      </c>
      <c r="D131" s="11" t="s">
        <v>1527</v>
      </c>
      <c r="E131" s="10">
        <v>23412</v>
      </c>
      <c r="F131" s="29">
        <f ca="1">_xlfn.DAYS(NOW(),Tabella1[[#This Row],[Data di Nascita]])/365.25</f>
        <v>61.494866529774129</v>
      </c>
      <c r="G131" s="11" t="s">
        <v>1528</v>
      </c>
      <c r="H131" s="11" t="s">
        <v>1529</v>
      </c>
      <c r="I131" s="11" t="s">
        <v>1492</v>
      </c>
      <c r="J131" s="11" t="s">
        <v>1530</v>
      </c>
      <c r="K131" s="11" t="s">
        <v>241</v>
      </c>
      <c r="L131" s="18">
        <f>IF(ISERROR(SEARCH("EX",Tabella1[[#This Row],[Attività lavorativa]],1)),0,1)</f>
        <v>0</v>
      </c>
      <c r="M131" s="18"/>
      <c r="N131" s="18"/>
      <c r="O131" s="18"/>
      <c r="P131" s="18">
        <v>1</v>
      </c>
      <c r="Q131" s="18"/>
      <c r="R131" s="18"/>
      <c r="S131" s="18"/>
      <c r="T131" s="17">
        <f>IF(ISERROR(SEARCH("NDD",Tabella1[[#This Row],[Attività lavorativa]],1)),0,1)</f>
        <v>0</v>
      </c>
      <c r="U131" s="11" t="s">
        <v>1531</v>
      </c>
      <c r="V131" s="22">
        <v>20</v>
      </c>
      <c r="W131" s="22">
        <f>IF(ISERROR(SEARCH("ex",Tabella1[[#This Row],[Fumo]],1)),0,1)</f>
        <v>1</v>
      </c>
      <c r="X131" s="22">
        <f>IF(ISERROR(SEARCH("no",Tabella1[[#This Row],[Fumo]],1)),0,1)</f>
        <v>0</v>
      </c>
      <c r="Y131" s="11" t="s">
        <v>25</v>
      </c>
      <c r="Z131" s="18">
        <f>IF(ISERROR(SEARCH("NDD",Tabella1[[#This Row],[Bevitore alcolici]],1)),0,1)</f>
        <v>0</v>
      </c>
      <c r="AA131" s="17">
        <f>IF(ISERROR(SEARCH("raro",Tabella1[[#This Row],[Bevitore alcolici]],1)),0,1)</f>
        <v>0</v>
      </c>
      <c r="AB131" s="17">
        <f>IF(ISERROR(SEARCH("saltuariamente",Tabella1[[#This Row],[Bevitore alcolici]],1)),0,1)</f>
        <v>0</v>
      </c>
      <c r="AC131" s="17">
        <f>IF(ISERROR(SEARCH("nega",Tabella1[[#This Row],[Bevitore alcolici]],1)),0,1)</f>
        <v>1</v>
      </c>
      <c r="AD131" s="17">
        <f>IF(ISERROR(SEARCH("potus",Tabella1[[#This Row],[Bevitore alcolici]],1)),0,1)</f>
        <v>0</v>
      </c>
      <c r="AE131" s="11" t="s">
        <v>657</v>
      </c>
      <c r="AF131" s="18"/>
      <c r="AG131" s="18"/>
      <c r="AH131" s="18"/>
      <c r="AI131" s="18"/>
      <c r="AJ131" s="18"/>
      <c r="AK131" s="11" t="s">
        <v>8</v>
      </c>
      <c r="AL131" s="18">
        <f>IF(ISERROR(SEARCH("si",Tabella1[[#This Row],[Patente di guida]],1)),0,1)</f>
        <v>0</v>
      </c>
      <c r="AM131" s="11" t="s">
        <v>8</v>
      </c>
      <c r="AN131" s="18">
        <f>IF(ISERROR(SEARCH("no",Tabella1[[#This Row],[Ipertensione]],1)),0,1)</f>
        <v>1</v>
      </c>
      <c r="AO131" s="11" t="s">
        <v>382</v>
      </c>
      <c r="AP131" s="18">
        <f>IF(ISERROR(SEARCH("NO",Tabella1[[#This Row],[Cardiopatia ischemica]],1)),1,0)</f>
        <v>0</v>
      </c>
      <c r="AQ131" s="17">
        <f>IF(ISERROR(SEARCH("sconosciuto",Tabella1[[#This Row],[Cardiopatia ischemica]],1)),0,1)</f>
        <v>0</v>
      </c>
      <c r="AR131" s="11" t="s">
        <v>25</v>
      </c>
      <c r="AS131" s="22">
        <f>IF(ISERROR(SEARCH("nega",Tabella1[[#This Row],[Artimie]],1)),0,1)</f>
        <v>1</v>
      </c>
      <c r="AT131" s="11" t="s">
        <v>25</v>
      </c>
      <c r="AU131" s="22">
        <f>IF(ISERROR(SEARCH("nega",Tabella1[[#This Row],[Ipercolesterolemia]],1)),0,1)</f>
        <v>1</v>
      </c>
      <c r="AV131" s="22">
        <f>IF(ISERROR(SEARCH("boh",Tabella1[[#This Row],[Ipercolesterolemia]],1)),0,1)</f>
        <v>0</v>
      </c>
      <c r="AW131" s="11" t="s">
        <v>8</v>
      </c>
      <c r="AX131" s="22">
        <f>IF(ISERROR(SEARCH("Intolleranza",Tabella1[[#This Row],[Diabete]],1)),0,1)</f>
        <v>0</v>
      </c>
      <c r="AY131" s="22">
        <f>IF(ISERROR(SEARCH("si",Tabella1[[#This Row],[Diabete]],1)),0,1)</f>
        <v>0</v>
      </c>
      <c r="AZ131" s="11" t="s">
        <v>28</v>
      </c>
      <c r="BA131" s="18">
        <f>IF(ISERROR(SEARCH("NDD",Tabella1[[#This Row],[Patologia Tiroidea]],1)),0,1)</f>
        <v>0</v>
      </c>
      <c r="BB131" s="22">
        <f>IF(ISERROR(SEARCH("TIROIDITE",Tabella1[[#This Row],[Patologia Tiroidea]],1)),0,1)</f>
        <v>0</v>
      </c>
      <c r="BC131" s="22">
        <f>IF(ISERROR(SEARCH("HASHIMOTO",Tabella1[[#This Row],[Patologia Tiroidea]],1)),0,1)</f>
        <v>0</v>
      </c>
      <c r="BD131" s="22">
        <f>IF(ISERROR(SEARCH("BASEDOW",Tabella1[[#This Row],[Patologia Tiroidea]],1)),0,1)</f>
        <v>0</v>
      </c>
      <c r="BE131" s="22">
        <f>IF(ISERROR(SEARCH("NOD",Tabella1[[#This Row],[Patologia Tiroidea]],1)),0,1)</f>
        <v>0</v>
      </c>
      <c r="BF131" s="22">
        <f>IF(ISERROR(SEARCH("GOZ",Tabella1[[#This Row],[Patologia Tiroidea]],1)),0,1)</f>
        <v>0</v>
      </c>
      <c r="BG131" s="11" t="s">
        <v>28</v>
      </c>
      <c r="BH131" s="18">
        <f>IF(Tabella1[[#This Row],[Obesità]]="no",0,1)</f>
        <v>1</v>
      </c>
      <c r="BI131" s="11" t="s">
        <v>28</v>
      </c>
      <c r="BJ131" s="22">
        <f>IF(ISERROR(SEARCH("nega",Tabella1[[#This Row],[Reflusso gastroesofageo]],1)),1,0)</f>
        <v>1</v>
      </c>
      <c r="BK131" s="11" t="s">
        <v>1063</v>
      </c>
      <c r="BL131" s="18">
        <f>IF(ISERROR(SEARCH("NDD",Tabella1[[#This Row],[Patologia respiratoria]],1)),0,1)</f>
        <v>0</v>
      </c>
      <c r="BM131" s="18">
        <f>IF(ISERROR(SEARCH("asma",Tabella1[[#This Row],[Patologia respiratoria]],1)),0,1)</f>
        <v>0</v>
      </c>
      <c r="BN131" s="18">
        <f>IF(ISERROR(SEARCH("BPCO",Tabella1[[#This Row],[Patologia respiratoria]],1)),0,1)</f>
        <v>1</v>
      </c>
      <c r="BO131" s="18">
        <f>IF(ISERROR(SEARCH("BRONCOPOLMONITE",Tabella1[[#This Row],[Patologia respiratoria]],1)),0,1)</f>
        <v>0</v>
      </c>
      <c r="BP131" s="18">
        <f>IF(ISERROR(SEARCH("ASMA, OSAS",Tabella1[[#This Row],[Patologia respiratoria]],1)),0,1)</f>
        <v>0</v>
      </c>
      <c r="BQ131" s="18">
        <f>IF(ISERROR(SEARCH("OSAS e BPCO",Tabella1[[#This Row],[Patologia respiratoria]],1)),0,1)</f>
        <v>0</v>
      </c>
      <c r="BR131" s="18">
        <f>IF(ISERROR(SEARCH("OSAS",Tabella1[[#This Row],[Patologia respiratoria]],1)),0,1)</f>
        <v>0</v>
      </c>
      <c r="BS131" s="11"/>
      <c r="BT131" s="11" t="s">
        <v>1532</v>
      </c>
      <c r="BU131" s="11" t="s">
        <v>8</v>
      </c>
      <c r="BV131" s="18">
        <f>IF(ISERROR(SEARCH("ndd",Tabella1[[#This Row],[O2 terapia]],1)),0,1)</f>
        <v>0</v>
      </c>
      <c r="BW131" s="17">
        <v>0</v>
      </c>
      <c r="BX131" s="11"/>
      <c r="BY131" s="11" t="s">
        <v>8</v>
      </c>
      <c r="BZ131" s="18">
        <v>0</v>
      </c>
      <c r="CA131" s="11" t="s">
        <v>28</v>
      </c>
      <c r="CB131" s="17">
        <v>1</v>
      </c>
      <c r="CC131" s="11" t="s">
        <v>28</v>
      </c>
      <c r="CD131" s="17">
        <v>1</v>
      </c>
      <c r="CE131" s="11" t="s">
        <v>8</v>
      </c>
      <c r="CF131" s="18">
        <v>0</v>
      </c>
      <c r="CG131" s="11" t="s">
        <v>28</v>
      </c>
      <c r="CH131" s="17">
        <v>1</v>
      </c>
      <c r="CI131" s="11" t="s">
        <v>8</v>
      </c>
      <c r="CJ131" s="18">
        <v>0</v>
      </c>
      <c r="CK131" s="11" t="s">
        <v>28</v>
      </c>
      <c r="CL131" s="17">
        <v>1</v>
      </c>
      <c r="CM131" s="11" t="s">
        <v>28</v>
      </c>
      <c r="CN131" s="17">
        <v>1</v>
      </c>
      <c r="CO131" s="11" t="s">
        <v>28</v>
      </c>
      <c r="CP131" s="17">
        <v>1</v>
      </c>
      <c r="CQ131" s="11" t="s">
        <v>1272</v>
      </c>
      <c r="CR131" s="11" t="s">
        <v>55</v>
      </c>
      <c r="CS131" s="11" t="s">
        <v>219</v>
      </c>
      <c r="CT131" s="11" t="s">
        <v>569</v>
      </c>
      <c r="CU131" s="11"/>
      <c r="CV131" s="12"/>
    </row>
    <row r="132" spans="1:100" ht="42.75">
      <c r="A132" s="1">
        <f t="shared" si="2"/>
        <v>131</v>
      </c>
      <c r="B132" s="5">
        <v>858</v>
      </c>
      <c r="C132" s="6">
        <v>45028</v>
      </c>
      <c r="D132" s="7" t="s">
        <v>1533</v>
      </c>
      <c r="E132" s="6">
        <v>33695</v>
      </c>
      <c r="F132" s="29">
        <f ca="1">_xlfn.DAYS(NOW(),Tabella1[[#This Row],[Data di Nascita]])/365.25</f>
        <v>33.341546885694733</v>
      </c>
      <c r="G132" s="7" t="s">
        <v>1534</v>
      </c>
      <c r="H132" s="7" t="s">
        <v>1535</v>
      </c>
      <c r="I132" s="7" t="s">
        <v>1536</v>
      </c>
      <c r="J132" s="7" t="s">
        <v>1044</v>
      </c>
      <c r="K132" s="7" t="s">
        <v>1537</v>
      </c>
      <c r="L132" s="17">
        <f>IF(ISERROR(SEARCH("EX",Tabella1[[#This Row],[Attività lavorativa]],1)),0,1)</f>
        <v>0</v>
      </c>
      <c r="M132" s="17"/>
      <c r="N132" s="17"/>
      <c r="O132" s="17"/>
      <c r="P132" s="17"/>
      <c r="Q132" s="17"/>
      <c r="R132" s="17"/>
      <c r="S132" s="17"/>
      <c r="T132" s="17">
        <f>IF(ISERROR(SEARCH("NDD",Tabella1[[#This Row],[Attività lavorativa]],1)),0,1)</f>
        <v>0</v>
      </c>
      <c r="U132" s="7" t="s">
        <v>1538</v>
      </c>
      <c r="V132" s="22">
        <v>4</v>
      </c>
      <c r="W132" s="22">
        <f>IF(ISERROR(SEARCH("ex",Tabella1[[#This Row],[Fumo]],1)),0,1)</f>
        <v>1</v>
      </c>
      <c r="X132" s="22">
        <f>IF(ISERROR(SEARCH("no",Tabella1[[#This Row],[Fumo]],1)),0,1)</f>
        <v>0</v>
      </c>
      <c r="Y132" s="11" t="s">
        <v>5477</v>
      </c>
      <c r="Z132" s="18">
        <f>IF(ISERROR(SEARCH("NDD",Tabella1[[#This Row],[Bevitore alcolici]],1)),0,1)</f>
        <v>1</v>
      </c>
      <c r="AA132" s="17">
        <f>IF(ISERROR(SEARCH("raro",Tabella1[[#This Row],[Bevitore alcolici]],1)),0,1)</f>
        <v>0</v>
      </c>
      <c r="AB132" s="17">
        <f>IF(ISERROR(SEARCH("saltuariamente",Tabella1[[#This Row],[Bevitore alcolici]],1)),0,1)</f>
        <v>0</v>
      </c>
      <c r="AC132" s="17">
        <f>IF(ISERROR(SEARCH("nega",Tabella1[[#This Row],[Bevitore alcolici]],1)),0,1)</f>
        <v>0</v>
      </c>
      <c r="AD132" s="17">
        <f>IF(ISERROR(SEARCH("potus",Tabella1[[#This Row],[Bevitore alcolici]],1)),0,1)</f>
        <v>0</v>
      </c>
      <c r="AE132" s="7" t="s">
        <v>1539</v>
      </c>
      <c r="AF132" s="17"/>
      <c r="AG132" s="17"/>
      <c r="AH132" s="17"/>
      <c r="AI132" s="17"/>
      <c r="AJ132" s="17"/>
      <c r="AK132" s="7" t="s">
        <v>28</v>
      </c>
      <c r="AL132" s="17">
        <f>IF(ISERROR(SEARCH("si",Tabella1[[#This Row],[Patente di guida]],1)),0,1)</f>
        <v>1</v>
      </c>
      <c r="AM132" s="7" t="s">
        <v>8</v>
      </c>
      <c r="AN132" s="17">
        <f>IF(ISERROR(SEARCH("no",Tabella1[[#This Row],[Ipertensione]],1)),0,1)</f>
        <v>1</v>
      </c>
      <c r="AO132" s="7" t="s">
        <v>382</v>
      </c>
      <c r="AP132" s="18">
        <f>IF(ISERROR(SEARCH("NO",Tabella1[[#This Row],[Cardiopatia ischemica]],1)),1,0)</f>
        <v>0</v>
      </c>
      <c r="AQ132" s="17">
        <f>IF(ISERROR(SEARCH("sconosciuto",Tabella1[[#This Row],[Cardiopatia ischemica]],1)),0,1)</f>
        <v>0</v>
      </c>
      <c r="AR132" s="7" t="s">
        <v>25</v>
      </c>
      <c r="AS132" s="22">
        <f>IF(ISERROR(SEARCH("nega",Tabella1[[#This Row],[Artimie]],1)),0,1)</f>
        <v>1</v>
      </c>
      <c r="AT132" s="7" t="s">
        <v>25</v>
      </c>
      <c r="AU132" s="22">
        <f>IF(ISERROR(SEARCH("nega",Tabella1[[#This Row],[Ipercolesterolemia]],1)),0,1)</f>
        <v>1</v>
      </c>
      <c r="AV132" s="22">
        <f>IF(ISERROR(SEARCH("boh",Tabella1[[#This Row],[Ipercolesterolemia]],1)),0,1)</f>
        <v>0</v>
      </c>
      <c r="AW132" s="7" t="s">
        <v>8</v>
      </c>
      <c r="AX132" s="22">
        <f>IF(ISERROR(SEARCH("Intolleranza",Tabella1[[#This Row],[Diabete]],1)),0,1)</f>
        <v>0</v>
      </c>
      <c r="AY132" s="22">
        <f>IF(ISERROR(SEARCH("si",Tabella1[[#This Row],[Diabete]],1)),0,1)</f>
        <v>0</v>
      </c>
      <c r="AZ132" s="7" t="s">
        <v>8</v>
      </c>
      <c r="BA132" s="17">
        <f>IF(ISERROR(SEARCH("NDD",Tabella1[[#This Row],[Patologia Tiroidea]],1)),0,1)</f>
        <v>0</v>
      </c>
      <c r="BB132" s="22">
        <f>IF(ISERROR(SEARCH("TIROIDITE",Tabella1[[#This Row],[Patologia Tiroidea]],1)),0,1)</f>
        <v>0</v>
      </c>
      <c r="BC132" s="22">
        <f>IF(ISERROR(SEARCH("HASHIMOTO",Tabella1[[#This Row],[Patologia Tiroidea]],1)),0,1)</f>
        <v>0</v>
      </c>
      <c r="BD132" s="22">
        <f>IF(ISERROR(SEARCH("BASEDOW",Tabella1[[#This Row],[Patologia Tiroidea]],1)),0,1)</f>
        <v>0</v>
      </c>
      <c r="BE132" s="22">
        <f>IF(ISERROR(SEARCH("NOD",Tabella1[[#This Row],[Patologia Tiroidea]],1)),0,1)</f>
        <v>0</v>
      </c>
      <c r="BF132" s="22">
        <f>IF(ISERROR(SEARCH("GOZ",Tabella1[[#This Row],[Patologia Tiroidea]],1)),0,1)</f>
        <v>0</v>
      </c>
      <c r="BG132" s="7" t="s">
        <v>8</v>
      </c>
      <c r="BH132" s="17">
        <f>IF(Tabella1[[#This Row],[Obesità]]="no",0,1)</f>
        <v>0</v>
      </c>
      <c r="BI132" s="7" t="s">
        <v>25</v>
      </c>
      <c r="BJ132" s="22">
        <f>IF(ISERROR(SEARCH("nega",Tabella1[[#This Row],[Reflusso gastroesofageo]],1)),1,0)</f>
        <v>0</v>
      </c>
      <c r="BK132" s="7" t="s">
        <v>8</v>
      </c>
      <c r="BL132" s="17">
        <f>IF(ISERROR(SEARCH("NDD",Tabella1[[#This Row],[Patologia respiratoria]],1)),0,1)</f>
        <v>0</v>
      </c>
      <c r="BM132" s="17">
        <f>IF(ISERROR(SEARCH("asma",Tabella1[[#This Row],[Patologia respiratoria]],1)),0,1)</f>
        <v>0</v>
      </c>
      <c r="BN132" s="17">
        <f>IF(ISERROR(SEARCH("BPCO",Tabella1[[#This Row],[Patologia respiratoria]],1)),0,1)</f>
        <v>0</v>
      </c>
      <c r="BO132" s="17">
        <f>IF(ISERROR(SEARCH("BRONCOPOLMONITE",Tabella1[[#This Row],[Patologia respiratoria]],1)),0,1)</f>
        <v>0</v>
      </c>
      <c r="BP132" s="17">
        <f>IF(ISERROR(SEARCH("ASMA, OSAS",Tabella1[[#This Row],[Patologia respiratoria]],1)),0,1)</f>
        <v>0</v>
      </c>
      <c r="BQ132" s="17">
        <f>IF(ISERROR(SEARCH("OSAS e BPCO",Tabella1[[#This Row],[Patologia respiratoria]],1)),0,1)</f>
        <v>0</v>
      </c>
      <c r="BR132" s="17">
        <f>IF(ISERROR(SEARCH("OSAS",Tabella1[[#This Row],[Patologia respiratoria]],1)),0,1)</f>
        <v>0</v>
      </c>
      <c r="BS132" s="7"/>
      <c r="BT132" s="7" t="s">
        <v>25</v>
      </c>
      <c r="BU132" s="7" t="s">
        <v>8</v>
      </c>
      <c r="BV132" s="17">
        <f>IF(ISERROR(SEARCH("ndd",Tabella1[[#This Row],[O2 terapia]],1)),0,1)</f>
        <v>0</v>
      </c>
      <c r="BW132" s="17">
        <v>0</v>
      </c>
      <c r="BX132" s="7"/>
      <c r="BY132" s="7" t="s">
        <v>8</v>
      </c>
      <c r="BZ132" s="18">
        <v>0</v>
      </c>
      <c r="CA132" s="7" t="s">
        <v>8</v>
      </c>
      <c r="CB132" s="17">
        <v>0</v>
      </c>
      <c r="CC132" s="7" t="s">
        <v>8</v>
      </c>
      <c r="CD132" s="18">
        <v>0</v>
      </c>
      <c r="CE132" s="7" t="s">
        <v>8</v>
      </c>
      <c r="CF132" s="18">
        <v>0</v>
      </c>
      <c r="CG132" s="7" t="s">
        <v>8</v>
      </c>
      <c r="CH132" s="17">
        <v>0</v>
      </c>
      <c r="CI132" s="7" t="s">
        <v>8</v>
      </c>
      <c r="CJ132" s="18">
        <v>0</v>
      </c>
      <c r="CK132" s="7" t="s">
        <v>8</v>
      </c>
      <c r="CL132" s="17">
        <v>0</v>
      </c>
      <c r="CM132" s="7" t="s">
        <v>8</v>
      </c>
      <c r="CN132" s="17">
        <v>0</v>
      </c>
      <c r="CO132" s="7" t="s">
        <v>8</v>
      </c>
      <c r="CP132" s="18">
        <v>0</v>
      </c>
      <c r="CQ132" s="7" t="s">
        <v>69</v>
      </c>
      <c r="CR132" s="7" t="s">
        <v>168</v>
      </c>
      <c r="CS132" s="7" t="s">
        <v>219</v>
      </c>
      <c r="CT132" s="7" t="s">
        <v>204</v>
      </c>
      <c r="CU132" s="7"/>
      <c r="CV132" s="8"/>
    </row>
    <row r="133" spans="1:100" ht="228">
      <c r="A133" s="1">
        <f t="shared" si="2"/>
        <v>132</v>
      </c>
      <c r="B133" s="9">
        <v>867</v>
      </c>
      <c r="C133" s="10">
        <v>45030</v>
      </c>
      <c r="D133" s="11" t="s">
        <v>1540</v>
      </c>
      <c r="E133" s="10">
        <v>23979</v>
      </c>
      <c r="F133" s="29">
        <f ca="1">_xlfn.DAYS(NOW(),Tabella1[[#This Row],[Data di Nascita]])/365.25</f>
        <v>59.942505133470227</v>
      </c>
      <c r="G133" s="11" t="s">
        <v>1541</v>
      </c>
      <c r="H133" s="11" t="s">
        <v>1542</v>
      </c>
      <c r="I133" s="11" t="s">
        <v>816</v>
      </c>
      <c r="J133" s="11" t="s">
        <v>1346</v>
      </c>
      <c r="K133" s="11" t="s">
        <v>1543</v>
      </c>
      <c r="L133" s="18">
        <f>IF(ISERROR(SEARCH("EX",Tabella1[[#This Row],[Attività lavorativa]],1)),0,1)</f>
        <v>0</v>
      </c>
      <c r="M133" s="18"/>
      <c r="N133" s="18"/>
      <c r="O133" s="18"/>
      <c r="P133" s="18"/>
      <c r="Q133" s="18">
        <v>1</v>
      </c>
      <c r="R133" s="18"/>
      <c r="S133" s="18"/>
      <c r="T133" s="17">
        <f>IF(ISERROR(SEARCH("NDD",Tabella1[[#This Row],[Attività lavorativa]],1)),0,1)</f>
        <v>0</v>
      </c>
      <c r="U133" s="11" t="s">
        <v>1544</v>
      </c>
      <c r="V133" s="22">
        <v>30</v>
      </c>
      <c r="W133" s="22">
        <f>IF(ISERROR(SEARCH("ex",Tabella1[[#This Row],[Fumo]],1)),0,1)</f>
        <v>0</v>
      </c>
      <c r="X133" s="22">
        <f>IF(ISERROR(SEARCH("no",Tabella1[[#This Row],[Fumo]],1)),0,1)</f>
        <v>0</v>
      </c>
      <c r="Y133" s="11" t="s">
        <v>26</v>
      </c>
      <c r="Z133" s="18">
        <f>IF(ISERROR(SEARCH("NDD",Tabella1[[#This Row],[Bevitore alcolici]],1)),0,1)</f>
        <v>0</v>
      </c>
      <c r="AA133" s="17">
        <f>IF(ISERROR(SEARCH("raro",Tabella1[[#This Row],[Bevitore alcolici]],1)),0,1)</f>
        <v>0</v>
      </c>
      <c r="AB133" s="17">
        <f>IF(ISERROR(SEARCH("saltuariamente",Tabella1[[#This Row],[Bevitore alcolici]],1)),0,1)</f>
        <v>1</v>
      </c>
      <c r="AC133" s="17">
        <f>IF(ISERROR(SEARCH("nega",Tabella1[[#This Row],[Bevitore alcolici]],1)),0,1)</f>
        <v>0</v>
      </c>
      <c r="AD133" s="17">
        <f>IF(ISERROR(SEARCH("potus",Tabella1[[#This Row],[Bevitore alcolici]],1)),0,1)</f>
        <v>0</v>
      </c>
      <c r="AE133" s="11" t="s">
        <v>1545</v>
      </c>
      <c r="AF133" s="18"/>
      <c r="AG133" s="18"/>
      <c r="AH133" s="18"/>
      <c r="AI133" s="18"/>
      <c r="AJ133" s="18"/>
      <c r="AK133" s="11" t="s">
        <v>28</v>
      </c>
      <c r="AL133" s="18">
        <f>IF(ISERROR(SEARCH("si",Tabella1[[#This Row],[Patente di guida]],1)),0,1)</f>
        <v>1</v>
      </c>
      <c r="AM133" s="11" t="s">
        <v>8</v>
      </c>
      <c r="AN133" s="18">
        <f>IF(ISERROR(SEARCH("no",Tabella1[[#This Row],[Ipertensione]],1)),0,1)</f>
        <v>1</v>
      </c>
      <c r="AO133" s="11" t="s">
        <v>382</v>
      </c>
      <c r="AP133" s="18">
        <f>IF(ISERROR(SEARCH("NO",Tabella1[[#This Row],[Cardiopatia ischemica]],1)),1,0)</f>
        <v>0</v>
      </c>
      <c r="AQ133" s="17">
        <f>IF(ISERROR(SEARCH("sconosciuto",Tabella1[[#This Row],[Cardiopatia ischemica]],1)),0,1)</f>
        <v>0</v>
      </c>
      <c r="AR133" s="11" t="s">
        <v>25</v>
      </c>
      <c r="AS133" s="22">
        <f>IF(ISERROR(SEARCH("nega",Tabella1[[#This Row],[Artimie]],1)),0,1)</f>
        <v>1</v>
      </c>
      <c r="AT133" s="11" t="s">
        <v>28</v>
      </c>
      <c r="AU133" s="22">
        <f>IF(ISERROR(SEARCH("nega",Tabella1[[#This Row],[Ipercolesterolemia]],1)),0,1)</f>
        <v>0</v>
      </c>
      <c r="AV133" s="22">
        <f>IF(ISERROR(SEARCH("boh",Tabella1[[#This Row],[Ipercolesterolemia]],1)),0,1)</f>
        <v>0</v>
      </c>
      <c r="AW133" s="11" t="s">
        <v>8</v>
      </c>
      <c r="AX133" s="22">
        <f>IF(ISERROR(SEARCH("Intolleranza",Tabella1[[#This Row],[Diabete]],1)),0,1)</f>
        <v>0</v>
      </c>
      <c r="AY133" s="22">
        <f>IF(ISERROR(SEARCH("si",Tabella1[[#This Row],[Diabete]],1)),0,1)</f>
        <v>0</v>
      </c>
      <c r="AZ133" s="11" t="s">
        <v>8</v>
      </c>
      <c r="BA133" s="18">
        <f>IF(ISERROR(SEARCH("NDD",Tabella1[[#This Row],[Patologia Tiroidea]],1)),0,1)</f>
        <v>0</v>
      </c>
      <c r="BB133" s="22">
        <f>IF(ISERROR(SEARCH("TIROIDITE",Tabella1[[#This Row],[Patologia Tiroidea]],1)),0,1)</f>
        <v>0</v>
      </c>
      <c r="BC133" s="22">
        <f>IF(ISERROR(SEARCH("HASHIMOTO",Tabella1[[#This Row],[Patologia Tiroidea]],1)),0,1)</f>
        <v>0</v>
      </c>
      <c r="BD133" s="22">
        <f>IF(ISERROR(SEARCH("BASEDOW",Tabella1[[#This Row],[Patologia Tiroidea]],1)),0,1)</f>
        <v>0</v>
      </c>
      <c r="BE133" s="22">
        <f>IF(ISERROR(SEARCH("NOD",Tabella1[[#This Row],[Patologia Tiroidea]],1)),0,1)</f>
        <v>0</v>
      </c>
      <c r="BF133" s="22">
        <f>IF(ISERROR(SEARCH("GOZ",Tabella1[[#This Row],[Patologia Tiroidea]],1)),0,1)</f>
        <v>0</v>
      </c>
      <c r="BG133" s="11" t="s">
        <v>8</v>
      </c>
      <c r="BH133" s="18">
        <f>IF(Tabella1[[#This Row],[Obesità]]="no",0,1)</f>
        <v>0</v>
      </c>
      <c r="BI133" s="11" t="s">
        <v>28</v>
      </c>
      <c r="BJ133" s="22">
        <f>IF(ISERROR(SEARCH("nega",Tabella1[[#This Row],[Reflusso gastroesofageo]],1)),1,0)</f>
        <v>1</v>
      </c>
      <c r="BK133" s="11" t="s">
        <v>8</v>
      </c>
      <c r="BL133" s="18">
        <f>IF(ISERROR(SEARCH("NDD",Tabella1[[#This Row],[Patologia respiratoria]],1)),0,1)</f>
        <v>0</v>
      </c>
      <c r="BM133" s="18">
        <f>IF(ISERROR(SEARCH("asma",Tabella1[[#This Row],[Patologia respiratoria]],1)),0,1)</f>
        <v>0</v>
      </c>
      <c r="BN133" s="18">
        <f>IF(ISERROR(SEARCH("BPCO",Tabella1[[#This Row],[Patologia respiratoria]],1)),0,1)</f>
        <v>0</v>
      </c>
      <c r="BO133" s="18">
        <f>IF(ISERROR(SEARCH("BRONCOPOLMONITE",Tabella1[[#This Row],[Patologia respiratoria]],1)),0,1)</f>
        <v>0</v>
      </c>
      <c r="BP133" s="18">
        <f>IF(ISERROR(SEARCH("ASMA, OSAS",Tabella1[[#This Row],[Patologia respiratoria]],1)),0,1)</f>
        <v>0</v>
      </c>
      <c r="BQ133" s="18">
        <f>IF(ISERROR(SEARCH("OSAS e BPCO",Tabella1[[#This Row],[Patologia respiratoria]],1)),0,1)</f>
        <v>0</v>
      </c>
      <c r="BR133" s="18">
        <f>IF(ISERROR(SEARCH("OSAS",Tabella1[[#This Row],[Patologia respiratoria]],1)),0,1)</f>
        <v>0</v>
      </c>
      <c r="BS133" s="11" t="s">
        <v>1546</v>
      </c>
      <c r="BT133" s="11" t="s">
        <v>1547</v>
      </c>
      <c r="BU133" s="11" t="s">
        <v>8</v>
      </c>
      <c r="BV133" s="18">
        <f>IF(ISERROR(SEARCH("ndd",Tabella1[[#This Row],[O2 terapia]],1)),0,1)</f>
        <v>0</v>
      </c>
      <c r="BW133" s="17">
        <v>0</v>
      </c>
      <c r="BX133" s="11" t="s">
        <v>1548</v>
      </c>
      <c r="BY133" s="11" t="s">
        <v>8</v>
      </c>
      <c r="BZ133" s="18">
        <v>0</v>
      </c>
      <c r="CA133" s="11" t="s">
        <v>8</v>
      </c>
      <c r="CB133" s="17">
        <v>0</v>
      </c>
      <c r="CC133" s="11" t="s">
        <v>8</v>
      </c>
      <c r="CD133" s="18">
        <v>0</v>
      </c>
      <c r="CE133" s="11" t="s">
        <v>8</v>
      </c>
      <c r="CF133" s="18">
        <v>0</v>
      </c>
      <c r="CG133" s="11" t="s">
        <v>8</v>
      </c>
      <c r="CH133" s="17">
        <v>0</v>
      </c>
      <c r="CI133" s="11" t="s">
        <v>28</v>
      </c>
      <c r="CJ133" s="17">
        <v>1</v>
      </c>
      <c r="CK133" s="11" t="s">
        <v>8</v>
      </c>
      <c r="CL133" s="17">
        <v>0</v>
      </c>
      <c r="CM133" s="11" t="s">
        <v>8</v>
      </c>
      <c r="CN133" s="17">
        <v>0</v>
      </c>
      <c r="CO133" s="11" t="s">
        <v>1036</v>
      </c>
      <c r="CP133" s="17">
        <v>1</v>
      </c>
      <c r="CQ133" s="11" t="s">
        <v>85</v>
      </c>
      <c r="CR133" s="11" t="s">
        <v>1549</v>
      </c>
      <c r="CS133" s="11" t="s">
        <v>71</v>
      </c>
      <c r="CT133" s="11" t="s">
        <v>554</v>
      </c>
      <c r="CU133" s="11" t="s">
        <v>1550</v>
      </c>
      <c r="CV133" s="12" t="s">
        <v>1477</v>
      </c>
    </row>
    <row r="134" spans="1:100" ht="71.25">
      <c r="A134" s="1">
        <f t="shared" si="2"/>
        <v>133</v>
      </c>
      <c r="B134" s="5">
        <v>871</v>
      </c>
      <c r="C134" s="7"/>
      <c r="D134" s="7" t="s">
        <v>1551</v>
      </c>
      <c r="E134" s="6">
        <v>32896</v>
      </c>
      <c r="F134" s="29">
        <f ca="1">_xlfn.DAYS(NOW(),Tabella1[[#This Row],[Data di Nascita]])/365.25</f>
        <v>35.529089664613281</v>
      </c>
      <c r="G134" s="7" t="s">
        <v>1552</v>
      </c>
      <c r="H134" s="7" t="s">
        <v>1553</v>
      </c>
      <c r="I134" s="7" t="s">
        <v>1492</v>
      </c>
      <c r="J134" s="7" t="s">
        <v>817</v>
      </c>
      <c r="K134" s="11" t="s">
        <v>5477</v>
      </c>
      <c r="L134" s="17">
        <f>IF(ISERROR(SEARCH("EX",Tabella1[[#This Row],[Attività lavorativa]],1)),0,1)</f>
        <v>0</v>
      </c>
      <c r="M134" s="17"/>
      <c r="N134" s="17"/>
      <c r="O134" s="17"/>
      <c r="P134" s="17"/>
      <c r="Q134" s="17"/>
      <c r="R134" s="17"/>
      <c r="S134" s="17"/>
      <c r="T134" s="17">
        <f>IF(ISERROR(SEARCH("NDD",Tabella1[[#This Row],[Attività lavorativa]],1)),0,1)</f>
        <v>1</v>
      </c>
      <c r="U134" s="7" t="s">
        <v>1554</v>
      </c>
      <c r="V134" s="22">
        <v>40</v>
      </c>
      <c r="W134" s="22">
        <f>IF(ISERROR(SEARCH("ex",Tabella1[[#This Row],[Fumo]],1)),0,1)</f>
        <v>0</v>
      </c>
      <c r="X134" s="22">
        <f>IF(ISERROR(SEARCH("no",Tabella1[[#This Row],[Fumo]],1)),0,1)</f>
        <v>0</v>
      </c>
      <c r="Y134" s="7" t="s">
        <v>1395</v>
      </c>
      <c r="Z134" s="17">
        <f>IF(ISERROR(SEARCH("NDD",Tabella1[[#This Row],[Bevitore alcolici]],1)),0,1)</f>
        <v>0</v>
      </c>
      <c r="AA134" s="17">
        <f>IF(ISERROR(SEARCH("raro",Tabella1[[#This Row],[Bevitore alcolici]],1)),0,1)</f>
        <v>1</v>
      </c>
      <c r="AB134" s="17">
        <f>IF(ISERROR(SEARCH("saltuariamente",Tabella1[[#This Row],[Bevitore alcolici]],1)),0,1)</f>
        <v>0</v>
      </c>
      <c r="AC134" s="17">
        <f>IF(ISERROR(SEARCH("nega",Tabella1[[#This Row],[Bevitore alcolici]],1)),0,1)</f>
        <v>0</v>
      </c>
      <c r="AD134" s="17">
        <f>IF(ISERROR(SEARCH("potus",Tabella1[[#This Row],[Bevitore alcolici]],1)),0,1)</f>
        <v>0</v>
      </c>
      <c r="AE134" s="7" t="s">
        <v>1555</v>
      </c>
      <c r="AF134" s="17"/>
      <c r="AG134" s="18">
        <v>1</v>
      </c>
      <c r="AH134" s="18"/>
      <c r="AI134" s="18"/>
      <c r="AJ134" s="18"/>
      <c r="AK134" s="7" t="s">
        <v>28</v>
      </c>
      <c r="AL134" s="17">
        <f>IF(ISERROR(SEARCH("si",Tabella1[[#This Row],[Patente di guida]],1)),0,1)</f>
        <v>1</v>
      </c>
      <c r="AM134" s="7" t="s">
        <v>8</v>
      </c>
      <c r="AN134" s="17">
        <f>IF(ISERROR(SEARCH("no",Tabella1[[#This Row],[Ipertensione]],1)),0,1)</f>
        <v>1</v>
      </c>
      <c r="AO134" s="7" t="s">
        <v>382</v>
      </c>
      <c r="AP134" s="18">
        <f>IF(ISERROR(SEARCH("NO",Tabella1[[#This Row],[Cardiopatia ischemica]],1)),1,0)</f>
        <v>0</v>
      </c>
      <c r="AQ134" s="17">
        <f>IF(ISERROR(SEARCH("sconosciuto",Tabella1[[#This Row],[Cardiopatia ischemica]],1)),0,1)</f>
        <v>0</v>
      </c>
      <c r="AR134" s="7" t="s">
        <v>25</v>
      </c>
      <c r="AS134" s="22">
        <f>IF(ISERROR(SEARCH("nega",Tabella1[[#This Row],[Artimie]],1)),0,1)</f>
        <v>1</v>
      </c>
      <c r="AT134" s="7" t="s">
        <v>25</v>
      </c>
      <c r="AU134" s="22">
        <f>IF(ISERROR(SEARCH("nega",Tabella1[[#This Row],[Ipercolesterolemia]],1)),0,1)</f>
        <v>1</v>
      </c>
      <c r="AV134" s="22">
        <f>IF(ISERROR(SEARCH("boh",Tabella1[[#This Row],[Ipercolesterolemia]],1)),0,1)</f>
        <v>0</v>
      </c>
      <c r="AW134" s="7" t="s">
        <v>8</v>
      </c>
      <c r="AX134" s="22">
        <f>IF(ISERROR(SEARCH("Intolleranza",Tabella1[[#This Row],[Diabete]],1)),0,1)</f>
        <v>0</v>
      </c>
      <c r="AY134" s="22">
        <f>IF(ISERROR(SEARCH("si",Tabella1[[#This Row],[Diabete]],1)),0,1)</f>
        <v>0</v>
      </c>
      <c r="AZ134" s="7" t="s">
        <v>8</v>
      </c>
      <c r="BA134" s="17">
        <f>IF(ISERROR(SEARCH("NDD",Tabella1[[#This Row],[Patologia Tiroidea]],1)),0,1)</f>
        <v>0</v>
      </c>
      <c r="BB134" s="22">
        <f>IF(ISERROR(SEARCH("TIROIDITE",Tabella1[[#This Row],[Patologia Tiroidea]],1)),0,1)</f>
        <v>0</v>
      </c>
      <c r="BC134" s="22">
        <f>IF(ISERROR(SEARCH("HASHIMOTO",Tabella1[[#This Row],[Patologia Tiroidea]],1)),0,1)</f>
        <v>0</v>
      </c>
      <c r="BD134" s="22">
        <f>IF(ISERROR(SEARCH("BASEDOW",Tabella1[[#This Row],[Patologia Tiroidea]],1)),0,1)</f>
        <v>0</v>
      </c>
      <c r="BE134" s="22">
        <f>IF(ISERROR(SEARCH("NOD",Tabella1[[#This Row],[Patologia Tiroidea]],1)),0,1)</f>
        <v>0</v>
      </c>
      <c r="BF134" s="22">
        <f>IF(ISERROR(SEARCH("GOZ",Tabella1[[#This Row],[Patologia Tiroidea]],1)),0,1)</f>
        <v>0</v>
      </c>
      <c r="BG134" s="7" t="s">
        <v>8</v>
      </c>
      <c r="BH134" s="17">
        <f>IF(Tabella1[[#This Row],[Obesità]]="no",0,1)</f>
        <v>0</v>
      </c>
      <c r="BI134" s="7" t="s">
        <v>28</v>
      </c>
      <c r="BJ134" s="22">
        <f>IF(ISERROR(SEARCH("nega",Tabella1[[#This Row],[Reflusso gastroesofageo]],1)),1,0)</f>
        <v>1</v>
      </c>
      <c r="BK134" s="7" t="s">
        <v>5477</v>
      </c>
      <c r="BL134" s="17">
        <f>IF(ISERROR(SEARCH("NDD",Tabella1[[#This Row],[Patologia respiratoria]],1)),0,1)</f>
        <v>1</v>
      </c>
      <c r="BM134" s="17">
        <f>IF(ISERROR(SEARCH("asma",Tabella1[[#This Row],[Patologia respiratoria]],1)),0,1)</f>
        <v>0</v>
      </c>
      <c r="BN134" s="17">
        <f>IF(ISERROR(SEARCH("BPCO",Tabella1[[#This Row],[Patologia respiratoria]],1)),0,1)</f>
        <v>0</v>
      </c>
      <c r="BO134" s="17">
        <f>IF(ISERROR(SEARCH("BRONCOPOLMONITE",Tabella1[[#This Row],[Patologia respiratoria]],1)),0,1)</f>
        <v>0</v>
      </c>
      <c r="BP134" s="17">
        <f>IF(ISERROR(SEARCH("ASMA, OSAS",Tabella1[[#This Row],[Patologia respiratoria]],1)),0,1)</f>
        <v>0</v>
      </c>
      <c r="BQ134" s="17">
        <f>IF(ISERROR(SEARCH("OSAS e BPCO",Tabella1[[#This Row],[Patologia respiratoria]],1)),0,1)</f>
        <v>0</v>
      </c>
      <c r="BR134" s="17">
        <f>IF(ISERROR(SEARCH("OSAS",Tabella1[[#This Row],[Patologia respiratoria]],1)),0,1)</f>
        <v>0</v>
      </c>
      <c r="BS134" s="7"/>
      <c r="BT134" s="7" t="s">
        <v>8</v>
      </c>
      <c r="BU134" s="7" t="s">
        <v>8</v>
      </c>
      <c r="BV134" s="17">
        <f>IF(ISERROR(SEARCH("ndd",Tabella1[[#This Row],[O2 terapia]],1)),0,1)</f>
        <v>0</v>
      </c>
      <c r="BW134" s="17">
        <v>0</v>
      </c>
      <c r="BX134" s="7"/>
      <c r="BY134" s="7" t="s">
        <v>1556</v>
      </c>
      <c r="BZ134" s="17">
        <v>1</v>
      </c>
      <c r="CA134" s="7" t="s">
        <v>8</v>
      </c>
      <c r="CB134" s="17">
        <v>0</v>
      </c>
      <c r="CC134" s="7" t="s">
        <v>8</v>
      </c>
      <c r="CD134" s="18">
        <v>0</v>
      </c>
      <c r="CE134" s="7" t="s">
        <v>8</v>
      </c>
      <c r="CF134" s="18">
        <v>0</v>
      </c>
      <c r="CG134" s="7" t="s">
        <v>1557</v>
      </c>
      <c r="CH134" s="17">
        <v>1</v>
      </c>
      <c r="CI134" s="7" t="s">
        <v>5477</v>
      </c>
      <c r="CJ134" s="17"/>
      <c r="CK134" s="7" t="s">
        <v>8</v>
      </c>
      <c r="CL134" s="17">
        <v>0</v>
      </c>
      <c r="CM134" s="7" t="s">
        <v>8</v>
      </c>
      <c r="CN134" s="17">
        <v>0</v>
      </c>
      <c r="CO134" s="7" t="s">
        <v>28</v>
      </c>
      <c r="CP134" s="17">
        <v>1</v>
      </c>
      <c r="CQ134" s="7" t="s">
        <v>54</v>
      </c>
      <c r="CR134" s="7" t="s">
        <v>152</v>
      </c>
      <c r="CS134" s="7" t="s">
        <v>71</v>
      </c>
      <c r="CT134" s="7" t="s">
        <v>1558</v>
      </c>
      <c r="CU134" s="7"/>
      <c r="CV134" s="8"/>
    </row>
    <row r="135" spans="1:100">
      <c r="A135" s="1">
        <f t="shared" si="2"/>
        <v>134</v>
      </c>
      <c r="B135" s="9">
        <v>872</v>
      </c>
      <c r="C135" s="10">
        <v>45034</v>
      </c>
      <c r="D135" s="11" t="s">
        <v>1559</v>
      </c>
      <c r="E135" s="10">
        <v>27488</v>
      </c>
      <c r="F135" s="29">
        <f ca="1">_xlfn.DAYS(NOW(),Tabella1[[#This Row],[Data di Nascita]])/365.25</f>
        <v>50.335386721423681</v>
      </c>
      <c r="G135" s="11"/>
      <c r="H135" s="11" t="s">
        <v>1560</v>
      </c>
      <c r="I135" s="11" t="s">
        <v>1561</v>
      </c>
      <c r="J135" s="11" t="s">
        <v>618</v>
      </c>
      <c r="K135" s="11" t="s">
        <v>297</v>
      </c>
      <c r="L135" s="18">
        <f>IF(ISERROR(SEARCH("EX",Tabella1[[#This Row],[Attività lavorativa]],1)),0,1)</f>
        <v>0</v>
      </c>
      <c r="M135" s="18"/>
      <c r="N135" s="18"/>
      <c r="O135" s="18"/>
      <c r="P135" s="18"/>
      <c r="Q135" s="18"/>
      <c r="R135" s="18"/>
      <c r="S135" s="18"/>
      <c r="T135" s="17">
        <f>IF(ISERROR(SEARCH("NDD",Tabella1[[#This Row],[Attività lavorativa]],1)),0,1)</f>
        <v>0</v>
      </c>
      <c r="U135" s="11" t="s">
        <v>8</v>
      </c>
      <c r="V135" s="22"/>
      <c r="W135" s="22">
        <f>IF(ISERROR(SEARCH("ex",Tabella1[[#This Row],[Fumo]],1)),0,1)</f>
        <v>0</v>
      </c>
      <c r="X135" s="22">
        <f>IF(ISERROR(SEARCH("no",Tabella1[[#This Row],[Fumo]],1)),0,1)</f>
        <v>1</v>
      </c>
      <c r="Y135" s="11" t="s">
        <v>25</v>
      </c>
      <c r="Z135" s="18">
        <f>IF(ISERROR(SEARCH("NDD",Tabella1[[#This Row],[Bevitore alcolici]],1)),0,1)</f>
        <v>0</v>
      </c>
      <c r="AA135" s="17">
        <f>IF(ISERROR(SEARCH("raro",Tabella1[[#This Row],[Bevitore alcolici]],1)),0,1)</f>
        <v>0</v>
      </c>
      <c r="AB135" s="17">
        <f>IF(ISERROR(SEARCH("saltuariamente",Tabella1[[#This Row],[Bevitore alcolici]],1)),0,1)</f>
        <v>0</v>
      </c>
      <c r="AC135" s="17">
        <f>IF(ISERROR(SEARCH("nega",Tabella1[[#This Row],[Bevitore alcolici]],1)),0,1)</f>
        <v>1</v>
      </c>
      <c r="AD135" s="17">
        <f>IF(ISERROR(SEARCH("potus",Tabella1[[#This Row],[Bevitore alcolici]],1)),0,1)</f>
        <v>0</v>
      </c>
      <c r="AE135" s="11" t="s">
        <v>1562</v>
      </c>
      <c r="AF135" s="18"/>
      <c r="AG135" s="18"/>
      <c r="AH135" s="18">
        <v>1</v>
      </c>
      <c r="AI135" s="18"/>
      <c r="AJ135" s="18"/>
      <c r="AK135" s="11" t="s">
        <v>28</v>
      </c>
      <c r="AL135" s="18">
        <f>IF(ISERROR(SEARCH("si",Tabella1[[#This Row],[Patente di guida]],1)),0,1)</f>
        <v>1</v>
      </c>
      <c r="AM135" s="11" t="s">
        <v>28</v>
      </c>
      <c r="AN135" s="18">
        <f>IF(ISERROR(SEARCH("no",Tabella1[[#This Row],[Ipertensione]],1)),0,1)</f>
        <v>0</v>
      </c>
      <c r="AO135" s="11" t="s">
        <v>382</v>
      </c>
      <c r="AP135" s="18">
        <f>IF(ISERROR(SEARCH("NO",Tabella1[[#This Row],[Cardiopatia ischemica]],1)),1,0)</f>
        <v>0</v>
      </c>
      <c r="AQ135" s="17">
        <f>IF(ISERROR(SEARCH("sconosciuto",Tabella1[[#This Row],[Cardiopatia ischemica]],1)),0,1)</f>
        <v>0</v>
      </c>
      <c r="AR135" s="11" t="s">
        <v>25</v>
      </c>
      <c r="AS135" s="22">
        <f>IF(ISERROR(SEARCH("nega",Tabella1[[#This Row],[Artimie]],1)),0,1)</f>
        <v>1</v>
      </c>
      <c r="AT135" s="11" t="s">
        <v>28</v>
      </c>
      <c r="AU135" s="22">
        <f>IF(ISERROR(SEARCH("nega",Tabella1[[#This Row],[Ipercolesterolemia]],1)),0,1)</f>
        <v>0</v>
      </c>
      <c r="AV135" s="22">
        <f>IF(ISERROR(SEARCH("boh",Tabella1[[#This Row],[Ipercolesterolemia]],1)),0,1)</f>
        <v>0</v>
      </c>
      <c r="AW135" s="11" t="s">
        <v>28</v>
      </c>
      <c r="AX135" s="22">
        <f>IF(ISERROR(SEARCH("Intolleranza",Tabella1[[#This Row],[Diabete]],1)),0,1)</f>
        <v>0</v>
      </c>
      <c r="AY135" s="22">
        <f>IF(ISERROR(SEARCH("si",Tabella1[[#This Row],[Diabete]],1)),0,1)</f>
        <v>1</v>
      </c>
      <c r="AZ135" s="11" t="s">
        <v>8</v>
      </c>
      <c r="BA135" s="18">
        <f>IF(ISERROR(SEARCH("NDD",Tabella1[[#This Row],[Patologia Tiroidea]],1)),0,1)</f>
        <v>0</v>
      </c>
      <c r="BB135" s="22">
        <f>IF(ISERROR(SEARCH("TIROIDITE",Tabella1[[#This Row],[Patologia Tiroidea]],1)),0,1)</f>
        <v>0</v>
      </c>
      <c r="BC135" s="22">
        <f>IF(ISERROR(SEARCH("HASHIMOTO",Tabella1[[#This Row],[Patologia Tiroidea]],1)),0,1)</f>
        <v>0</v>
      </c>
      <c r="BD135" s="22">
        <f>IF(ISERROR(SEARCH("BASEDOW",Tabella1[[#This Row],[Patologia Tiroidea]],1)),0,1)</f>
        <v>0</v>
      </c>
      <c r="BE135" s="22">
        <f>IF(ISERROR(SEARCH("NOD",Tabella1[[#This Row],[Patologia Tiroidea]],1)),0,1)</f>
        <v>0</v>
      </c>
      <c r="BF135" s="22">
        <f>IF(ISERROR(SEARCH("GOZ",Tabella1[[#This Row],[Patologia Tiroidea]],1)),0,1)</f>
        <v>0</v>
      </c>
      <c r="BG135" s="11" t="s">
        <v>1563</v>
      </c>
      <c r="BH135" s="18">
        <f>IF(Tabella1[[#This Row],[Obesità]]="no",0,1)</f>
        <v>1</v>
      </c>
      <c r="BI135" s="11" t="s">
        <v>25</v>
      </c>
      <c r="BJ135" s="22">
        <f>IF(ISERROR(SEARCH("nega",Tabella1[[#This Row],[Reflusso gastroesofageo]],1)),1,0)</f>
        <v>0</v>
      </c>
      <c r="BK135" s="7" t="s">
        <v>5477</v>
      </c>
      <c r="BL135" s="17">
        <f>IF(ISERROR(SEARCH("NDD",Tabella1[[#This Row],[Patologia respiratoria]],1)),0,1)</f>
        <v>1</v>
      </c>
      <c r="BM135" s="18">
        <f>IF(ISERROR(SEARCH("asma",Tabella1[[#This Row],[Patologia respiratoria]],1)),0,1)</f>
        <v>0</v>
      </c>
      <c r="BN135" s="18">
        <f>IF(ISERROR(SEARCH("BPCO",Tabella1[[#This Row],[Patologia respiratoria]],1)),0,1)</f>
        <v>0</v>
      </c>
      <c r="BO135" s="18">
        <f>IF(ISERROR(SEARCH("BRONCOPOLMONITE",Tabella1[[#This Row],[Patologia respiratoria]],1)),0,1)</f>
        <v>0</v>
      </c>
      <c r="BP135" s="18">
        <f>IF(ISERROR(SEARCH("ASMA, OSAS",Tabella1[[#This Row],[Patologia respiratoria]],1)),0,1)</f>
        <v>0</v>
      </c>
      <c r="BQ135" s="18">
        <f>IF(ISERROR(SEARCH("OSAS e BPCO",Tabella1[[#This Row],[Patologia respiratoria]],1)),0,1)</f>
        <v>0</v>
      </c>
      <c r="BR135" s="18">
        <f>IF(ISERROR(SEARCH("OSAS",Tabella1[[#This Row],[Patologia respiratoria]],1)),0,1)</f>
        <v>0</v>
      </c>
      <c r="BS135" s="11"/>
      <c r="BT135" s="11" t="s">
        <v>1564</v>
      </c>
      <c r="BU135" s="11" t="s">
        <v>8</v>
      </c>
      <c r="BV135" s="18">
        <f>IF(ISERROR(SEARCH("ndd",Tabella1[[#This Row],[O2 terapia]],1)),0,1)</f>
        <v>0</v>
      </c>
      <c r="BW135" s="17">
        <v>0</v>
      </c>
      <c r="BX135" s="11"/>
      <c r="BY135" s="11" t="s">
        <v>8</v>
      </c>
      <c r="BZ135" s="18">
        <v>0</v>
      </c>
      <c r="CA135" s="11" t="s">
        <v>8</v>
      </c>
      <c r="CB135" s="17">
        <v>0</v>
      </c>
      <c r="CC135" s="11" t="s">
        <v>8</v>
      </c>
      <c r="CD135" s="18">
        <v>0</v>
      </c>
      <c r="CE135" s="11" t="s">
        <v>8</v>
      </c>
      <c r="CF135" s="18">
        <v>0</v>
      </c>
      <c r="CG135" s="11" t="s">
        <v>8</v>
      </c>
      <c r="CH135" s="17">
        <v>0</v>
      </c>
      <c r="CI135" s="7" t="s">
        <v>5477</v>
      </c>
      <c r="CJ135" s="18"/>
      <c r="CK135" s="11" t="s">
        <v>28</v>
      </c>
      <c r="CL135" s="17">
        <v>1</v>
      </c>
      <c r="CM135" s="11" t="s">
        <v>8</v>
      </c>
      <c r="CN135" s="17">
        <v>0</v>
      </c>
      <c r="CO135" s="11" t="s">
        <v>8</v>
      </c>
      <c r="CP135" s="18">
        <v>0</v>
      </c>
      <c r="CQ135" s="11" t="s">
        <v>85</v>
      </c>
      <c r="CR135" s="11" t="s">
        <v>403</v>
      </c>
      <c r="CS135" s="11" t="s">
        <v>105</v>
      </c>
      <c r="CT135" s="11" t="s">
        <v>56</v>
      </c>
      <c r="CU135" s="11"/>
      <c r="CV135" s="12"/>
    </row>
    <row r="136" spans="1:100" ht="28.5">
      <c r="A136" s="1">
        <f t="shared" si="2"/>
        <v>135</v>
      </c>
      <c r="B136" s="5">
        <v>882</v>
      </c>
      <c r="C136" s="6">
        <v>45040</v>
      </c>
      <c r="D136" s="7" t="s">
        <v>1565</v>
      </c>
      <c r="E136" s="6">
        <v>36983</v>
      </c>
      <c r="F136" s="29">
        <f ca="1">_xlfn.DAYS(NOW(),Tabella1[[#This Row],[Data di Nascita]])/365.25</f>
        <v>24.33949349760438</v>
      </c>
      <c r="G136" s="7" t="s">
        <v>1566</v>
      </c>
      <c r="H136" s="7" t="s">
        <v>1567</v>
      </c>
      <c r="I136" s="7" t="s">
        <v>1568</v>
      </c>
      <c r="J136" s="7" t="s">
        <v>618</v>
      </c>
      <c r="K136" s="7" t="s">
        <v>5</v>
      </c>
      <c r="L136" s="17">
        <f>IF(ISERROR(SEARCH("EX",Tabella1[[#This Row],[Attività lavorativa]],1)),0,1)</f>
        <v>0</v>
      </c>
      <c r="M136" s="17"/>
      <c r="N136" s="17">
        <v>1</v>
      </c>
      <c r="O136" s="17"/>
      <c r="P136" s="17"/>
      <c r="Q136" s="17"/>
      <c r="R136" s="17"/>
      <c r="S136" s="17"/>
      <c r="T136" s="17">
        <f>IF(ISERROR(SEARCH("NDD",Tabella1[[#This Row],[Attività lavorativa]],1)),0,1)</f>
        <v>0</v>
      </c>
      <c r="U136" s="7" t="s">
        <v>1569</v>
      </c>
      <c r="V136" s="22">
        <v>4</v>
      </c>
      <c r="W136" s="22">
        <f>IF(ISERROR(SEARCH("ex",Tabella1[[#This Row],[Fumo]],1)),0,1)</f>
        <v>0</v>
      </c>
      <c r="X136" s="22">
        <f>IF(ISERROR(SEARCH("no",Tabella1[[#This Row],[Fumo]],1)),0,1)</f>
        <v>0</v>
      </c>
      <c r="Y136" s="7" t="s">
        <v>1570</v>
      </c>
      <c r="Z136" s="17">
        <f>IF(ISERROR(SEARCH("NDD",Tabella1[[#This Row],[Bevitore alcolici]],1)),0,1)</f>
        <v>0</v>
      </c>
      <c r="AA136" s="17">
        <f>IF(ISERROR(SEARCH("raro",Tabella1[[#This Row],[Bevitore alcolici]],1)),0,1)</f>
        <v>0</v>
      </c>
      <c r="AB136" s="17">
        <f>IF(ISERROR(SEARCH("saltuariamente",Tabella1[[#This Row],[Bevitore alcolici]],1)),0,1)</f>
        <v>0</v>
      </c>
      <c r="AC136" s="17">
        <f>IF(ISERROR(SEARCH("nega",Tabella1[[#This Row],[Bevitore alcolici]],1)),0,1)</f>
        <v>0</v>
      </c>
      <c r="AD136" s="17">
        <f>IF(ISERROR(SEARCH("potus",Tabella1[[#This Row],[Bevitore alcolici]],1)),0,1)</f>
        <v>0</v>
      </c>
      <c r="AE136" s="7" t="s">
        <v>657</v>
      </c>
      <c r="AF136" s="17"/>
      <c r="AG136" s="17"/>
      <c r="AH136" s="17"/>
      <c r="AI136" s="17"/>
      <c r="AJ136" s="17"/>
      <c r="AK136" s="7" t="s">
        <v>28</v>
      </c>
      <c r="AL136" s="17">
        <f>IF(ISERROR(SEARCH("si",Tabella1[[#This Row],[Patente di guida]],1)),0,1)</f>
        <v>1</v>
      </c>
      <c r="AM136" s="7" t="s">
        <v>8</v>
      </c>
      <c r="AN136" s="17">
        <f>IF(ISERROR(SEARCH("no",Tabella1[[#This Row],[Ipertensione]],1)),0,1)</f>
        <v>1</v>
      </c>
      <c r="AO136" s="7" t="s">
        <v>382</v>
      </c>
      <c r="AP136" s="18">
        <f>IF(ISERROR(SEARCH("NO",Tabella1[[#This Row],[Cardiopatia ischemica]],1)),1,0)</f>
        <v>0</v>
      </c>
      <c r="AQ136" s="17">
        <f>IF(ISERROR(SEARCH("sconosciuto",Tabella1[[#This Row],[Cardiopatia ischemica]],1)),0,1)</f>
        <v>0</v>
      </c>
      <c r="AR136" s="7" t="s">
        <v>25</v>
      </c>
      <c r="AS136" s="22">
        <f>IF(ISERROR(SEARCH("nega",Tabella1[[#This Row],[Artimie]],1)),0,1)</f>
        <v>1</v>
      </c>
      <c r="AT136" s="7" t="s">
        <v>25</v>
      </c>
      <c r="AU136" s="22">
        <f>IF(ISERROR(SEARCH("nega",Tabella1[[#This Row],[Ipercolesterolemia]],1)),0,1)</f>
        <v>1</v>
      </c>
      <c r="AV136" s="22">
        <f>IF(ISERROR(SEARCH("boh",Tabella1[[#This Row],[Ipercolesterolemia]],1)),0,1)</f>
        <v>0</v>
      </c>
      <c r="AW136" s="7" t="s">
        <v>8</v>
      </c>
      <c r="AX136" s="22">
        <f>IF(ISERROR(SEARCH("Intolleranza",Tabella1[[#This Row],[Diabete]],1)),0,1)</f>
        <v>0</v>
      </c>
      <c r="AY136" s="22">
        <f>IF(ISERROR(SEARCH("si",Tabella1[[#This Row],[Diabete]],1)),0,1)</f>
        <v>0</v>
      </c>
      <c r="AZ136" s="7" t="s">
        <v>8</v>
      </c>
      <c r="BA136" s="17">
        <f>IF(ISERROR(SEARCH("NDD",Tabella1[[#This Row],[Patologia Tiroidea]],1)),0,1)</f>
        <v>0</v>
      </c>
      <c r="BB136" s="22">
        <f>IF(ISERROR(SEARCH("TIROIDITE",Tabella1[[#This Row],[Patologia Tiroidea]],1)),0,1)</f>
        <v>0</v>
      </c>
      <c r="BC136" s="22">
        <f>IF(ISERROR(SEARCH("HASHIMOTO",Tabella1[[#This Row],[Patologia Tiroidea]],1)),0,1)</f>
        <v>0</v>
      </c>
      <c r="BD136" s="22">
        <f>IF(ISERROR(SEARCH("BASEDOW",Tabella1[[#This Row],[Patologia Tiroidea]],1)),0,1)</f>
        <v>0</v>
      </c>
      <c r="BE136" s="22">
        <f>IF(ISERROR(SEARCH("NOD",Tabella1[[#This Row],[Patologia Tiroidea]],1)),0,1)</f>
        <v>0</v>
      </c>
      <c r="BF136" s="22">
        <f>IF(ISERROR(SEARCH("GOZ",Tabella1[[#This Row],[Patologia Tiroidea]],1)),0,1)</f>
        <v>0</v>
      </c>
      <c r="BG136" s="7" t="s">
        <v>8</v>
      </c>
      <c r="BH136" s="17">
        <f>IF(Tabella1[[#This Row],[Obesità]]="no",0,1)</f>
        <v>0</v>
      </c>
      <c r="BI136" s="7" t="s">
        <v>25</v>
      </c>
      <c r="BJ136" s="22">
        <f>IF(ISERROR(SEARCH("nega",Tabella1[[#This Row],[Reflusso gastroesofageo]],1)),1,0)</f>
        <v>0</v>
      </c>
      <c r="BK136" s="7" t="s">
        <v>8</v>
      </c>
      <c r="BL136" s="17">
        <f>IF(ISERROR(SEARCH("NDD",Tabella1[[#This Row],[Patologia respiratoria]],1)),0,1)</f>
        <v>0</v>
      </c>
      <c r="BM136" s="17">
        <f>IF(ISERROR(SEARCH("asma",Tabella1[[#This Row],[Patologia respiratoria]],1)),0,1)</f>
        <v>0</v>
      </c>
      <c r="BN136" s="17">
        <f>IF(ISERROR(SEARCH("BPCO",Tabella1[[#This Row],[Patologia respiratoria]],1)),0,1)</f>
        <v>0</v>
      </c>
      <c r="BO136" s="17">
        <f>IF(ISERROR(SEARCH("BRONCOPOLMONITE",Tabella1[[#This Row],[Patologia respiratoria]],1)),0,1)</f>
        <v>0</v>
      </c>
      <c r="BP136" s="17">
        <f>IF(ISERROR(SEARCH("ASMA, OSAS",Tabella1[[#This Row],[Patologia respiratoria]],1)),0,1)</f>
        <v>0</v>
      </c>
      <c r="BQ136" s="17">
        <f>IF(ISERROR(SEARCH("OSAS e BPCO",Tabella1[[#This Row],[Patologia respiratoria]],1)),0,1)</f>
        <v>0</v>
      </c>
      <c r="BR136" s="17">
        <f>IF(ISERROR(SEARCH("OSAS",Tabella1[[#This Row],[Patologia respiratoria]],1)),0,1)</f>
        <v>0</v>
      </c>
      <c r="BS136" s="7"/>
      <c r="BT136" s="7" t="s">
        <v>25</v>
      </c>
      <c r="BU136" s="7" t="s">
        <v>8</v>
      </c>
      <c r="BV136" s="17">
        <f>IF(ISERROR(SEARCH("ndd",Tabella1[[#This Row],[O2 terapia]],1)),0,1)</f>
        <v>0</v>
      </c>
      <c r="BW136" s="17">
        <v>0</v>
      </c>
      <c r="BX136" s="7"/>
      <c r="BY136" s="7" t="s">
        <v>8</v>
      </c>
      <c r="BZ136" s="18">
        <v>0</v>
      </c>
      <c r="CA136" s="7" t="s">
        <v>8</v>
      </c>
      <c r="CB136" s="17">
        <v>0</v>
      </c>
      <c r="CC136" s="7" t="s">
        <v>8</v>
      </c>
      <c r="CD136" s="18">
        <v>0</v>
      </c>
      <c r="CE136" s="7" t="s">
        <v>8</v>
      </c>
      <c r="CF136" s="18">
        <v>0</v>
      </c>
      <c r="CG136" s="7" t="s">
        <v>8</v>
      </c>
      <c r="CH136" s="17">
        <v>0</v>
      </c>
      <c r="CI136" s="7" t="s">
        <v>8</v>
      </c>
      <c r="CJ136" s="18">
        <v>0</v>
      </c>
      <c r="CK136" s="7" t="s">
        <v>8</v>
      </c>
      <c r="CL136" s="17">
        <v>0</v>
      </c>
      <c r="CM136" s="7" t="s">
        <v>28</v>
      </c>
      <c r="CN136" s="17">
        <v>1</v>
      </c>
      <c r="CO136" s="7" t="s">
        <v>28</v>
      </c>
      <c r="CP136" s="17">
        <v>1</v>
      </c>
      <c r="CQ136" s="7" t="s">
        <v>69</v>
      </c>
      <c r="CR136" s="7" t="s">
        <v>1571</v>
      </c>
      <c r="CS136" s="7"/>
      <c r="CT136" s="7"/>
      <c r="CU136" s="7"/>
      <c r="CV136" s="8"/>
    </row>
    <row r="137" spans="1:100" ht="28.5">
      <c r="A137" s="1">
        <f t="shared" si="2"/>
        <v>136</v>
      </c>
      <c r="B137" s="9">
        <v>883</v>
      </c>
      <c r="C137" s="10">
        <v>45040</v>
      </c>
      <c r="D137" s="11" t="s">
        <v>1572</v>
      </c>
      <c r="E137" s="10">
        <v>26378</v>
      </c>
      <c r="F137" s="29">
        <f ca="1">_xlfn.DAYS(NOW(),Tabella1[[#This Row],[Data di Nascita]])/365.25</f>
        <v>53.374401095140314</v>
      </c>
      <c r="G137" s="11" t="s">
        <v>1573</v>
      </c>
      <c r="H137" s="11" t="s">
        <v>1574</v>
      </c>
      <c r="I137" s="11" t="s">
        <v>1575</v>
      </c>
      <c r="J137" s="11" t="s">
        <v>618</v>
      </c>
      <c r="K137" s="11" t="s">
        <v>1576</v>
      </c>
      <c r="L137" s="18">
        <f>IF(ISERROR(SEARCH("EX",Tabella1[[#This Row],[Attività lavorativa]],1)),0,1)</f>
        <v>0</v>
      </c>
      <c r="M137" s="18"/>
      <c r="N137" s="17">
        <v>1</v>
      </c>
      <c r="O137" s="18"/>
      <c r="P137" s="18"/>
      <c r="Q137" s="18"/>
      <c r="R137" s="18"/>
      <c r="S137" s="18"/>
      <c r="T137" s="17">
        <f>IF(ISERROR(SEARCH("NDD",Tabella1[[#This Row],[Attività lavorativa]],1)),0,1)</f>
        <v>0</v>
      </c>
      <c r="U137" s="11" t="s">
        <v>8</v>
      </c>
      <c r="V137" s="22"/>
      <c r="W137" s="22">
        <f>IF(ISERROR(SEARCH("ex",Tabella1[[#This Row],[Fumo]],1)),0,1)</f>
        <v>0</v>
      </c>
      <c r="X137" s="22">
        <f>IF(ISERROR(SEARCH("no",Tabella1[[#This Row],[Fumo]],1)),0,1)</f>
        <v>1</v>
      </c>
      <c r="Y137" s="11" t="s">
        <v>25</v>
      </c>
      <c r="Z137" s="18">
        <f>IF(ISERROR(SEARCH("NDD",Tabella1[[#This Row],[Bevitore alcolici]],1)),0,1)</f>
        <v>0</v>
      </c>
      <c r="AA137" s="17">
        <f>IF(ISERROR(SEARCH("raro",Tabella1[[#This Row],[Bevitore alcolici]],1)),0,1)</f>
        <v>0</v>
      </c>
      <c r="AB137" s="17">
        <f>IF(ISERROR(SEARCH("saltuariamente",Tabella1[[#This Row],[Bevitore alcolici]],1)),0,1)</f>
        <v>0</v>
      </c>
      <c r="AC137" s="17">
        <f>IF(ISERROR(SEARCH("nega",Tabella1[[#This Row],[Bevitore alcolici]],1)),0,1)</f>
        <v>1</v>
      </c>
      <c r="AD137" s="17">
        <f>IF(ISERROR(SEARCH("potus",Tabella1[[#This Row],[Bevitore alcolici]],1)),0,1)</f>
        <v>0</v>
      </c>
      <c r="AE137" s="11" t="s">
        <v>657</v>
      </c>
      <c r="AF137" s="18"/>
      <c r="AG137" s="18"/>
      <c r="AH137" s="18"/>
      <c r="AI137" s="18"/>
      <c r="AJ137" s="18"/>
      <c r="AK137" s="11" t="s">
        <v>8</v>
      </c>
      <c r="AL137" s="18">
        <f>IF(ISERROR(SEARCH("si",Tabella1[[#This Row],[Patente di guida]],1)),0,1)</f>
        <v>0</v>
      </c>
      <c r="AM137" s="11" t="s">
        <v>28</v>
      </c>
      <c r="AN137" s="18">
        <f>IF(ISERROR(SEARCH("no",Tabella1[[#This Row],[Ipertensione]],1)),0,1)</f>
        <v>0</v>
      </c>
      <c r="AO137" s="11" t="s">
        <v>382</v>
      </c>
      <c r="AP137" s="18">
        <f>IF(ISERROR(SEARCH("NO",Tabella1[[#This Row],[Cardiopatia ischemica]],1)),1,0)</f>
        <v>0</v>
      </c>
      <c r="AQ137" s="17">
        <f>IF(ISERROR(SEARCH("sconosciuto",Tabella1[[#This Row],[Cardiopatia ischemica]],1)),0,1)</f>
        <v>0</v>
      </c>
      <c r="AR137" s="11" t="s">
        <v>25</v>
      </c>
      <c r="AS137" s="22">
        <f>IF(ISERROR(SEARCH("nega",Tabella1[[#This Row],[Artimie]],1)),0,1)</f>
        <v>1</v>
      </c>
      <c r="AT137" s="11" t="s">
        <v>28</v>
      </c>
      <c r="AU137" s="22">
        <f>IF(ISERROR(SEARCH("nega",Tabella1[[#This Row],[Ipercolesterolemia]],1)),0,1)</f>
        <v>0</v>
      </c>
      <c r="AV137" s="22">
        <f>IF(ISERROR(SEARCH("boh",Tabella1[[#This Row],[Ipercolesterolemia]],1)),0,1)</f>
        <v>0</v>
      </c>
      <c r="AW137" s="11" t="s">
        <v>8</v>
      </c>
      <c r="AX137" s="22">
        <f>IF(ISERROR(SEARCH("Intolleranza",Tabella1[[#This Row],[Diabete]],1)),0,1)</f>
        <v>0</v>
      </c>
      <c r="AY137" s="22">
        <f>IF(ISERROR(SEARCH("si",Tabella1[[#This Row],[Diabete]],1)),0,1)</f>
        <v>0</v>
      </c>
      <c r="AZ137" s="11" t="s">
        <v>8</v>
      </c>
      <c r="BA137" s="18">
        <f>IF(ISERROR(SEARCH("NDD",Tabella1[[#This Row],[Patologia Tiroidea]],1)),0,1)</f>
        <v>0</v>
      </c>
      <c r="BB137" s="22">
        <f>IF(ISERROR(SEARCH("TIROIDITE",Tabella1[[#This Row],[Patologia Tiroidea]],1)),0,1)</f>
        <v>0</v>
      </c>
      <c r="BC137" s="22">
        <f>IF(ISERROR(SEARCH("HASHIMOTO",Tabella1[[#This Row],[Patologia Tiroidea]],1)),0,1)</f>
        <v>0</v>
      </c>
      <c r="BD137" s="22">
        <f>IF(ISERROR(SEARCH("BASEDOW",Tabella1[[#This Row],[Patologia Tiroidea]],1)),0,1)</f>
        <v>0</v>
      </c>
      <c r="BE137" s="22">
        <f>IF(ISERROR(SEARCH("NOD",Tabella1[[#This Row],[Patologia Tiroidea]],1)),0,1)</f>
        <v>0</v>
      </c>
      <c r="BF137" s="22">
        <f>IF(ISERROR(SEARCH("GOZ",Tabella1[[#This Row],[Patologia Tiroidea]],1)),0,1)</f>
        <v>0</v>
      </c>
      <c r="BG137" s="11" t="s">
        <v>8</v>
      </c>
      <c r="BH137" s="18">
        <f>IF(Tabella1[[#This Row],[Obesità]]="no",0,1)</f>
        <v>0</v>
      </c>
      <c r="BI137" s="11" t="s">
        <v>28</v>
      </c>
      <c r="BJ137" s="22">
        <f>IF(ISERROR(SEARCH("nega",Tabella1[[#This Row],[Reflusso gastroesofageo]],1)),1,0)</f>
        <v>1</v>
      </c>
      <c r="BK137" s="7" t="s">
        <v>5477</v>
      </c>
      <c r="BL137" s="17">
        <f>IF(ISERROR(SEARCH("NDD",Tabella1[[#This Row],[Patologia respiratoria]],1)),0,1)</f>
        <v>1</v>
      </c>
      <c r="BM137" s="18">
        <f>IF(ISERROR(SEARCH("asma",Tabella1[[#This Row],[Patologia respiratoria]],1)),0,1)</f>
        <v>0</v>
      </c>
      <c r="BN137" s="18">
        <f>IF(ISERROR(SEARCH("BPCO",Tabella1[[#This Row],[Patologia respiratoria]],1)),0,1)</f>
        <v>0</v>
      </c>
      <c r="BO137" s="18">
        <f>IF(ISERROR(SEARCH("BRONCOPOLMONITE",Tabella1[[#This Row],[Patologia respiratoria]],1)),0,1)</f>
        <v>0</v>
      </c>
      <c r="BP137" s="18">
        <f>IF(ISERROR(SEARCH("ASMA, OSAS",Tabella1[[#This Row],[Patologia respiratoria]],1)),0,1)</f>
        <v>0</v>
      </c>
      <c r="BQ137" s="18">
        <f>IF(ISERROR(SEARCH("OSAS e BPCO",Tabella1[[#This Row],[Patologia respiratoria]],1)),0,1)</f>
        <v>0</v>
      </c>
      <c r="BR137" s="18">
        <f>IF(ISERROR(SEARCH("OSAS",Tabella1[[#This Row],[Patologia respiratoria]],1)),0,1)</f>
        <v>0</v>
      </c>
      <c r="BS137" s="11"/>
      <c r="BT137" s="11" t="s">
        <v>1577</v>
      </c>
      <c r="BU137" s="11" t="s">
        <v>8</v>
      </c>
      <c r="BV137" s="18">
        <f>IF(ISERROR(SEARCH("ndd",Tabella1[[#This Row],[O2 terapia]],1)),0,1)</f>
        <v>0</v>
      </c>
      <c r="BW137" s="17">
        <v>0</v>
      </c>
      <c r="BX137" s="11"/>
      <c r="BY137" s="11" t="s">
        <v>28</v>
      </c>
      <c r="BZ137" s="17">
        <v>1</v>
      </c>
      <c r="CA137" s="11" t="s">
        <v>28</v>
      </c>
      <c r="CB137" s="17">
        <v>1</v>
      </c>
      <c r="CC137" s="11" t="s">
        <v>28</v>
      </c>
      <c r="CD137" s="17">
        <v>1</v>
      </c>
      <c r="CE137" s="11" t="s">
        <v>8</v>
      </c>
      <c r="CF137" s="18">
        <v>0</v>
      </c>
      <c r="CG137" s="11" t="s">
        <v>8</v>
      </c>
      <c r="CH137" s="17">
        <v>0</v>
      </c>
      <c r="CI137" s="11" t="s">
        <v>8</v>
      </c>
      <c r="CJ137" s="18">
        <v>0</v>
      </c>
      <c r="CK137" s="11" t="s">
        <v>28</v>
      </c>
      <c r="CL137" s="17">
        <v>1</v>
      </c>
      <c r="CM137" s="11" t="s">
        <v>28</v>
      </c>
      <c r="CN137" s="17">
        <v>1</v>
      </c>
      <c r="CO137" s="11" t="s">
        <v>8</v>
      </c>
      <c r="CP137" s="18">
        <v>0</v>
      </c>
      <c r="CQ137" s="11" t="s">
        <v>202</v>
      </c>
      <c r="CR137" s="11" t="s">
        <v>70</v>
      </c>
      <c r="CS137" s="11"/>
      <c r="CT137" s="11"/>
      <c r="CU137" s="11"/>
      <c r="CV137" s="12"/>
    </row>
    <row r="138" spans="1:100">
      <c r="A138" s="1">
        <f t="shared" si="2"/>
        <v>137</v>
      </c>
      <c r="B138" s="5">
        <v>888</v>
      </c>
      <c r="C138" s="6">
        <v>45042</v>
      </c>
      <c r="D138" s="7" t="s">
        <v>1578</v>
      </c>
      <c r="E138" s="6">
        <v>25683</v>
      </c>
      <c r="F138" s="29">
        <f ca="1">_xlfn.DAYS(NOW(),Tabella1[[#This Row],[Data di Nascita]])/365.25</f>
        <v>55.277207392197127</v>
      </c>
      <c r="G138" s="7" t="s">
        <v>1579</v>
      </c>
      <c r="H138" s="7" t="s">
        <v>1580</v>
      </c>
      <c r="I138" s="7" t="s">
        <v>1340</v>
      </c>
      <c r="J138" s="7" t="s">
        <v>1581</v>
      </c>
      <c r="K138" s="7" t="s">
        <v>881</v>
      </c>
      <c r="L138" s="17">
        <f>IF(ISERROR(SEARCH("EX",Tabella1[[#This Row],[Attività lavorativa]],1)),0,1)</f>
        <v>0</v>
      </c>
      <c r="M138" s="17"/>
      <c r="N138" s="17"/>
      <c r="O138" s="17"/>
      <c r="P138" s="17"/>
      <c r="Q138" s="17"/>
      <c r="R138" s="17"/>
      <c r="S138" s="17"/>
      <c r="T138" s="17">
        <f>IF(ISERROR(SEARCH("NDD",Tabella1[[#This Row],[Attività lavorativa]],1)),0,1)</f>
        <v>0</v>
      </c>
      <c r="U138" s="7" t="s">
        <v>8</v>
      </c>
      <c r="V138" s="22"/>
      <c r="W138" s="22">
        <f>IF(ISERROR(SEARCH("ex",Tabella1[[#This Row],[Fumo]],1)),0,1)</f>
        <v>0</v>
      </c>
      <c r="X138" s="22">
        <f>IF(ISERROR(SEARCH("no",Tabella1[[#This Row],[Fumo]],1)),0,1)</f>
        <v>1</v>
      </c>
      <c r="Y138" s="7" t="s">
        <v>25</v>
      </c>
      <c r="Z138" s="17">
        <f>IF(ISERROR(SEARCH("NDD",Tabella1[[#This Row],[Bevitore alcolici]],1)),0,1)</f>
        <v>0</v>
      </c>
      <c r="AA138" s="17">
        <f>IF(ISERROR(SEARCH("raro",Tabella1[[#This Row],[Bevitore alcolici]],1)),0,1)</f>
        <v>0</v>
      </c>
      <c r="AB138" s="17">
        <f>IF(ISERROR(SEARCH("saltuariamente",Tabella1[[#This Row],[Bevitore alcolici]],1)),0,1)</f>
        <v>0</v>
      </c>
      <c r="AC138" s="17">
        <f>IF(ISERROR(SEARCH("nega",Tabella1[[#This Row],[Bevitore alcolici]],1)),0,1)</f>
        <v>1</v>
      </c>
      <c r="AD138" s="17">
        <f>IF(ISERROR(SEARCH("potus",Tabella1[[#This Row],[Bevitore alcolici]],1)),0,1)</f>
        <v>0</v>
      </c>
      <c r="AE138" s="7" t="s">
        <v>1582</v>
      </c>
      <c r="AF138" s="17"/>
      <c r="AG138" s="18">
        <v>1</v>
      </c>
      <c r="AH138" s="18"/>
      <c r="AI138" s="18"/>
      <c r="AJ138" s="18"/>
      <c r="AK138" s="7" t="s">
        <v>28</v>
      </c>
      <c r="AL138" s="17">
        <f>IF(ISERROR(SEARCH("si",Tabella1[[#This Row],[Patente di guida]],1)),0,1)</f>
        <v>1</v>
      </c>
      <c r="AM138" s="7" t="s">
        <v>8</v>
      </c>
      <c r="AN138" s="17">
        <f>IF(ISERROR(SEARCH("no",Tabella1[[#This Row],[Ipertensione]],1)),0,1)</f>
        <v>1</v>
      </c>
      <c r="AO138" s="7" t="s">
        <v>382</v>
      </c>
      <c r="AP138" s="18">
        <f>IF(ISERROR(SEARCH("NO",Tabella1[[#This Row],[Cardiopatia ischemica]],1)),1,0)</f>
        <v>0</v>
      </c>
      <c r="AQ138" s="17">
        <f>IF(ISERROR(SEARCH("sconosciuto",Tabella1[[#This Row],[Cardiopatia ischemica]],1)),0,1)</f>
        <v>0</v>
      </c>
      <c r="AR138" s="7" t="s">
        <v>25</v>
      </c>
      <c r="AS138" s="22">
        <f>IF(ISERROR(SEARCH("nega",Tabella1[[#This Row],[Artimie]],1)),0,1)</f>
        <v>1</v>
      </c>
      <c r="AT138" s="7" t="s">
        <v>25</v>
      </c>
      <c r="AU138" s="22">
        <f>IF(ISERROR(SEARCH("nega",Tabella1[[#This Row],[Ipercolesterolemia]],1)),0,1)</f>
        <v>1</v>
      </c>
      <c r="AV138" s="22">
        <f>IF(ISERROR(SEARCH("boh",Tabella1[[#This Row],[Ipercolesterolemia]],1)),0,1)</f>
        <v>0</v>
      </c>
      <c r="AW138" s="7" t="s">
        <v>8</v>
      </c>
      <c r="AX138" s="22">
        <f>IF(ISERROR(SEARCH("Intolleranza",Tabella1[[#This Row],[Diabete]],1)),0,1)</f>
        <v>0</v>
      </c>
      <c r="AY138" s="22">
        <f>IF(ISERROR(SEARCH("si",Tabella1[[#This Row],[Diabete]],1)),0,1)</f>
        <v>0</v>
      </c>
      <c r="AZ138" s="7" t="s">
        <v>8</v>
      </c>
      <c r="BA138" s="17">
        <f>IF(ISERROR(SEARCH("NDD",Tabella1[[#This Row],[Patologia Tiroidea]],1)),0,1)</f>
        <v>0</v>
      </c>
      <c r="BB138" s="22">
        <f>IF(ISERROR(SEARCH("TIROIDITE",Tabella1[[#This Row],[Patologia Tiroidea]],1)),0,1)</f>
        <v>0</v>
      </c>
      <c r="BC138" s="22">
        <f>IF(ISERROR(SEARCH("HASHIMOTO",Tabella1[[#This Row],[Patologia Tiroidea]],1)),0,1)</f>
        <v>0</v>
      </c>
      <c r="BD138" s="22">
        <f>IF(ISERROR(SEARCH("BASEDOW",Tabella1[[#This Row],[Patologia Tiroidea]],1)),0,1)</f>
        <v>0</v>
      </c>
      <c r="BE138" s="22">
        <f>IF(ISERROR(SEARCH("NOD",Tabella1[[#This Row],[Patologia Tiroidea]],1)),0,1)</f>
        <v>0</v>
      </c>
      <c r="BF138" s="22">
        <f>IF(ISERROR(SEARCH("GOZ",Tabella1[[#This Row],[Patologia Tiroidea]],1)),0,1)</f>
        <v>0</v>
      </c>
      <c r="BG138" s="7" t="s">
        <v>8</v>
      </c>
      <c r="BH138" s="17">
        <f>IF(Tabella1[[#This Row],[Obesità]]="no",0,1)</f>
        <v>0</v>
      </c>
      <c r="BI138" s="7" t="s">
        <v>28</v>
      </c>
      <c r="BJ138" s="22">
        <f>IF(ISERROR(SEARCH("nega",Tabella1[[#This Row],[Reflusso gastroesofageo]],1)),1,0)</f>
        <v>1</v>
      </c>
      <c r="BK138" s="7" t="s">
        <v>5477</v>
      </c>
      <c r="BL138" s="17">
        <f>IF(ISERROR(SEARCH("NDD",Tabella1[[#This Row],[Patologia respiratoria]],1)),0,1)</f>
        <v>1</v>
      </c>
      <c r="BM138" s="17">
        <f>IF(ISERROR(SEARCH("asma",Tabella1[[#This Row],[Patologia respiratoria]],1)),0,1)</f>
        <v>0</v>
      </c>
      <c r="BN138" s="17">
        <f>IF(ISERROR(SEARCH("BPCO",Tabella1[[#This Row],[Patologia respiratoria]],1)),0,1)</f>
        <v>0</v>
      </c>
      <c r="BO138" s="17">
        <f>IF(ISERROR(SEARCH("BRONCOPOLMONITE",Tabella1[[#This Row],[Patologia respiratoria]],1)),0,1)</f>
        <v>0</v>
      </c>
      <c r="BP138" s="17">
        <f>IF(ISERROR(SEARCH("ASMA, OSAS",Tabella1[[#This Row],[Patologia respiratoria]],1)),0,1)</f>
        <v>0</v>
      </c>
      <c r="BQ138" s="17">
        <f>IF(ISERROR(SEARCH("OSAS e BPCO",Tabella1[[#This Row],[Patologia respiratoria]],1)),0,1)</f>
        <v>0</v>
      </c>
      <c r="BR138" s="17">
        <f>IF(ISERROR(SEARCH("OSAS",Tabella1[[#This Row],[Patologia respiratoria]],1)),0,1)</f>
        <v>0</v>
      </c>
      <c r="BS138" s="7"/>
      <c r="BT138" s="7" t="s">
        <v>1583</v>
      </c>
      <c r="BU138" s="7" t="s">
        <v>8</v>
      </c>
      <c r="BV138" s="17">
        <f>IF(ISERROR(SEARCH("ndd",Tabella1[[#This Row],[O2 terapia]],1)),0,1)</f>
        <v>0</v>
      </c>
      <c r="BW138" s="17">
        <v>0</v>
      </c>
      <c r="BX138" s="7"/>
      <c r="BY138" s="7" t="s">
        <v>8</v>
      </c>
      <c r="BZ138" s="18">
        <v>0</v>
      </c>
      <c r="CA138" s="7" t="s">
        <v>28</v>
      </c>
      <c r="CB138" s="17">
        <v>1</v>
      </c>
      <c r="CC138" s="7" t="s">
        <v>8</v>
      </c>
      <c r="CD138" s="18">
        <v>0</v>
      </c>
      <c r="CE138" s="7" t="s">
        <v>8</v>
      </c>
      <c r="CF138" s="18">
        <v>0</v>
      </c>
      <c r="CG138" s="7" t="s">
        <v>1584</v>
      </c>
      <c r="CH138" s="17">
        <v>1</v>
      </c>
      <c r="CI138" s="7" t="s">
        <v>5477</v>
      </c>
      <c r="CJ138" s="17"/>
      <c r="CK138" s="7" t="s">
        <v>8</v>
      </c>
      <c r="CL138" s="17">
        <v>0</v>
      </c>
      <c r="CM138" s="7" t="s">
        <v>28</v>
      </c>
      <c r="CN138" s="17">
        <v>1</v>
      </c>
      <c r="CO138" s="7" t="s">
        <v>8</v>
      </c>
      <c r="CP138" s="18">
        <v>0</v>
      </c>
      <c r="CQ138" s="7" t="s">
        <v>69</v>
      </c>
      <c r="CR138" s="7" t="s">
        <v>70</v>
      </c>
      <c r="CS138" s="7" t="s">
        <v>37</v>
      </c>
      <c r="CT138" s="7" t="s">
        <v>169</v>
      </c>
      <c r="CU138" s="7"/>
      <c r="CV138" s="8"/>
    </row>
    <row r="139" spans="1:100">
      <c r="A139" s="1">
        <f t="shared" si="2"/>
        <v>138</v>
      </c>
      <c r="B139" s="9">
        <v>894</v>
      </c>
      <c r="C139" s="10">
        <v>45048</v>
      </c>
      <c r="D139" s="11" t="s">
        <v>1585</v>
      </c>
      <c r="E139" s="10">
        <v>22429</v>
      </c>
      <c r="F139" s="29">
        <f ca="1">_xlfn.DAYS(NOW(),Tabella1[[#This Row],[Data di Nascita]])/365.25</f>
        <v>64.186173853524977</v>
      </c>
      <c r="G139" s="11" t="s">
        <v>1586</v>
      </c>
      <c r="H139" s="11" t="s">
        <v>1587</v>
      </c>
      <c r="I139" s="11" t="s">
        <v>1492</v>
      </c>
      <c r="J139" s="11" t="s">
        <v>618</v>
      </c>
      <c r="K139" s="11" t="s">
        <v>297</v>
      </c>
      <c r="L139" s="18">
        <f>IF(ISERROR(SEARCH("EX",Tabella1[[#This Row],[Attività lavorativa]],1)),0,1)</f>
        <v>0</v>
      </c>
      <c r="M139" s="18"/>
      <c r="N139" s="18"/>
      <c r="O139" s="18"/>
      <c r="P139" s="18"/>
      <c r="Q139" s="18"/>
      <c r="R139" s="18"/>
      <c r="S139" s="18"/>
      <c r="T139" s="17">
        <f>IF(ISERROR(SEARCH("NDD",Tabella1[[#This Row],[Attività lavorativa]],1)),0,1)</f>
        <v>0</v>
      </c>
      <c r="U139" s="11" t="s">
        <v>8</v>
      </c>
      <c r="V139" s="22"/>
      <c r="W139" s="22">
        <f>IF(ISERROR(SEARCH("ex",Tabella1[[#This Row],[Fumo]],1)),0,1)</f>
        <v>0</v>
      </c>
      <c r="X139" s="22">
        <f>IF(ISERROR(SEARCH("no",Tabella1[[#This Row],[Fumo]],1)),0,1)</f>
        <v>1</v>
      </c>
      <c r="Y139" s="11" t="s">
        <v>25</v>
      </c>
      <c r="Z139" s="18">
        <f>IF(ISERROR(SEARCH("NDD",Tabella1[[#This Row],[Bevitore alcolici]],1)),0,1)</f>
        <v>0</v>
      </c>
      <c r="AA139" s="17">
        <f>IF(ISERROR(SEARCH("raro",Tabella1[[#This Row],[Bevitore alcolici]],1)),0,1)</f>
        <v>0</v>
      </c>
      <c r="AB139" s="17">
        <f>IF(ISERROR(SEARCH("saltuariamente",Tabella1[[#This Row],[Bevitore alcolici]],1)),0,1)</f>
        <v>0</v>
      </c>
      <c r="AC139" s="17">
        <f>IF(ISERROR(SEARCH("nega",Tabella1[[#This Row],[Bevitore alcolici]],1)),0,1)</f>
        <v>1</v>
      </c>
      <c r="AD139" s="17">
        <f>IF(ISERROR(SEARCH("potus",Tabella1[[#This Row],[Bevitore alcolici]],1)),0,1)</f>
        <v>0</v>
      </c>
      <c r="AE139" s="11" t="s">
        <v>5648</v>
      </c>
      <c r="AF139" s="18"/>
      <c r="AG139" s="18">
        <v>1</v>
      </c>
      <c r="AH139" s="18"/>
      <c r="AI139" s="18"/>
      <c r="AJ139" s="18"/>
      <c r="AK139" s="11" t="s">
        <v>28</v>
      </c>
      <c r="AL139" s="18">
        <f>IF(ISERROR(SEARCH("si",Tabella1[[#This Row],[Patente di guida]],1)),0,1)</f>
        <v>1</v>
      </c>
      <c r="AM139" s="11" t="s">
        <v>28</v>
      </c>
      <c r="AN139" s="18">
        <f>IF(ISERROR(SEARCH("no",Tabella1[[#This Row],[Ipertensione]],1)),0,1)</f>
        <v>0</v>
      </c>
      <c r="AO139" s="11" t="s">
        <v>382</v>
      </c>
      <c r="AP139" s="18">
        <f>IF(ISERROR(SEARCH("NO",Tabella1[[#This Row],[Cardiopatia ischemica]],1)),1,0)</f>
        <v>0</v>
      </c>
      <c r="AQ139" s="17">
        <f>IF(ISERROR(SEARCH("sconosciuto",Tabella1[[#This Row],[Cardiopatia ischemica]],1)),0,1)</f>
        <v>0</v>
      </c>
      <c r="AR139" s="11" t="s">
        <v>25</v>
      </c>
      <c r="AS139" s="22">
        <f>IF(ISERROR(SEARCH("nega",Tabella1[[#This Row],[Artimie]],1)),0,1)</f>
        <v>1</v>
      </c>
      <c r="AT139" s="11" t="s">
        <v>28</v>
      </c>
      <c r="AU139" s="22">
        <f>IF(ISERROR(SEARCH("nega",Tabella1[[#This Row],[Ipercolesterolemia]],1)),0,1)</f>
        <v>0</v>
      </c>
      <c r="AV139" s="22">
        <f>IF(ISERROR(SEARCH("boh",Tabella1[[#This Row],[Ipercolesterolemia]],1)),0,1)</f>
        <v>0</v>
      </c>
      <c r="AW139" s="11" t="s">
        <v>8</v>
      </c>
      <c r="AX139" s="22">
        <f>IF(ISERROR(SEARCH("Intolleranza",Tabella1[[#This Row],[Diabete]],1)),0,1)</f>
        <v>0</v>
      </c>
      <c r="AY139" s="22">
        <f>IF(ISERROR(SEARCH("si",Tabella1[[#This Row],[Diabete]],1)),0,1)</f>
        <v>0</v>
      </c>
      <c r="AZ139" s="11" t="s">
        <v>8</v>
      </c>
      <c r="BA139" s="18">
        <f>IF(ISERROR(SEARCH("NDD",Tabella1[[#This Row],[Patologia Tiroidea]],1)),0,1)</f>
        <v>0</v>
      </c>
      <c r="BB139" s="22">
        <f>IF(ISERROR(SEARCH("TIROIDITE",Tabella1[[#This Row],[Patologia Tiroidea]],1)),0,1)</f>
        <v>0</v>
      </c>
      <c r="BC139" s="22">
        <f>IF(ISERROR(SEARCH("HASHIMOTO",Tabella1[[#This Row],[Patologia Tiroidea]],1)),0,1)</f>
        <v>0</v>
      </c>
      <c r="BD139" s="22">
        <f>IF(ISERROR(SEARCH("BASEDOW",Tabella1[[#This Row],[Patologia Tiroidea]],1)),0,1)</f>
        <v>0</v>
      </c>
      <c r="BE139" s="22">
        <f>IF(ISERROR(SEARCH("NOD",Tabella1[[#This Row],[Patologia Tiroidea]],1)),0,1)</f>
        <v>0</v>
      </c>
      <c r="BF139" s="22">
        <f>IF(ISERROR(SEARCH("GOZ",Tabella1[[#This Row],[Patologia Tiroidea]],1)),0,1)</f>
        <v>0</v>
      </c>
      <c r="BG139" s="11" t="s">
        <v>8</v>
      </c>
      <c r="BH139" s="18">
        <f>IF(Tabella1[[#This Row],[Obesità]]="no",0,1)</f>
        <v>0</v>
      </c>
      <c r="BI139" s="11" t="s">
        <v>28</v>
      </c>
      <c r="BJ139" s="22">
        <f>IF(ISERROR(SEARCH("nega",Tabella1[[#This Row],[Reflusso gastroesofageo]],1)),1,0)</f>
        <v>1</v>
      </c>
      <c r="BK139" s="7" t="s">
        <v>5477</v>
      </c>
      <c r="BL139" s="17">
        <f>IF(ISERROR(SEARCH("NDD",Tabella1[[#This Row],[Patologia respiratoria]],1)),0,1)</f>
        <v>1</v>
      </c>
      <c r="BM139" s="18">
        <f>IF(ISERROR(SEARCH("asma",Tabella1[[#This Row],[Patologia respiratoria]],1)),0,1)</f>
        <v>0</v>
      </c>
      <c r="BN139" s="18">
        <f>IF(ISERROR(SEARCH("BPCO",Tabella1[[#This Row],[Patologia respiratoria]],1)),0,1)</f>
        <v>0</v>
      </c>
      <c r="BO139" s="18">
        <f>IF(ISERROR(SEARCH("BRONCOPOLMONITE",Tabella1[[#This Row],[Patologia respiratoria]],1)),0,1)</f>
        <v>0</v>
      </c>
      <c r="BP139" s="18">
        <f>IF(ISERROR(SEARCH("ASMA, OSAS",Tabella1[[#This Row],[Patologia respiratoria]],1)),0,1)</f>
        <v>0</v>
      </c>
      <c r="BQ139" s="18">
        <f>IF(ISERROR(SEARCH("OSAS e BPCO",Tabella1[[#This Row],[Patologia respiratoria]],1)),0,1)</f>
        <v>0</v>
      </c>
      <c r="BR139" s="18">
        <f>IF(ISERROR(SEARCH("OSAS",Tabella1[[#This Row],[Patologia respiratoria]],1)),0,1)</f>
        <v>0</v>
      </c>
      <c r="BS139" s="11"/>
      <c r="BT139" s="11"/>
      <c r="BU139" s="11" t="s">
        <v>8</v>
      </c>
      <c r="BV139" s="18">
        <f>IF(ISERROR(SEARCH("ndd",Tabella1[[#This Row],[O2 terapia]],1)),0,1)</f>
        <v>0</v>
      </c>
      <c r="BW139" s="17">
        <v>0</v>
      </c>
      <c r="BX139" s="11"/>
      <c r="BY139" s="11" t="s">
        <v>8</v>
      </c>
      <c r="BZ139" s="18">
        <v>0</v>
      </c>
      <c r="CA139" s="11" t="s">
        <v>28</v>
      </c>
      <c r="CB139" s="17">
        <v>1</v>
      </c>
      <c r="CC139" s="11" t="s">
        <v>1395</v>
      </c>
      <c r="CD139" s="17">
        <v>1</v>
      </c>
      <c r="CE139" s="11" t="s">
        <v>8</v>
      </c>
      <c r="CF139" s="18">
        <v>0</v>
      </c>
      <c r="CG139" s="11" t="s">
        <v>1588</v>
      </c>
      <c r="CH139" s="17">
        <v>1</v>
      </c>
      <c r="CI139" s="7" t="s">
        <v>5477</v>
      </c>
      <c r="CJ139" s="18"/>
      <c r="CK139" s="11" t="s">
        <v>8</v>
      </c>
      <c r="CL139" s="17">
        <v>0</v>
      </c>
      <c r="CM139" s="11" t="s">
        <v>28</v>
      </c>
      <c r="CN139" s="17">
        <v>1</v>
      </c>
      <c r="CO139" s="11" t="s">
        <v>8</v>
      </c>
      <c r="CP139" s="18">
        <v>0</v>
      </c>
      <c r="CQ139" s="11" t="s">
        <v>85</v>
      </c>
      <c r="CR139" s="11" t="s">
        <v>168</v>
      </c>
      <c r="CS139" s="11" t="s">
        <v>71</v>
      </c>
      <c r="CT139" s="11" t="s">
        <v>154</v>
      </c>
      <c r="CU139" s="11"/>
      <c r="CV139" s="12"/>
    </row>
    <row r="140" spans="1:100" ht="285">
      <c r="A140" s="1">
        <f t="shared" si="2"/>
        <v>139</v>
      </c>
      <c r="B140" s="5">
        <v>896</v>
      </c>
      <c r="C140" s="6">
        <v>45049</v>
      </c>
      <c r="D140" s="7" t="s">
        <v>1589</v>
      </c>
      <c r="E140" s="6">
        <v>24690</v>
      </c>
      <c r="F140" s="29">
        <f ca="1">_xlfn.DAYS(NOW(),Tabella1[[#This Row],[Data di Nascita]])/365.25</f>
        <v>57.995893223819301</v>
      </c>
      <c r="G140" s="7" t="s">
        <v>1590</v>
      </c>
      <c r="H140" s="7" t="s">
        <v>1591</v>
      </c>
      <c r="I140" s="7" t="s">
        <v>1592</v>
      </c>
      <c r="J140" s="7" t="s">
        <v>1593</v>
      </c>
      <c r="K140" s="7" t="s">
        <v>881</v>
      </c>
      <c r="L140" s="17">
        <f>IF(ISERROR(SEARCH("EX",Tabella1[[#This Row],[Attività lavorativa]],1)),0,1)</f>
        <v>0</v>
      </c>
      <c r="M140" s="17"/>
      <c r="N140" s="17"/>
      <c r="O140" s="17"/>
      <c r="P140" s="17"/>
      <c r="Q140" s="17"/>
      <c r="R140" s="17"/>
      <c r="S140" s="17"/>
      <c r="T140" s="17">
        <f>IF(ISERROR(SEARCH("NDD",Tabella1[[#This Row],[Attività lavorativa]],1)),0,1)</f>
        <v>0</v>
      </c>
      <c r="U140" s="7" t="s">
        <v>1594</v>
      </c>
      <c r="V140" s="22">
        <v>15</v>
      </c>
      <c r="W140" s="22">
        <f>IF(ISERROR(SEARCH("ex",Tabella1[[#This Row],[Fumo]],1)),0,1)</f>
        <v>0</v>
      </c>
      <c r="X140" s="22">
        <f>IF(ISERROR(SEARCH("no",Tabella1[[#This Row],[Fumo]],1)),0,1)</f>
        <v>1</v>
      </c>
      <c r="Y140" s="7" t="s">
        <v>486</v>
      </c>
      <c r="Z140" s="17">
        <f>IF(ISERROR(SEARCH("NDD",Tabella1[[#This Row],[Bevitore alcolici]],1)),0,1)</f>
        <v>0</v>
      </c>
      <c r="AA140" s="17">
        <f>IF(ISERROR(SEARCH("raro",Tabella1[[#This Row],[Bevitore alcolici]],1)),0,1)</f>
        <v>0</v>
      </c>
      <c r="AB140" s="17">
        <f>IF(ISERROR(SEARCH("saltuariamente",Tabella1[[#This Row],[Bevitore alcolici]],1)),0,1)</f>
        <v>0</v>
      </c>
      <c r="AC140" s="17">
        <f>IF(ISERROR(SEARCH("nega",Tabella1[[#This Row],[Bevitore alcolici]],1)),0,1)</f>
        <v>0</v>
      </c>
      <c r="AD140" s="17">
        <f>IF(ISERROR(SEARCH("potus",Tabella1[[#This Row],[Bevitore alcolici]],1)),0,1)</f>
        <v>0</v>
      </c>
      <c r="AE140" s="7" t="s">
        <v>5686</v>
      </c>
      <c r="AF140" s="17"/>
      <c r="AG140" s="17"/>
      <c r="AH140" s="17"/>
      <c r="AI140" s="17"/>
      <c r="AJ140" s="17"/>
      <c r="AK140" s="7" t="s">
        <v>28</v>
      </c>
      <c r="AL140" s="17">
        <f>IF(ISERROR(SEARCH("si",Tabella1[[#This Row],[Patente di guida]],1)),0,1)</f>
        <v>1</v>
      </c>
      <c r="AM140" s="7" t="s">
        <v>8</v>
      </c>
      <c r="AN140" s="17">
        <f>IF(ISERROR(SEARCH("no",Tabella1[[#This Row],[Ipertensione]],1)),0,1)</f>
        <v>1</v>
      </c>
      <c r="AO140" s="7" t="s">
        <v>382</v>
      </c>
      <c r="AP140" s="18">
        <f>IF(ISERROR(SEARCH("NO",Tabella1[[#This Row],[Cardiopatia ischemica]],1)),1,0)</f>
        <v>0</v>
      </c>
      <c r="AQ140" s="17">
        <f>IF(ISERROR(SEARCH("sconosciuto",Tabella1[[#This Row],[Cardiopatia ischemica]],1)),0,1)</f>
        <v>0</v>
      </c>
      <c r="AR140" s="7" t="s">
        <v>25</v>
      </c>
      <c r="AS140" s="22">
        <f>IF(ISERROR(SEARCH("nega",Tabella1[[#This Row],[Artimie]],1)),0,1)</f>
        <v>1</v>
      </c>
      <c r="AT140" s="7" t="s">
        <v>25</v>
      </c>
      <c r="AU140" s="22">
        <f>IF(ISERROR(SEARCH("nega",Tabella1[[#This Row],[Ipercolesterolemia]],1)),0,1)</f>
        <v>1</v>
      </c>
      <c r="AV140" s="22">
        <f>IF(ISERROR(SEARCH("boh",Tabella1[[#This Row],[Ipercolesterolemia]],1)),0,1)</f>
        <v>0</v>
      </c>
      <c r="AW140" s="7" t="s">
        <v>8</v>
      </c>
      <c r="AX140" s="22">
        <f>IF(ISERROR(SEARCH("Intolleranza",Tabella1[[#This Row],[Diabete]],1)),0,1)</f>
        <v>0</v>
      </c>
      <c r="AY140" s="22">
        <f>IF(ISERROR(SEARCH("si",Tabella1[[#This Row],[Diabete]],1)),0,1)</f>
        <v>0</v>
      </c>
      <c r="AZ140" s="7" t="s">
        <v>8</v>
      </c>
      <c r="BA140" s="17">
        <f>IF(ISERROR(SEARCH("NDD",Tabella1[[#This Row],[Patologia Tiroidea]],1)),0,1)</f>
        <v>0</v>
      </c>
      <c r="BB140" s="22">
        <f>IF(ISERROR(SEARCH("TIROIDITE",Tabella1[[#This Row],[Patologia Tiroidea]],1)),0,1)</f>
        <v>0</v>
      </c>
      <c r="BC140" s="22">
        <f>IF(ISERROR(SEARCH("HASHIMOTO",Tabella1[[#This Row],[Patologia Tiroidea]],1)),0,1)</f>
        <v>0</v>
      </c>
      <c r="BD140" s="22">
        <f>IF(ISERROR(SEARCH("BASEDOW",Tabella1[[#This Row],[Patologia Tiroidea]],1)),0,1)</f>
        <v>0</v>
      </c>
      <c r="BE140" s="22">
        <f>IF(ISERROR(SEARCH("NOD",Tabella1[[#This Row],[Patologia Tiroidea]],1)),0,1)</f>
        <v>0</v>
      </c>
      <c r="BF140" s="22">
        <f>IF(ISERROR(SEARCH("GOZ",Tabella1[[#This Row],[Patologia Tiroidea]],1)),0,1)</f>
        <v>0</v>
      </c>
      <c r="BG140" s="7" t="s">
        <v>860</v>
      </c>
      <c r="BH140" s="17">
        <f>IF(Tabella1[[#This Row],[Obesità]]="no",0,1)</f>
        <v>1</v>
      </c>
      <c r="BI140" s="7" t="s">
        <v>25</v>
      </c>
      <c r="BJ140" s="22">
        <f>IF(ISERROR(SEARCH("nega",Tabella1[[#This Row],[Reflusso gastroesofageo]],1)),1,0)</f>
        <v>0</v>
      </c>
      <c r="BK140" s="7" t="s">
        <v>44</v>
      </c>
      <c r="BL140" s="17">
        <f>IF(ISERROR(SEARCH("NDD",Tabella1[[#This Row],[Patologia respiratoria]],1)),0,1)</f>
        <v>0</v>
      </c>
      <c r="BM140" s="17">
        <f>IF(ISERROR(SEARCH("asma",Tabella1[[#This Row],[Patologia respiratoria]],1)),0,1)</f>
        <v>0</v>
      </c>
      <c r="BN140" s="17">
        <f>IF(ISERROR(SEARCH("BPCO",Tabella1[[#This Row],[Patologia respiratoria]],1)),0,1)</f>
        <v>0</v>
      </c>
      <c r="BO140" s="17">
        <f>IF(ISERROR(SEARCH("BRONCOPOLMONITE",Tabella1[[#This Row],[Patologia respiratoria]],1)),0,1)</f>
        <v>0</v>
      </c>
      <c r="BP140" s="17">
        <f>IF(ISERROR(SEARCH("ASMA, OSAS",Tabella1[[#This Row],[Patologia respiratoria]],1)),0,1)</f>
        <v>0</v>
      </c>
      <c r="BQ140" s="17">
        <f>IF(ISERROR(SEARCH("OSAS e BPCO",Tabella1[[#This Row],[Patologia respiratoria]],1)),0,1)</f>
        <v>0</v>
      </c>
      <c r="BR140" s="17">
        <f>IF(ISERROR(SEARCH("OSAS",Tabella1[[#This Row],[Patologia respiratoria]],1)),0,1)</f>
        <v>1</v>
      </c>
      <c r="BS140" s="7" t="s">
        <v>1595</v>
      </c>
      <c r="BT140" s="7" t="s">
        <v>1596</v>
      </c>
      <c r="BU140" s="7" t="s">
        <v>8</v>
      </c>
      <c r="BV140" s="17">
        <f>IF(ISERROR(SEARCH("ndd",Tabella1[[#This Row],[O2 terapia]],1)),0,1)</f>
        <v>0</v>
      </c>
      <c r="BW140" s="17">
        <v>0</v>
      </c>
      <c r="BX140" s="7" t="s">
        <v>1597</v>
      </c>
      <c r="BY140" s="7" t="s">
        <v>1598</v>
      </c>
      <c r="BZ140" s="17">
        <v>1</v>
      </c>
      <c r="CA140" s="7" t="s">
        <v>28</v>
      </c>
      <c r="CB140" s="17">
        <v>1</v>
      </c>
      <c r="CC140" s="7" t="s">
        <v>8</v>
      </c>
      <c r="CD140" s="18">
        <v>0</v>
      </c>
      <c r="CE140" s="7" t="s">
        <v>8</v>
      </c>
      <c r="CF140" s="18">
        <v>0</v>
      </c>
      <c r="CG140" s="7" t="s">
        <v>1307</v>
      </c>
      <c r="CH140" s="17">
        <v>1</v>
      </c>
      <c r="CI140" s="7" t="s">
        <v>354</v>
      </c>
      <c r="CJ140" s="17">
        <v>1</v>
      </c>
      <c r="CK140" s="7" t="s">
        <v>28</v>
      </c>
      <c r="CL140" s="17">
        <v>1</v>
      </c>
      <c r="CM140" s="7" t="s">
        <v>8</v>
      </c>
      <c r="CN140" s="17">
        <v>0</v>
      </c>
      <c r="CO140" s="7" t="s">
        <v>1599</v>
      </c>
      <c r="CP140" s="17">
        <v>1</v>
      </c>
      <c r="CQ140" s="7" t="s">
        <v>85</v>
      </c>
      <c r="CR140" s="7" t="s">
        <v>1600</v>
      </c>
      <c r="CS140" s="7" t="s">
        <v>37</v>
      </c>
      <c r="CT140" s="7" t="s">
        <v>787</v>
      </c>
      <c r="CU140" s="7" t="s">
        <v>1601</v>
      </c>
      <c r="CV140" s="8" t="s">
        <v>1602</v>
      </c>
    </row>
    <row r="141" spans="1:100" ht="256.5">
      <c r="A141" s="1">
        <f t="shared" si="2"/>
        <v>140</v>
      </c>
      <c r="B141" s="9">
        <v>900</v>
      </c>
      <c r="C141" s="10">
        <v>45050</v>
      </c>
      <c r="D141" s="11" t="s">
        <v>1603</v>
      </c>
      <c r="E141" s="10">
        <v>29364</v>
      </c>
      <c r="F141" s="29">
        <f ca="1">_xlfn.DAYS(NOW(),Tabella1[[#This Row],[Data di Nascita]])/365.25</f>
        <v>45.199178644763862</v>
      </c>
      <c r="G141" s="11" t="s">
        <v>1604</v>
      </c>
      <c r="H141" s="11" t="s">
        <v>1605</v>
      </c>
      <c r="I141" s="11" t="s">
        <v>955</v>
      </c>
      <c r="J141" s="11" t="s">
        <v>1606</v>
      </c>
      <c r="K141" s="11" t="s">
        <v>297</v>
      </c>
      <c r="L141" s="18">
        <f>IF(ISERROR(SEARCH("EX",Tabella1[[#This Row],[Attività lavorativa]],1)),0,1)</f>
        <v>0</v>
      </c>
      <c r="M141" s="18"/>
      <c r="N141" s="18"/>
      <c r="O141" s="18"/>
      <c r="P141" s="18"/>
      <c r="Q141" s="18"/>
      <c r="R141" s="18"/>
      <c r="S141" s="18"/>
      <c r="T141" s="17">
        <f>IF(ISERROR(SEARCH("NDD",Tabella1[[#This Row],[Attività lavorativa]],1)),0,1)</f>
        <v>0</v>
      </c>
      <c r="U141" s="11" t="s">
        <v>1607</v>
      </c>
      <c r="V141" s="22">
        <v>5</v>
      </c>
      <c r="W141" s="22">
        <f>IF(ISERROR(SEARCH("ex",Tabella1[[#This Row],[Fumo]],1)),0,1)</f>
        <v>1</v>
      </c>
      <c r="X141" s="22">
        <f>IF(ISERROR(SEARCH("no",Tabella1[[#This Row],[Fumo]],1)),0,1)</f>
        <v>1</v>
      </c>
      <c r="Y141" s="11" t="s">
        <v>26</v>
      </c>
      <c r="Z141" s="18">
        <f>IF(ISERROR(SEARCH("NDD",Tabella1[[#This Row],[Bevitore alcolici]],1)),0,1)</f>
        <v>0</v>
      </c>
      <c r="AA141" s="17">
        <f>IF(ISERROR(SEARCH("raro",Tabella1[[#This Row],[Bevitore alcolici]],1)),0,1)</f>
        <v>0</v>
      </c>
      <c r="AB141" s="17">
        <f>IF(ISERROR(SEARCH("saltuariamente",Tabella1[[#This Row],[Bevitore alcolici]],1)),0,1)</f>
        <v>1</v>
      </c>
      <c r="AC141" s="17">
        <f>IF(ISERROR(SEARCH("nega",Tabella1[[#This Row],[Bevitore alcolici]],1)),0,1)</f>
        <v>0</v>
      </c>
      <c r="AD141" s="17">
        <f>IF(ISERROR(SEARCH("potus",Tabella1[[#This Row],[Bevitore alcolici]],1)),0,1)</f>
        <v>0</v>
      </c>
      <c r="AE141" s="11" t="s">
        <v>1608</v>
      </c>
      <c r="AF141" s="18"/>
      <c r="AG141" s="18">
        <v>1</v>
      </c>
      <c r="AH141" s="18"/>
      <c r="AI141" s="18">
        <v>1</v>
      </c>
      <c r="AJ141" s="18">
        <v>1</v>
      </c>
      <c r="AK141" s="11" t="s">
        <v>28</v>
      </c>
      <c r="AL141" s="18">
        <f>IF(ISERROR(SEARCH("si",Tabella1[[#This Row],[Patente di guida]],1)),0,1)</f>
        <v>1</v>
      </c>
      <c r="AM141" s="11" t="s">
        <v>8</v>
      </c>
      <c r="AN141" s="18">
        <f>IF(ISERROR(SEARCH("no",Tabella1[[#This Row],[Ipertensione]],1)),0,1)</f>
        <v>1</v>
      </c>
      <c r="AO141" s="11" t="s">
        <v>382</v>
      </c>
      <c r="AP141" s="18">
        <f>IF(ISERROR(SEARCH("NO",Tabella1[[#This Row],[Cardiopatia ischemica]],1)),1,0)</f>
        <v>0</v>
      </c>
      <c r="AQ141" s="17">
        <f>IF(ISERROR(SEARCH("sconosciuto",Tabella1[[#This Row],[Cardiopatia ischemica]],1)),0,1)</f>
        <v>0</v>
      </c>
      <c r="AR141" s="11" t="s">
        <v>25</v>
      </c>
      <c r="AS141" s="22">
        <f>IF(ISERROR(SEARCH("nega",Tabella1[[#This Row],[Artimie]],1)),0,1)</f>
        <v>1</v>
      </c>
      <c r="AT141" s="11" t="s">
        <v>25</v>
      </c>
      <c r="AU141" s="22">
        <f>IF(ISERROR(SEARCH("nega",Tabella1[[#This Row],[Ipercolesterolemia]],1)),0,1)</f>
        <v>1</v>
      </c>
      <c r="AV141" s="22">
        <f>IF(ISERROR(SEARCH("boh",Tabella1[[#This Row],[Ipercolesterolemia]],1)),0,1)</f>
        <v>0</v>
      </c>
      <c r="AW141" s="11" t="s">
        <v>28</v>
      </c>
      <c r="AX141" s="22">
        <f>IF(ISERROR(SEARCH("Intolleranza",Tabella1[[#This Row],[Diabete]],1)),0,1)</f>
        <v>0</v>
      </c>
      <c r="AY141" s="22">
        <f>IF(ISERROR(SEARCH("si",Tabella1[[#This Row],[Diabete]],1)),0,1)</f>
        <v>1</v>
      </c>
      <c r="AZ141" s="11" t="s">
        <v>8</v>
      </c>
      <c r="BA141" s="18">
        <f>IF(ISERROR(SEARCH("NDD",Tabella1[[#This Row],[Patologia Tiroidea]],1)),0,1)</f>
        <v>0</v>
      </c>
      <c r="BB141" s="22">
        <f>IF(ISERROR(SEARCH("TIROIDITE",Tabella1[[#This Row],[Patologia Tiroidea]],1)),0,1)</f>
        <v>0</v>
      </c>
      <c r="BC141" s="22">
        <f>IF(ISERROR(SEARCH("HASHIMOTO",Tabella1[[#This Row],[Patologia Tiroidea]],1)),0,1)</f>
        <v>0</v>
      </c>
      <c r="BD141" s="22">
        <f>IF(ISERROR(SEARCH("BASEDOW",Tabella1[[#This Row],[Patologia Tiroidea]],1)),0,1)</f>
        <v>0</v>
      </c>
      <c r="BE141" s="22">
        <f>IF(ISERROR(SEARCH("NOD",Tabella1[[#This Row],[Patologia Tiroidea]],1)),0,1)</f>
        <v>0</v>
      </c>
      <c r="BF141" s="22">
        <f>IF(ISERROR(SEARCH("GOZ",Tabella1[[#This Row],[Patologia Tiroidea]],1)),0,1)</f>
        <v>0</v>
      </c>
      <c r="BG141" s="11" t="s">
        <v>28</v>
      </c>
      <c r="BH141" s="18">
        <f>IF(Tabella1[[#This Row],[Obesità]]="no",0,1)</f>
        <v>1</v>
      </c>
      <c r="BI141" s="11" t="s">
        <v>28</v>
      </c>
      <c r="BJ141" s="22">
        <f>IF(ISERROR(SEARCH("nega",Tabella1[[#This Row],[Reflusso gastroesofageo]],1)),1,0)</f>
        <v>1</v>
      </c>
      <c r="BK141" s="11" t="s">
        <v>3806</v>
      </c>
      <c r="BL141" s="18">
        <f>IF(ISERROR(SEARCH("NDD",Tabella1[[#This Row],[Patologia respiratoria]],1)),0,1)</f>
        <v>0</v>
      </c>
      <c r="BM141" s="18">
        <f>IF(ISERROR(SEARCH("asma",Tabella1[[#This Row],[Patologia respiratoria]],1)),0,1)</f>
        <v>1</v>
      </c>
      <c r="BN141" s="18">
        <f>IF(ISERROR(SEARCH("BPCO",Tabella1[[#This Row],[Patologia respiratoria]],1)),0,1)</f>
        <v>0</v>
      </c>
      <c r="BO141" s="18">
        <f>IF(ISERROR(SEARCH("BRONCOPOLMONITE",Tabella1[[#This Row],[Patologia respiratoria]],1)),0,1)</f>
        <v>0</v>
      </c>
      <c r="BP141" s="18">
        <f>IF(ISERROR(SEARCH("ASMA, OSAS",Tabella1[[#This Row],[Patologia respiratoria]],1)),0,1)</f>
        <v>0</v>
      </c>
      <c r="BQ141" s="18">
        <f>IF(ISERROR(SEARCH("OSAS e BPCO",Tabella1[[#This Row],[Patologia respiratoria]],1)),0,1)</f>
        <v>0</v>
      </c>
      <c r="BR141" s="18">
        <f>IF(ISERROR(SEARCH("OSAS",Tabella1[[#This Row],[Patologia respiratoria]],1)),0,1)</f>
        <v>0</v>
      </c>
      <c r="BS141" s="11" t="s">
        <v>1609</v>
      </c>
      <c r="BT141" s="11" t="s">
        <v>1610</v>
      </c>
      <c r="BU141" s="11" t="s">
        <v>8</v>
      </c>
      <c r="BV141" s="18">
        <f>IF(ISERROR(SEARCH("ndd",Tabella1[[#This Row],[O2 terapia]],1)),0,1)</f>
        <v>0</v>
      </c>
      <c r="BW141" s="17">
        <v>0</v>
      </c>
      <c r="BX141" s="11"/>
      <c r="BY141" s="11" t="s">
        <v>8</v>
      </c>
      <c r="BZ141" s="18">
        <v>0</v>
      </c>
      <c r="CA141" s="11" t="s">
        <v>28</v>
      </c>
      <c r="CB141" s="17">
        <v>1</v>
      </c>
      <c r="CC141" s="11" t="s">
        <v>908</v>
      </c>
      <c r="CD141" s="17">
        <v>1</v>
      </c>
      <c r="CE141" s="11" t="s">
        <v>8</v>
      </c>
      <c r="CF141" s="18">
        <v>0</v>
      </c>
      <c r="CG141" s="7" t="s">
        <v>5477</v>
      </c>
      <c r="CH141" s="18"/>
      <c r="CI141" s="7" t="s">
        <v>5477</v>
      </c>
      <c r="CJ141" s="18"/>
      <c r="CK141" s="11" t="s">
        <v>28</v>
      </c>
      <c r="CL141" s="17">
        <v>1</v>
      </c>
      <c r="CM141" s="11" t="s">
        <v>8</v>
      </c>
      <c r="CN141" s="17">
        <v>0</v>
      </c>
      <c r="CO141" s="11" t="s">
        <v>8</v>
      </c>
      <c r="CP141" s="18">
        <v>0</v>
      </c>
      <c r="CQ141" s="11" t="s">
        <v>85</v>
      </c>
      <c r="CR141" s="11" t="s">
        <v>1611</v>
      </c>
      <c r="CS141" s="11" t="s">
        <v>105</v>
      </c>
      <c r="CT141" s="11" t="s">
        <v>554</v>
      </c>
      <c r="CU141" s="11" t="s">
        <v>1612</v>
      </c>
      <c r="CV141" s="12" t="s">
        <v>1613</v>
      </c>
    </row>
    <row r="142" spans="1:100" ht="242.25">
      <c r="A142" s="1">
        <f t="shared" si="2"/>
        <v>141</v>
      </c>
      <c r="B142" s="5">
        <v>901</v>
      </c>
      <c r="C142" s="6">
        <v>45050</v>
      </c>
      <c r="D142" s="7" t="s">
        <v>1614</v>
      </c>
      <c r="E142" s="6">
        <v>27482</v>
      </c>
      <c r="F142" s="29">
        <f ca="1">_xlfn.DAYS(NOW(),Tabella1[[#This Row],[Data di Nascita]])/365.25</f>
        <v>50.351813826146476</v>
      </c>
      <c r="G142" s="7" t="s">
        <v>1615</v>
      </c>
      <c r="H142" s="7" t="s">
        <v>1616</v>
      </c>
      <c r="I142" s="7" t="s">
        <v>1617</v>
      </c>
      <c r="J142" s="7" t="s">
        <v>618</v>
      </c>
      <c r="K142" s="7" t="s">
        <v>5606</v>
      </c>
      <c r="L142" s="17">
        <f>IF(ISERROR(SEARCH("EX",Tabella1[[#This Row],[Attività lavorativa]],1)),0,1)</f>
        <v>1</v>
      </c>
      <c r="M142" s="18">
        <v>1</v>
      </c>
      <c r="N142" s="18"/>
      <c r="O142" s="18"/>
      <c r="P142" s="18"/>
      <c r="Q142" s="18"/>
      <c r="R142" s="18"/>
      <c r="S142" s="18"/>
      <c r="T142" s="17">
        <f>IF(ISERROR(SEARCH("NDD",Tabella1[[#This Row],[Attività lavorativa]],1)),0,1)</f>
        <v>0</v>
      </c>
      <c r="U142" s="7" t="s">
        <v>1618</v>
      </c>
      <c r="V142" s="22">
        <v>34</v>
      </c>
      <c r="W142" s="22">
        <f>IF(ISERROR(SEARCH("ex",Tabella1[[#This Row],[Fumo]],1)),0,1)</f>
        <v>0</v>
      </c>
      <c r="X142" s="22">
        <f>IF(ISERROR(SEARCH("no",Tabella1[[#This Row],[Fumo]],1)),0,1)</f>
        <v>1</v>
      </c>
      <c r="Y142" s="7" t="s">
        <v>25</v>
      </c>
      <c r="Z142" s="17">
        <f>IF(ISERROR(SEARCH("NDD",Tabella1[[#This Row],[Bevitore alcolici]],1)),0,1)</f>
        <v>0</v>
      </c>
      <c r="AA142" s="17">
        <f>IF(ISERROR(SEARCH("raro",Tabella1[[#This Row],[Bevitore alcolici]],1)),0,1)</f>
        <v>0</v>
      </c>
      <c r="AB142" s="17">
        <f>IF(ISERROR(SEARCH("saltuariamente",Tabella1[[#This Row],[Bevitore alcolici]],1)),0,1)</f>
        <v>0</v>
      </c>
      <c r="AC142" s="17">
        <f>IF(ISERROR(SEARCH("nega",Tabella1[[#This Row],[Bevitore alcolici]],1)),0,1)</f>
        <v>1</v>
      </c>
      <c r="AD142" s="17">
        <f>IF(ISERROR(SEARCH("potus",Tabella1[[#This Row],[Bevitore alcolici]],1)),0,1)</f>
        <v>0</v>
      </c>
      <c r="AE142" s="7" t="s">
        <v>657</v>
      </c>
      <c r="AF142" s="17"/>
      <c r="AG142" s="17"/>
      <c r="AH142" s="17"/>
      <c r="AI142" s="17"/>
      <c r="AJ142" s="17"/>
      <c r="AK142" s="7" t="s">
        <v>28</v>
      </c>
      <c r="AL142" s="17">
        <f>IF(ISERROR(SEARCH("si",Tabella1[[#This Row],[Patente di guida]],1)),0,1)</f>
        <v>1</v>
      </c>
      <c r="AM142" s="7" t="s">
        <v>28</v>
      </c>
      <c r="AN142" s="17">
        <f>IF(ISERROR(SEARCH("no",Tabella1[[#This Row],[Ipertensione]],1)),0,1)</f>
        <v>0</v>
      </c>
      <c r="AO142" s="7" t="s">
        <v>382</v>
      </c>
      <c r="AP142" s="18">
        <f>IF(ISERROR(SEARCH("NO",Tabella1[[#This Row],[Cardiopatia ischemica]],1)),1,0)</f>
        <v>0</v>
      </c>
      <c r="AQ142" s="17">
        <f>IF(ISERROR(SEARCH("sconosciuto",Tabella1[[#This Row],[Cardiopatia ischemica]],1)),0,1)</f>
        <v>0</v>
      </c>
      <c r="AR142" s="7" t="s">
        <v>25</v>
      </c>
      <c r="AS142" s="22">
        <f>IF(ISERROR(SEARCH("nega",Tabella1[[#This Row],[Artimie]],1)),0,1)</f>
        <v>1</v>
      </c>
      <c r="AT142" s="7" t="s">
        <v>28</v>
      </c>
      <c r="AU142" s="22">
        <f>IF(ISERROR(SEARCH("nega",Tabella1[[#This Row],[Ipercolesterolemia]],1)),0,1)</f>
        <v>0</v>
      </c>
      <c r="AV142" s="22">
        <f>IF(ISERROR(SEARCH("boh",Tabella1[[#This Row],[Ipercolesterolemia]],1)),0,1)</f>
        <v>0</v>
      </c>
      <c r="AW142" s="7" t="s">
        <v>8</v>
      </c>
      <c r="AX142" s="22">
        <f>IF(ISERROR(SEARCH("Intolleranza",Tabella1[[#This Row],[Diabete]],1)),0,1)</f>
        <v>0</v>
      </c>
      <c r="AY142" s="22">
        <f>IF(ISERROR(SEARCH("si",Tabella1[[#This Row],[Diabete]],1)),0,1)</f>
        <v>0</v>
      </c>
      <c r="AZ142" s="7" t="s">
        <v>8</v>
      </c>
      <c r="BA142" s="17">
        <f>IF(ISERROR(SEARCH("NDD",Tabella1[[#This Row],[Patologia Tiroidea]],1)),0,1)</f>
        <v>0</v>
      </c>
      <c r="BB142" s="22">
        <f>IF(ISERROR(SEARCH("TIROIDITE",Tabella1[[#This Row],[Patologia Tiroidea]],1)),0,1)</f>
        <v>0</v>
      </c>
      <c r="BC142" s="22">
        <f>IF(ISERROR(SEARCH("HASHIMOTO",Tabella1[[#This Row],[Patologia Tiroidea]],1)),0,1)</f>
        <v>0</v>
      </c>
      <c r="BD142" s="22">
        <f>IF(ISERROR(SEARCH("BASEDOW",Tabella1[[#This Row],[Patologia Tiroidea]],1)),0,1)</f>
        <v>0</v>
      </c>
      <c r="BE142" s="22">
        <f>IF(ISERROR(SEARCH("NOD",Tabella1[[#This Row],[Patologia Tiroidea]],1)),0,1)</f>
        <v>0</v>
      </c>
      <c r="BF142" s="22">
        <f>IF(ISERROR(SEARCH("GOZ",Tabella1[[#This Row],[Patologia Tiroidea]],1)),0,1)</f>
        <v>0</v>
      </c>
      <c r="BG142" s="7" t="s">
        <v>28</v>
      </c>
      <c r="BH142" s="17">
        <f>IF(Tabella1[[#This Row],[Obesità]]="no",0,1)</f>
        <v>1</v>
      </c>
      <c r="BI142" s="7" t="s">
        <v>1619</v>
      </c>
      <c r="BJ142" s="22">
        <f>IF(ISERROR(SEARCH("nega",Tabella1[[#This Row],[Reflusso gastroesofageo]],1)),1,0)</f>
        <v>1</v>
      </c>
      <c r="BK142" s="7" t="s">
        <v>5477</v>
      </c>
      <c r="BL142" s="17">
        <f>IF(ISERROR(SEARCH("NDD",Tabella1[[#This Row],[Patologia respiratoria]],1)),0,1)</f>
        <v>1</v>
      </c>
      <c r="BM142" s="17">
        <f>IF(ISERROR(SEARCH("asma",Tabella1[[#This Row],[Patologia respiratoria]],1)),0,1)</f>
        <v>0</v>
      </c>
      <c r="BN142" s="17">
        <f>IF(ISERROR(SEARCH("BPCO",Tabella1[[#This Row],[Patologia respiratoria]],1)),0,1)</f>
        <v>0</v>
      </c>
      <c r="BO142" s="17">
        <f>IF(ISERROR(SEARCH("BRONCOPOLMONITE",Tabella1[[#This Row],[Patologia respiratoria]],1)),0,1)</f>
        <v>0</v>
      </c>
      <c r="BP142" s="17">
        <f>IF(ISERROR(SEARCH("ASMA, OSAS",Tabella1[[#This Row],[Patologia respiratoria]],1)),0,1)</f>
        <v>0</v>
      </c>
      <c r="BQ142" s="17">
        <f>IF(ISERROR(SEARCH("OSAS e BPCO",Tabella1[[#This Row],[Patologia respiratoria]],1)),0,1)</f>
        <v>0</v>
      </c>
      <c r="BR142" s="17">
        <f>IF(ISERROR(SEARCH("OSAS",Tabella1[[#This Row],[Patologia respiratoria]],1)),0,1)</f>
        <v>0</v>
      </c>
      <c r="BS142" s="7"/>
      <c r="BT142" s="7" t="s">
        <v>1620</v>
      </c>
      <c r="BU142" s="7" t="s">
        <v>8</v>
      </c>
      <c r="BV142" s="17">
        <f>IF(ISERROR(SEARCH("ndd",Tabella1[[#This Row],[O2 terapia]],1)),0,1)</f>
        <v>0</v>
      </c>
      <c r="BW142" s="17">
        <v>0</v>
      </c>
      <c r="BX142" s="7"/>
      <c r="BY142" s="7" t="s">
        <v>8</v>
      </c>
      <c r="BZ142" s="18">
        <v>0</v>
      </c>
      <c r="CA142" s="7" t="s">
        <v>28</v>
      </c>
      <c r="CB142" s="17">
        <v>1</v>
      </c>
      <c r="CC142" s="7" t="s">
        <v>974</v>
      </c>
      <c r="CD142" s="17">
        <v>1</v>
      </c>
      <c r="CE142" s="7" t="s">
        <v>8</v>
      </c>
      <c r="CF142" s="18">
        <v>0</v>
      </c>
      <c r="CG142" s="7" t="s">
        <v>5477</v>
      </c>
      <c r="CH142" s="17"/>
      <c r="CI142" s="7" t="s">
        <v>5477</v>
      </c>
      <c r="CJ142" s="17"/>
      <c r="CK142" s="7" t="s">
        <v>28</v>
      </c>
      <c r="CL142" s="17">
        <v>1</v>
      </c>
      <c r="CM142" s="7" t="s">
        <v>8</v>
      </c>
      <c r="CN142" s="17">
        <v>0</v>
      </c>
      <c r="CO142" s="7" t="s">
        <v>8</v>
      </c>
      <c r="CP142" s="18">
        <v>0</v>
      </c>
      <c r="CQ142" s="7" t="s">
        <v>69</v>
      </c>
      <c r="CR142" s="7" t="s">
        <v>1621</v>
      </c>
      <c r="CS142" s="7" t="s">
        <v>389</v>
      </c>
      <c r="CT142" s="7" t="s">
        <v>525</v>
      </c>
      <c r="CU142" s="7" t="s">
        <v>1622</v>
      </c>
      <c r="CV142" s="8" t="s">
        <v>1623</v>
      </c>
    </row>
    <row r="143" spans="1:100" ht="28.5">
      <c r="A143" s="1">
        <f t="shared" si="2"/>
        <v>142</v>
      </c>
      <c r="B143" s="9">
        <v>902</v>
      </c>
      <c r="C143" s="10">
        <v>45051</v>
      </c>
      <c r="D143" s="11" t="s">
        <v>1624</v>
      </c>
      <c r="E143" s="10">
        <v>19065</v>
      </c>
      <c r="F143" s="29">
        <f ca="1">_xlfn.DAYS(NOW(),Tabella1[[#This Row],[Data di Nascita]])/365.25</f>
        <v>73.396303901437378</v>
      </c>
      <c r="G143" s="11" t="s">
        <v>1625</v>
      </c>
      <c r="H143" s="11" t="s">
        <v>1626</v>
      </c>
      <c r="I143" s="11" t="s">
        <v>1340</v>
      </c>
      <c r="J143" s="11" t="s">
        <v>1627</v>
      </c>
      <c r="K143" s="11" t="s">
        <v>5477</v>
      </c>
      <c r="L143" s="18">
        <f>IF(ISERROR(SEARCH("EX",Tabella1[[#This Row],[Attività lavorativa]],1)),0,1)</f>
        <v>0</v>
      </c>
      <c r="M143" s="18"/>
      <c r="N143" s="18"/>
      <c r="O143" s="18"/>
      <c r="P143" s="18"/>
      <c r="Q143" s="18"/>
      <c r="R143" s="18"/>
      <c r="S143" s="18"/>
      <c r="T143" s="17">
        <f>IF(ISERROR(SEARCH("NDD",Tabella1[[#This Row],[Attività lavorativa]],1)),0,1)</f>
        <v>1</v>
      </c>
      <c r="U143" s="11" t="s">
        <v>1628</v>
      </c>
      <c r="V143" s="22">
        <v>40</v>
      </c>
      <c r="W143" s="22">
        <f>IF(ISERROR(SEARCH("ex",Tabella1[[#This Row],[Fumo]],1)),0,1)</f>
        <v>1</v>
      </c>
      <c r="X143" s="22">
        <f>IF(ISERROR(SEARCH("no",Tabella1[[#This Row],[Fumo]],1)),0,1)</f>
        <v>0</v>
      </c>
      <c r="Y143" s="11" t="s">
        <v>5477</v>
      </c>
      <c r="Z143" s="18">
        <f>IF(ISERROR(SEARCH("NDD",Tabella1[[#This Row],[Bevitore alcolici]],1)),0,1)</f>
        <v>1</v>
      </c>
      <c r="AA143" s="17">
        <f>IF(ISERROR(SEARCH("raro",Tabella1[[#This Row],[Bevitore alcolici]],1)),0,1)</f>
        <v>0</v>
      </c>
      <c r="AB143" s="17">
        <f>IF(ISERROR(SEARCH("saltuariamente",Tabella1[[#This Row],[Bevitore alcolici]],1)),0,1)</f>
        <v>0</v>
      </c>
      <c r="AC143" s="17">
        <f>IF(ISERROR(SEARCH("nega",Tabella1[[#This Row],[Bevitore alcolici]],1)),0,1)</f>
        <v>0</v>
      </c>
      <c r="AD143" s="17">
        <f>IF(ISERROR(SEARCH("potus",Tabella1[[#This Row],[Bevitore alcolici]],1)),0,1)</f>
        <v>0</v>
      </c>
      <c r="AE143" s="11" t="s">
        <v>657</v>
      </c>
      <c r="AF143" s="18"/>
      <c r="AG143" s="18"/>
      <c r="AH143" s="18"/>
      <c r="AI143" s="18"/>
      <c r="AJ143" s="18"/>
      <c r="AK143" s="11" t="s">
        <v>28</v>
      </c>
      <c r="AL143" s="18">
        <f>IF(ISERROR(SEARCH("si",Tabella1[[#This Row],[Patente di guida]],1)),0,1)</f>
        <v>1</v>
      </c>
      <c r="AM143" s="11" t="s">
        <v>28</v>
      </c>
      <c r="AN143" s="18">
        <f>IF(ISERROR(SEARCH("no",Tabella1[[#This Row],[Ipertensione]],1)),0,1)</f>
        <v>0</v>
      </c>
      <c r="AO143" s="11" t="s">
        <v>382</v>
      </c>
      <c r="AP143" s="18">
        <f>IF(ISERROR(SEARCH("NO",Tabella1[[#This Row],[Cardiopatia ischemica]],1)),1,0)</f>
        <v>0</v>
      </c>
      <c r="AQ143" s="17">
        <f>IF(ISERROR(SEARCH("sconosciuto",Tabella1[[#This Row],[Cardiopatia ischemica]],1)),0,1)</f>
        <v>0</v>
      </c>
      <c r="AR143" s="11" t="s">
        <v>25</v>
      </c>
      <c r="AS143" s="22">
        <f>IF(ISERROR(SEARCH("nega",Tabella1[[#This Row],[Artimie]],1)),0,1)</f>
        <v>1</v>
      </c>
      <c r="AT143" s="11" t="s">
        <v>25</v>
      </c>
      <c r="AU143" s="22">
        <f>IF(ISERROR(SEARCH("nega",Tabella1[[#This Row],[Ipercolesterolemia]],1)),0,1)</f>
        <v>1</v>
      </c>
      <c r="AV143" s="22">
        <f>IF(ISERROR(SEARCH("boh",Tabella1[[#This Row],[Ipercolesterolemia]],1)),0,1)</f>
        <v>0</v>
      </c>
      <c r="AW143" s="11" t="s">
        <v>8</v>
      </c>
      <c r="AX143" s="22">
        <f>IF(ISERROR(SEARCH("Intolleranza",Tabella1[[#This Row],[Diabete]],1)),0,1)</f>
        <v>0</v>
      </c>
      <c r="AY143" s="22">
        <f>IF(ISERROR(SEARCH("si",Tabella1[[#This Row],[Diabete]],1)),0,1)</f>
        <v>0</v>
      </c>
      <c r="AZ143" s="11" t="s">
        <v>8</v>
      </c>
      <c r="BA143" s="18">
        <f>IF(ISERROR(SEARCH("NDD",Tabella1[[#This Row],[Patologia Tiroidea]],1)),0,1)</f>
        <v>0</v>
      </c>
      <c r="BB143" s="22">
        <f>IF(ISERROR(SEARCH("TIROIDITE",Tabella1[[#This Row],[Patologia Tiroidea]],1)),0,1)</f>
        <v>0</v>
      </c>
      <c r="BC143" s="22">
        <f>IF(ISERROR(SEARCH("HASHIMOTO",Tabella1[[#This Row],[Patologia Tiroidea]],1)),0,1)</f>
        <v>0</v>
      </c>
      <c r="BD143" s="22">
        <f>IF(ISERROR(SEARCH("BASEDOW",Tabella1[[#This Row],[Patologia Tiroidea]],1)),0,1)</f>
        <v>0</v>
      </c>
      <c r="BE143" s="22">
        <f>IF(ISERROR(SEARCH("NOD",Tabella1[[#This Row],[Patologia Tiroidea]],1)),0,1)</f>
        <v>0</v>
      </c>
      <c r="BF143" s="22">
        <f>IF(ISERROR(SEARCH("GOZ",Tabella1[[#This Row],[Patologia Tiroidea]],1)),0,1)</f>
        <v>0</v>
      </c>
      <c r="BG143" s="11" t="s">
        <v>28</v>
      </c>
      <c r="BH143" s="18">
        <f>IF(Tabella1[[#This Row],[Obesità]]="no",0,1)</f>
        <v>1</v>
      </c>
      <c r="BI143" s="11" t="s">
        <v>28</v>
      </c>
      <c r="BJ143" s="22">
        <f>IF(ISERROR(SEARCH("nega",Tabella1[[#This Row],[Reflusso gastroesofageo]],1)),1,0)</f>
        <v>1</v>
      </c>
      <c r="BK143" s="11" t="s">
        <v>8</v>
      </c>
      <c r="BL143" s="18">
        <f>IF(ISERROR(SEARCH("NDD",Tabella1[[#This Row],[Patologia respiratoria]],1)),0,1)</f>
        <v>0</v>
      </c>
      <c r="BM143" s="18">
        <f>IF(ISERROR(SEARCH("asma",Tabella1[[#This Row],[Patologia respiratoria]],1)),0,1)</f>
        <v>0</v>
      </c>
      <c r="BN143" s="18">
        <f>IF(ISERROR(SEARCH("BPCO",Tabella1[[#This Row],[Patologia respiratoria]],1)),0,1)</f>
        <v>0</v>
      </c>
      <c r="BO143" s="18">
        <f>IF(ISERROR(SEARCH("BRONCOPOLMONITE",Tabella1[[#This Row],[Patologia respiratoria]],1)),0,1)</f>
        <v>0</v>
      </c>
      <c r="BP143" s="18">
        <f>IF(ISERROR(SEARCH("ASMA, OSAS",Tabella1[[#This Row],[Patologia respiratoria]],1)),0,1)</f>
        <v>0</v>
      </c>
      <c r="BQ143" s="18">
        <f>IF(ISERROR(SEARCH("OSAS e BPCO",Tabella1[[#This Row],[Patologia respiratoria]],1)),0,1)</f>
        <v>0</v>
      </c>
      <c r="BR143" s="18">
        <f>IF(ISERROR(SEARCH("OSAS",Tabella1[[#This Row],[Patologia respiratoria]],1)),0,1)</f>
        <v>0</v>
      </c>
      <c r="BS143" s="11"/>
      <c r="BT143" s="11" t="s">
        <v>1629</v>
      </c>
      <c r="BU143" s="11" t="s">
        <v>8</v>
      </c>
      <c r="BV143" s="18">
        <f>IF(ISERROR(SEARCH("ndd",Tabella1[[#This Row],[O2 terapia]],1)),0,1)</f>
        <v>0</v>
      </c>
      <c r="BW143" s="17">
        <v>0</v>
      </c>
      <c r="BX143" s="11"/>
      <c r="BY143" s="11" t="s">
        <v>8</v>
      </c>
      <c r="BZ143" s="18">
        <v>0</v>
      </c>
      <c r="CA143" s="11" t="s">
        <v>28</v>
      </c>
      <c r="CB143" s="17">
        <v>1</v>
      </c>
      <c r="CC143" s="11" t="s">
        <v>28</v>
      </c>
      <c r="CD143" s="17">
        <v>1</v>
      </c>
      <c r="CE143" s="11" t="s">
        <v>8</v>
      </c>
      <c r="CF143" s="18">
        <v>0</v>
      </c>
      <c r="CG143" s="11" t="s">
        <v>8</v>
      </c>
      <c r="CH143" s="17">
        <v>0</v>
      </c>
      <c r="CI143" s="11" t="s">
        <v>8</v>
      </c>
      <c r="CJ143" s="18">
        <v>0</v>
      </c>
      <c r="CK143" s="11" t="s">
        <v>28</v>
      </c>
      <c r="CL143" s="17">
        <v>1</v>
      </c>
      <c r="CM143" s="11" t="s">
        <v>8</v>
      </c>
      <c r="CN143" s="17">
        <v>0</v>
      </c>
      <c r="CO143" s="11" t="s">
        <v>28</v>
      </c>
      <c r="CP143" s="17">
        <v>1</v>
      </c>
      <c r="CQ143" s="11" t="s">
        <v>85</v>
      </c>
      <c r="CR143" s="11" t="s">
        <v>449</v>
      </c>
      <c r="CS143" s="11" t="s">
        <v>37</v>
      </c>
      <c r="CT143" s="11" t="s">
        <v>122</v>
      </c>
      <c r="CU143" s="11"/>
      <c r="CV143" s="12"/>
    </row>
    <row r="144" spans="1:100">
      <c r="A144" s="1">
        <f t="shared" si="2"/>
        <v>143</v>
      </c>
      <c r="B144" s="5">
        <v>903</v>
      </c>
      <c r="C144" s="6">
        <v>45051</v>
      </c>
      <c r="D144" s="7" t="s">
        <v>1630</v>
      </c>
      <c r="E144" s="6">
        <v>13874</v>
      </c>
      <c r="F144" s="29">
        <f ca="1">_xlfn.DAYS(NOW(),Tabella1[[#This Row],[Data di Nascita]])/365.25</f>
        <v>87.60848733744011</v>
      </c>
      <c r="G144" s="7" t="s">
        <v>1631</v>
      </c>
      <c r="H144" s="7" t="s">
        <v>1626</v>
      </c>
      <c r="I144" s="7" t="s">
        <v>1492</v>
      </c>
      <c r="J144" s="7" t="s">
        <v>618</v>
      </c>
      <c r="K144" s="7" t="s">
        <v>1632</v>
      </c>
      <c r="L144" s="17">
        <f>IF(ISERROR(SEARCH("EX",Tabella1[[#This Row],[Attività lavorativa]],1)),0,1)</f>
        <v>0</v>
      </c>
      <c r="M144" s="17"/>
      <c r="N144" s="17"/>
      <c r="O144" s="17"/>
      <c r="P144" s="17"/>
      <c r="Q144" s="17"/>
      <c r="R144" s="17">
        <v>1</v>
      </c>
      <c r="S144" s="17"/>
      <c r="T144" s="17">
        <f>IF(ISERROR(SEARCH("NDD",Tabella1[[#This Row],[Attività lavorativa]],1)),0,1)</f>
        <v>0</v>
      </c>
      <c r="U144" s="7" t="s">
        <v>8</v>
      </c>
      <c r="V144" s="22"/>
      <c r="W144" s="22">
        <f>IF(ISERROR(SEARCH("ex",Tabella1[[#This Row],[Fumo]],1)),0,1)</f>
        <v>0</v>
      </c>
      <c r="X144" s="22">
        <f>IF(ISERROR(SEARCH("no",Tabella1[[#This Row],[Fumo]],1)),0,1)</f>
        <v>1</v>
      </c>
      <c r="Y144" s="11" t="s">
        <v>5477</v>
      </c>
      <c r="Z144" s="18">
        <f>IF(ISERROR(SEARCH("NDD",Tabella1[[#This Row],[Bevitore alcolici]],1)),0,1)</f>
        <v>1</v>
      </c>
      <c r="AA144" s="17">
        <f>IF(ISERROR(SEARCH("raro",Tabella1[[#This Row],[Bevitore alcolici]],1)),0,1)</f>
        <v>0</v>
      </c>
      <c r="AB144" s="17">
        <f>IF(ISERROR(SEARCH("saltuariamente",Tabella1[[#This Row],[Bevitore alcolici]],1)),0,1)</f>
        <v>0</v>
      </c>
      <c r="AC144" s="17">
        <f>IF(ISERROR(SEARCH("nega",Tabella1[[#This Row],[Bevitore alcolici]],1)),0,1)</f>
        <v>0</v>
      </c>
      <c r="AD144" s="17">
        <f>IF(ISERROR(SEARCH("potus",Tabella1[[#This Row],[Bevitore alcolici]],1)),0,1)</f>
        <v>0</v>
      </c>
      <c r="AE144" s="7" t="s">
        <v>657</v>
      </c>
      <c r="AF144" s="17"/>
      <c r="AG144" s="17"/>
      <c r="AH144" s="17"/>
      <c r="AI144" s="17"/>
      <c r="AJ144" s="17"/>
      <c r="AK144" s="7" t="s">
        <v>28</v>
      </c>
      <c r="AL144" s="17">
        <f>IF(ISERROR(SEARCH("si",Tabella1[[#This Row],[Patente di guida]],1)),0,1)</f>
        <v>1</v>
      </c>
      <c r="AM144" s="7" t="s">
        <v>28</v>
      </c>
      <c r="AN144" s="17">
        <f>IF(ISERROR(SEARCH("no",Tabella1[[#This Row],[Ipertensione]],1)),0,1)</f>
        <v>0</v>
      </c>
      <c r="AO144" s="7" t="s">
        <v>28</v>
      </c>
      <c r="AP144" s="18">
        <f>IF(ISERROR(SEARCH("NO",Tabella1[[#This Row],[Cardiopatia ischemica]],1)),1,0)</f>
        <v>1</v>
      </c>
      <c r="AQ144" s="17">
        <f>IF(ISERROR(SEARCH("sconosciuto",Tabella1[[#This Row],[Cardiopatia ischemica]],1)),0,1)</f>
        <v>0</v>
      </c>
      <c r="AR144" s="7" t="s">
        <v>25</v>
      </c>
      <c r="AS144" s="22">
        <f>IF(ISERROR(SEARCH("nega",Tabella1[[#This Row],[Artimie]],1)),0,1)</f>
        <v>1</v>
      </c>
      <c r="AT144" s="7" t="s">
        <v>25</v>
      </c>
      <c r="AU144" s="22">
        <f>IF(ISERROR(SEARCH("nega",Tabella1[[#This Row],[Ipercolesterolemia]],1)),0,1)</f>
        <v>1</v>
      </c>
      <c r="AV144" s="22">
        <f>IF(ISERROR(SEARCH("boh",Tabella1[[#This Row],[Ipercolesterolemia]],1)),0,1)</f>
        <v>0</v>
      </c>
      <c r="AW144" s="7" t="s">
        <v>8</v>
      </c>
      <c r="AX144" s="22">
        <f>IF(ISERROR(SEARCH("Intolleranza",Tabella1[[#This Row],[Diabete]],1)),0,1)</f>
        <v>0</v>
      </c>
      <c r="AY144" s="22">
        <f>IF(ISERROR(SEARCH("si",Tabella1[[#This Row],[Diabete]],1)),0,1)</f>
        <v>0</v>
      </c>
      <c r="AZ144" s="7" t="s">
        <v>8</v>
      </c>
      <c r="BA144" s="17">
        <f>IF(ISERROR(SEARCH("NDD",Tabella1[[#This Row],[Patologia Tiroidea]],1)),0,1)</f>
        <v>0</v>
      </c>
      <c r="BB144" s="22">
        <f>IF(ISERROR(SEARCH("TIROIDITE",Tabella1[[#This Row],[Patologia Tiroidea]],1)),0,1)</f>
        <v>0</v>
      </c>
      <c r="BC144" s="22">
        <f>IF(ISERROR(SEARCH("HASHIMOTO",Tabella1[[#This Row],[Patologia Tiroidea]],1)),0,1)</f>
        <v>0</v>
      </c>
      <c r="BD144" s="22">
        <f>IF(ISERROR(SEARCH("BASEDOW",Tabella1[[#This Row],[Patologia Tiroidea]],1)),0,1)</f>
        <v>0</v>
      </c>
      <c r="BE144" s="22">
        <f>IF(ISERROR(SEARCH("NOD",Tabella1[[#This Row],[Patologia Tiroidea]],1)),0,1)</f>
        <v>0</v>
      </c>
      <c r="BF144" s="22">
        <f>IF(ISERROR(SEARCH("GOZ",Tabella1[[#This Row],[Patologia Tiroidea]],1)),0,1)</f>
        <v>0</v>
      </c>
      <c r="BG144" s="7" t="s">
        <v>8</v>
      </c>
      <c r="BH144" s="17">
        <f>IF(Tabella1[[#This Row],[Obesità]]="no",0,1)</f>
        <v>0</v>
      </c>
      <c r="BI144" s="7" t="s">
        <v>25</v>
      </c>
      <c r="BJ144" s="22">
        <f>IF(ISERROR(SEARCH("nega",Tabella1[[#This Row],[Reflusso gastroesofageo]],1)),1,0)</f>
        <v>0</v>
      </c>
      <c r="BK144" s="7" t="s">
        <v>8</v>
      </c>
      <c r="BL144" s="17">
        <f>IF(ISERROR(SEARCH("NDD",Tabella1[[#This Row],[Patologia respiratoria]],1)),0,1)</f>
        <v>0</v>
      </c>
      <c r="BM144" s="17">
        <f>IF(ISERROR(SEARCH("asma",Tabella1[[#This Row],[Patologia respiratoria]],1)),0,1)</f>
        <v>0</v>
      </c>
      <c r="BN144" s="17">
        <f>IF(ISERROR(SEARCH("BPCO",Tabella1[[#This Row],[Patologia respiratoria]],1)),0,1)</f>
        <v>0</v>
      </c>
      <c r="BO144" s="17">
        <f>IF(ISERROR(SEARCH("BRONCOPOLMONITE",Tabella1[[#This Row],[Patologia respiratoria]],1)),0,1)</f>
        <v>0</v>
      </c>
      <c r="BP144" s="17">
        <f>IF(ISERROR(SEARCH("ASMA, OSAS",Tabella1[[#This Row],[Patologia respiratoria]],1)),0,1)</f>
        <v>0</v>
      </c>
      <c r="BQ144" s="17">
        <f>IF(ISERROR(SEARCH("OSAS e BPCO",Tabella1[[#This Row],[Patologia respiratoria]],1)),0,1)</f>
        <v>0</v>
      </c>
      <c r="BR144" s="17">
        <f>IF(ISERROR(SEARCH("OSAS",Tabella1[[#This Row],[Patologia respiratoria]],1)),0,1)</f>
        <v>0</v>
      </c>
      <c r="BS144" s="7"/>
      <c r="BT144" s="7"/>
      <c r="BU144" s="7" t="s">
        <v>8</v>
      </c>
      <c r="BV144" s="17">
        <f>IF(ISERROR(SEARCH("ndd",Tabella1[[#This Row],[O2 terapia]],1)),0,1)</f>
        <v>0</v>
      </c>
      <c r="BW144" s="17">
        <v>0</v>
      </c>
      <c r="BX144" s="7"/>
      <c r="BY144" s="7" t="s">
        <v>8</v>
      </c>
      <c r="BZ144" s="18">
        <v>0</v>
      </c>
      <c r="CA144" s="7" t="s">
        <v>28</v>
      </c>
      <c r="CB144" s="17">
        <v>1</v>
      </c>
      <c r="CC144" s="7" t="s">
        <v>28</v>
      </c>
      <c r="CD144" s="17">
        <v>1</v>
      </c>
      <c r="CE144" s="7" t="s">
        <v>8</v>
      </c>
      <c r="CF144" s="18">
        <v>0</v>
      </c>
      <c r="CG144" s="7" t="s">
        <v>28</v>
      </c>
      <c r="CH144" s="17">
        <v>1</v>
      </c>
      <c r="CI144" s="7" t="s">
        <v>8</v>
      </c>
      <c r="CJ144" s="18">
        <v>0</v>
      </c>
      <c r="CK144" s="7" t="s">
        <v>28</v>
      </c>
      <c r="CL144" s="17">
        <v>1</v>
      </c>
      <c r="CM144" s="7" t="s">
        <v>28</v>
      </c>
      <c r="CN144" s="17">
        <v>1</v>
      </c>
      <c r="CO144" s="7" t="s">
        <v>8</v>
      </c>
      <c r="CP144" s="18">
        <v>0</v>
      </c>
      <c r="CQ144" s="7" t="s">
        <v>202</v>
      </c>
      <c r="CR144" s="7" t="s">
        <v>168</v>
      </c>
      <c r="CS144" s="7"/>
      <c r="CT144" s="7"/>
      <c r="CU144" s="7"/>
      <c r="CV144" s="8"/>
    </row>
    <row r="145" spans="1:100" ht="42.75">
      <c r="A145" s="1">
        <f t="shared" si="2"/>
        <v>144</v>
      </c>
      <c r="B145" s="9">
        <v>904</v>
      </c>
      <c r="C145" s="10">
        <v>45051</v>
      </c>
      <c r="D145" s="11" t="s">
        <v>1633</v>
      </c>
      <c r="E145" s="10">
        <v>25834</v>
      </c>
      <c r="F145" s="29">
        <f ca="1">_xlfn.DAYS(NOW(),Tabella1[[#This Row],[Data di Nascita]])/365.25</f>
        <v>54.86379192334018</v>
      </c>
      <c r="G145" s="11" t="s">
        <v>1634</v>
      </c>
      <c r="H145" s="11" t="s">
        <v>1635</v>
      </c>
      <c r="I145" s="11" t="s">
        <v>1492</v>
      </c>
      <c r="J145" s="11" t="s">
        <v>618</v>
      </c>
      <c r="K145" s="11" t="s">
        <v>1636</v>
      </c>
      <c r="L145" s="18">
        <f>IF(ISERROR(SEARCH("EX",Tabella1[[#This Row],[Attività lavorativa]],1)),0,1)</f>
        <v>0</v>
      </c>
      <c r="M145" s="18">
        <v>1</v>
      </c>
      <c r="N145" s="18"/>
      <c r="O145" s="18"/>
      <c r="P145" s="18"/>
      <c r="Q145" s="18"/>
      <c r="R145" s="18"/>
      <c r="S145" s="18"/>
      <c r="T145" s="17">
        <f>IF(ISERROR(SEARCH("NDD",Tabella1[[#This Row],[Attività lavorativa]],1)),0,1)</f>
        <v>0</v>
      </c>
      <c r="U145" s="11" t="s">
        <v>1637</v>
      </c>
      <c r="V145" s="22">
        <v>5</v>
      </c>
      <c r="W145" s="22">
        <f>IF(ISERROR(SEARCH("ex",Tabella1[[#This Row],[Fumo]],1)),0,1)</f>
        <v>0</v>
      </c>
      <c r="X145" s="22">
        <f>IF(ISERROR(SEARCH("no",Tabella1[[#This Row],[Fumo]],1)),0,1)</f>
        <v>0</v>
      </c>
      <c r="Y145" s="11" t="s">
        <v>1395</v>
      </c>
      <c r="Z145" s="18">
        <f>IF(ISERROR(SEARCH("NDD",Tabella1[[#This Row],[Bevitore alcolici]],1)),0,1)</f>
        <v>0</v>
      </c>
      <c r="AA145" s="17">
        <f>IF(ISERROR(SEARCH("raro",Tabella1[[#This Row],[Bevitore alcolici]],1)),0,1)</f>
        <v>1</v>
      </c>
      <c r="AB145" s="17">
        <f>IF(ISERROR(SEARCH("saltuariamente",Tabella1[[#This Row],[Bevitore alcolici]],1)),0,1)</f>
        <v>0</v>
      </c>
      <c r="AC145" s="17">
        <f>IF(ISERROR(SEARCH("nega",Tabella1[[#This Row],[Bevitore alcolici]],1)),0,1)</f>
        <v>0</v>
      </c>
      <c r="AD145" s="17">
        <f>IF(ISERROR(SEARCH("potus",Tabella1[[#This Row],[Bevitore alcolici]],1)),0,1)</f>
        <v>0</v>
      </c>
      <c r="AE145" s="11" t="s">
        <v>657</v>
      </c>
      <c r="AF145" s="18"/>
      <c r="AG145" s="18"/>
      <c r="AH145" s="18"/>
      <c r="AI145" s="18"/>
      <c r="AJ145" s="18"/>
      <c r="AK145" s="11" t="s">
        <v>28</v>
      </c>
      <c r="AL145" s="18">
        <f>IF(ISERROR(SEARCH("si",Tabella1[[#This Row],[Patente di guida]],1)),0,1)</f>
        <v>1</v>
      </c>
      <c r="AM145" s="11" t="s">
        <v>8</v>
      </c>
      <c r="AN145" s="18">
        <f>IF(ISERROR(SEARCH("no",Tabella1[[#This Row],[Ipertensione]],1)),0,1)</f>
        <v>1</v>
      </c>
      <c r="AO145" s="11" t="s">
        <v>382</v>
      </c>
      <c r="AP145" s="18">
        <f>IF(ISERROR(SEARCH("NO",Tabella1[[#This Row],[Cardiopatia ischemica]],1)),1,0)</f>
        <v>0</v>
      </c>
      <c r="AQ145" s="17">
        <f>IF(ISERROR(SEARCH("sconosciuto",Tabella1[[#This Row],[Cardiopatia ischemica]],1)),0,1)</f>
        <v>0</v>
      </c>
      <c r="AR145" s="11" t="s">
        <v>25</v>
      </c>
      <c r="AS145" s="22">
        <f>IF(ISERROR(SEARCH("nega",Tabella1[[#This Row],[Artimie]],1)),0,1)</f>
        <v>1</v>
      </c>
      <c r="AT145" s="11" t="s">
        <v>25</v>
      </c>
      <c r="AU145" s="22">
        <f>IF(ISERROR(SEARCH("nega",Tabella1[[#This Row],[Ipercolesterolemia]],1)),0,1)</f>
        <v>1</v>
      </c>
      <c r="AV145" s="22">
        <f>IF(ISERROR(SEARCH("boh",Tabella1[[#This Row],[Ipercolesterolemia]],1)),0,1)</f>
        <v>0</v>
      </c>
      <c r="AW145" s="11" t="s">
        <v>8</v>
      </c>
      <c r="AX145" s="22">
        <f>IF(ISERROR(SEARCH("Intolleranza",Tabella1[[#This Row],[Diabete]],1)),0,1)</f>
        <v>0</v>
      </c>
      <c r="AY145" s="22">
        <f>IF(ISERROR(SEARCH("si",Tabella1[[#This Row],[Diabete]],1)),0,1)</f>
        <v>0</v>
      </c>
      <c r="AZ145" s="11" t="s">
        <v>8</v>
      </c>
      <c r="BA145" s="18">
        <f>IF(ISERROR(SEARCH("NDD",Tabella1[[#This Row],[Patologia Tiroidea]],1)),0,1)</f>
        <v>0</v>
      </c>
      <c r="BB145" s="22">
        <f>IF(ISERROR(SEARCH("TIROIDITE",Tabella1[[#This Row],[Patologia Tiroidea]],1)),0,1)</f>
        <v>0</v>
      </c>
      <c r="BC145" s="22">
        <f>IF(ISERROR(SEARCH("HASHIMOTO",Tabella1[[#This Row],[Patologia Tiroidea]],1)),0,1)</f>
        <v>0</v>
      </c>
      <c r="BD145" s="22">
        <f>IF(ISERROR(SEARCH("BASEDOW",Tabella1[[#This Row],[Patologia Tiroidea]],1)),0,1)</f>
        <v>0</v>
      </c>
      <c r="BE145" s="22">
        <f>IF(ISERROR(SEARCH("NOD",Tabella1[[#This Row],[Patologia Tiroidea]],1)),0,1)</f>
        <v>0</v>
      </c>
      <c r="BF145" s="22">
        <f>IF(ISERROR(SEARCH("GOZ",Tabella1[[#This Row],[Patologia Tiroidea]],1)),0,1)</f>
        <v>0</v>
      </c>
      <c r="BG145" s="11" t="s">
        <v>8</v>
      </c>
      <c r="BH145" s="18">
        <f>IF(Tabella1[[#This Row],[Obesità]]="no",0,1)</f>
        <v>0</v>
      </c>
      <c r="BI145" s="11" t="s">
        <v>28</v>
      </c>
      <c r="BJ145" s="22">
        <f>IF(ISERROR(SEARCH("nega",Tabella1[[#This Row],[Reflusso gastroesofageo]],1)),1,0)</f>
        <v>1</v>
      </c>
      <c r="BK145" s="7" t="s">
        <v>5477</v>
      </c>
      <c r="BL145" s="17">
        <f>IF(ISERROR(SEARCH("NDD",Tabella1[[#This Row],[Patologia respiratoria]],1)),0,1)</f>
        <v>1</v>
      </c>
      <c r="BM145" s="18">
        <f>IF(ISERROR(SEARCH("asma",Tabella1[[#This Row],[Patologia respiratoria]],1)),0,1)</f>
        <v>0</v>
      </c>
      <c r="BN145" s="18">
        <f>IF(ISERROR(SEARCH("BPCO",Tabella1[[#This Row],[Patologia respiratoria]],1)),0,1)</f>
        <v>0</v>
      </c>
      <c r="BO145" s="18">
        <f>IF(ISERROR(SEARCH("BRONCOPOLMONITE",Tabella1[[#This Row],[Patologia respiratoria]],1)),0,1)</f>
        <v>0</v>
      </c>
      <c r="BP145" s="18">
        <f>IF(ISERROR(SEARCH("ASMA, OSAS",Tabella1[[#This Row],[Patologia respiratoria]],1)),0,1)</f>
        <v>0</v>
      </c>
      <c r="BQ145" s="18">
        <f>IF(ISERROR(SEARCH("OSAS e BPCO",Tabella1[[#This Row],[Patologia respiratoria]],1)),0,1)</f>
        <v>0</v>
      </c>
      <c r="BR145" s="18">
        <f>IF(ISERROR(SEARCH("OSAS",Tabella1[[#This Row],[Patologia respiratoria]],1)),0,1)</f>
        <v>0</v>
      </c>
      <c r="BS145" s="11"/>
      <c r="BT145" s="11"/>
      <c r="BU145" s="11" t="s">
        <v>8</v>
      </c>
      <c r="BV145" s="18">
        <f>IF(ISERROR(SEARCH("ndd",Tabella1[[#This Row],[O2 terapia]],1)),0,1)</f>
        <v>0</v>
      </c>
      <c r="BW145" s="17">
        <v>0</v>
      </c>
      <c r="BX145" s="11"/>
      <c r="BY145" s="11" t="s">
        <v>8</v>
      </c>
      <c r="BZ145" s="18">
        <v>0</v>
      </c>
      <c r="CA145" s="11" t="s">
        <v>352</v>
      </c>
      <c r="CB145" s="17">
        <v>1</v>
      </c>
      <c r="CC145" s="11" t="s">
        <v>8</v>
      </c>
      <c r="CD145" s="18">
        <v>0</v>
      </c>
      <c r="CE145" s="11" t="s">
        <v>8</v>
      </c>
      <c r="CF145" s="18">
        <v>0</v>
      </c>
      <c r="CG145" s="11" t="s">
        <v>28</v>
      </c>
      <c r="CH145" s="17">
        <v>1</v>
      </c>
      <c r="CI145" s="7" t="s">
        <v>5477</v>
      </c>
      <c r="CJ145" s="18"/>
      <c r="CK145" s="11" t="s">
        <v>8</v>
      </c>
      <c r="CL145" s="17">
        <v>0</v>
      </c>
      <c r="CM145" s="11" t="s">
        <v>28</v>
      </c>
      <c r="CN145" s="17">
        <v>1</v>
      </c>
      <c r="CO145" s="11" t="s">
        <v>8</v>
      </c>
      <c r="CP145" s="18">
        <v>0</v>
      </c>
      <c r="CQ145" s="11" t="s">
        <v>85</v>
      </c>
      <c r="CR145" s="11" t="s">
        <v>1638</v>
      </c>
      <c r="CS145" s="11" t="s">
        <v>37</v>
      </c>
      <c r="CT145" s="11" t="s">
        <v>262</v>
      </c>
      <c r="CU145" s="11" t="s">
        <v>1513</v>
      </c>
      <c r="CV145" s="12"/>
    </row>
    <row r="146" spans="1:100">
      <c r="A146" s="1">
        <f t="shared" si="2"/>
        <v>145</v>
      </c>
      <c r="B146" s="5">
        <v>905</v>
      </c>
      <c r="C146" s="6">
        <v>45051</v>
      </c>
      <c r="D146" s="7" t="s">
        <v>1639</v>
      </c>
      <c r="E146" s="6">
        <v>15780</v>
      </c>
      <c r="F146" s="29">
        <f ca="1">_xlfn.DAYS(NOW(),Tabella1[[#This Row],[Data di Nascita]])/365.25</f>
        <v>82.390143737166326</v>
      </c>
      <c r="G146" s="7"/>
      <c r="H146" s="7" t="s">
        <v>1640</v>
      </c>
      <c r="I146" s="7" t="s">
        <v>1492</v>
      </c>
      <c r="J146" s="7" t="s">
        <v>618</v>
      </c>
      <c r="K146" s="7" t="s">
        <v>1641</v>
      </c>
      <c r="L146" s="17">
        <f>IF(ISERROR(SEARCH("EX",Tabella1[[#This Row],[Attività lavorativa]],1)),0,1)</f>
        <v>0</v>
      </c>
      <c r="M146" s="17"/>
      <c r="N146" s="17">
        <v>1</v>
      </c>
      <c r="O146" s="17"/>
      <c r="P146" s="17"/>
      <c r="Q146" s="17"/>
      <c r="R146" s="17"/>
      <c r="S146" s="17"/>
      <c r="T146" s="17">
        <f>IF(ISERROR(SEARCH("NDD",Tabella1[[#This Row],[Attività lavorativa]],1)),0,1)</f>
        <v>0</v>
      </c>
      <c r="U146" s="7" t="s">
        <v>1642</v>
      </c>
      <c r="V146" s="22">
        <v>15</v>
      </c>
      <c r="W146" s="22">
        <f>IF(ISERROR(SEARCH("ex",Tabella1[[#This Row],[Fumo]],1)),0,1)</f>
        <v>0</v>
      </c>
      <c r="X146" s="22">
        <f>IF(ISERROR(SEARCH("no",Tabella1[[#This Row],[Fumo]],1)),0,1)</f>
        <v>0</v>
      </c>
      <c r="Y146" s="7" t="s">
        <v>25</v>
      </c>
      <c r="Z146" s="17">
        <f>IF(ISERROR(SEARCH("NDD",Tabella1[[#This Row],[Bevitore alcolici]],1)),0,1)</f>
        <v>0</v>
      </c>
      <c r="AA146" s="17">
        <f>IF(ISERROR(SEARCH("raro",Tabella1[[#This Row],[Bevitore alcolici]],1)),0,1)</f>
        <v>0</v>
      </c>
      <c r="AB146" s="17">
        <f>IF(ISERROR(SEARCH("saltuariamente",Tabella1[[#This Row],[Bevitore alcolici]],1)),0,1)</f>
        <v>0</v>
      </c>
      <c r="AC146" s="17">
        <f>IF(ISERROR(SEARCH("nega",Tabella1[[#This Row],[Bevitore alcolici]],1)),0,1)</f>
        <v>1</v>
      </c>
      <c r="AD146" s="17">
        <f>IF(ISERROR(SEARCH("potus",Tabella1[[#This Row],[Bevitore alcolici]],1)),0,1)</f>
        <v>0</v>
      </c>
      <c r="AE146" s="7" t="s">
        <v>657</v>
      </c>
      <c r="AF146" s="17"/>
      <c r="AG146" s="17"/>
      <c r="AH146" s="17"/>
      <c r="AI146" s="17"/>
      <c r="AJ146" s="17"/>
      <c r="AK146" s="7" t="s">
        <v>8</v>
      </c>
      <c r="AL146" s="17">
        <f>IF(ISERROR(SEARCH("si",Tabella1[[#This Row],[Patente di guida]],1)),0,1)</f>
        <v>0</v>
      </c>
      <c r="AM146" s="7" t="s">
        <v>28</v>
      </c>
      <c r="AN146" s="17">
        <f>IF(ISERROR(SEARCH("no",Tabella1[[#This Row],[Ipertensione]],1)),0,1)</f>
        <v>0</v>
      </c>
      <c r="AO146" s="7" t="s">
        <v>382</v>
      </c>
      <c r="AP146" s="18">
        <f>IF(ISERROR(SEARCH("NO",Tabella1[[#This Row],[Cardiopatia ischemica]],1)),1,0)</f>
        <v>0</v>
      </c>
      <c r="AQ146" s="17">
        <f>IF(ISERROR(SEARCH("sconosciuto",Tabella1[[#This Row],[Cardiopatia ischemica]],1)),0,1)</f>
        <v>0</v>
      </c>
      <c r="AR146" s="7" t="s">
        <v>25</v>
      </c>
      <c r="AS146" s="22">
        <f>IF(ISERROR(SEARCH("nega",Tabella1[[#This Row],[Artimie]],1)),0,1)</f>
        <v>1</v>
      </c>
      <c r="AT146" s="7" t="s">
        <v>28</v>
      </c>
      <c r="AU146" s="22">
        <f>IF(ISERROR(SEARCH("nega",Tabella1[[#This Row],[Ipercolesterolemia]],1)),0,1)</f>
        <v>0</v>
      </c>
      <c r="AV146" s="22">
        <f>IF(ISERROR(SEARCH("boh",Tabella1[[#This Row],[Ipercolesterolemia]],1)),0,1)</f>
        <v>0</v>
      </c>
      <c r="AW146" s="7" t="s">
        <v>28</v>
      </c>
      <c r="AX146" s="22">
        <f>IF(ISERROR(SEARCH("Intolleranza",Tabella1[[#This Row],[Diabete]],1)),0,1)</f>
        <v>0</v>
      </c>
      <c r="AY146" s="22">
        <f>IF(ISERROR(SEARCH("si",Tabella1[[#This Row],[Diabete]],1)),0,1)</f>
        <v>1</v>
      </c>
      <c r="AZ146" s="7" t="s">
        <v>8</v>
      </c>
      <c r="BA146" s="17">
        <f>IF(ISERROR(SEARCH("NDD",Tabella1[[#This Row],[Patologia Tiroidea]],1)),0,1)</f>
        <v>0</v>
      </c>
      <c r="BB146" s="22">
        <f>IF(ISERROR(SEARCH("TIROIDITE",Tabella1[[#This Row],[Patologia Tiroidea]],1)),0,1)</f>
        <v>0</v>
      </c>
      <c r="BC146" s="22">
        <f>IF(ISERROR(SEARCH("HASHIMOTO",Tabella1[[#This Row],[Patologia Tiroidea]],1)),0,1)</f>
        <v>0</v>
      </c>
      <c r="BD146" s="22">
        <f>IF(ISERROR(SEARCH("BASEDOW",Tabella1[[#This Row],[Patologia Tiroidea]],1)),0,1)</f>
        <v>0</v>
      </c>
      <c r="BE146" s="22">
        <f>IF(ISERROR(SEARCH("NOD",Tabella1[[#This Row],[Patologia Tiroidea]],1)),0,1)</f>
        <v>0</v>
      </c>
      <c r="BF146" s="22">
        <f>IF(ISERROR(SEARCH("GOZ",Tabella1[[#This Row],[Patologia Tiroidea]],1)),0,1)</f>
        <v>0</v>
      </c>
      <c r="BG146" s="7" t="s">
        <v>8</v>
      </c>
      <c r="BH146" s="17">
        <f>IF(Tabella1[[#This Row],[Obesità]]="no",0,1)</f>
        <v>0</v>
      </c>
      <c r="BI146" s="7" t="s">
        <v>25</v>
      </c>
      <c r="BJ146" s="22">
        <f>IF(ISERROR(SEARCH("nega",Tabella1[[#This Row],[Reflusso gastroesofageo]],1)),1,0)</f>
        <v>0</v>
      </c>
      <c r="BK146" s="7" t="s">
        <v>8</v>
      </c>
      <c r="BL146" s="17">
        <f>IF(ISERROR(SEARCH("NDD",Tabella1[[#This Row],[Patologia respiratoria]],1)),0,1)</f>
        <v>0</v>
      </c>
      <c r="BM146" s="17">
        <f>IF(ISERROR(SEARCH("asma",Tabella1[[#This Row],[Patologia respiratoria]],1)),0,1)</f>
        <v>0</v>
      </c>
      <c r="BN146" s="17">
        <f>IF(ISERROR(SEARCH("BPCO",Tabella1[[#This Row],[Patologia respiratoria]],1)),0,1)</f>
        <v>0</v>
      </c>
      <c r="BO146" s="17">
        <f>IF(ISERROR(SEARCH("BRONCOPOLMONITE",Tabella1[[#This Row],[Patologia respiratoria]],1)),0,1)</f>
        <v>0</v>
      </c>
      <c r="BP146" s="17">
        <f>IF(ISERROR(SEARCH("ASMA, OSAS",Tabella1[[#This Row],[Patologia respiratoria]],1)),0,1)</f>
        <v>0</v>
      </c>
      <c r="BQ146" s="17">
        <f>IF(ISERROR(SEARCH("OSAS e BPCO",Tabella1[[#This Row],[Patologia respiratoria]],1)),0,1)</f>
        <v>0</v>
      </c>
      <c r="BR146" s="17">
        <f>IF(ISERROR(SEARCH("OSAS",Tabella1[[#This Row],[Patologia respiratoria]],1)),0,1)</f>
        <v>0</v>
      </c>
      <c r="BS146" s="7"/>
      <c r="BT146" s="7"/>
      <c r="BU146" s="7" t="s">
        <v>8</v>
      </c>
      <c r="BV146" s="17">
        <f>IF(ISERROR(SEARCH("ndd",Tabella1[[#This Row],[O2 terapia]],1)),0,1)</f>
        <v>0</v>
      </c>
      <c r="BW146" s="17">
        <v>0</v>
      </c>
      <c r="BX146" s="7"/>
      <c r="BY146" s="7" t="s">
        <v>8</v>
      </c>
      <c r="BZ146" s="18">
        <v>0</v>
      </c>
      <c r="CA146" s="7" t="s">
        <v>8</v>
      </c>
      <c r="CB146" s="17">
        <v>0</v>
      </c>
      <c r="CC146" s="7" t="s">
        <v>8</v>
      </c>
      <c r="CD146" s="18">
        <v>0</v>
      </c>
      <c r="CE146" s="7" t="s">
        <v>8</v>
      </c>
      <c r="CF146" s="18">
        <v>0</v>
      </c>
      <c r="CG146" s="7" t="s">
        <v>354</v>
      </c>
      <c r="CH146" s="17">
        <v>1</v>
      </c>
      <c r="CI146" s="7" t="s">
        <v>8</v>
      </c>
      <c r="CJ146" s="18">
        <v>0</v>
      </c>
      <c r="CK146" s="7" t="s">
        <v>28</v>
      </c>
      <c r="CL146" s="17">
        <v>1</v>
      </c>
      <c r="CM146" s="7" t="s">
        <v>28</v>
      </c>
      <c r="CN146" s="17">
        <v>1</v>
      </c>
      <c r="CO146" s="7" t="s">
        <v>8</v>
      </c>
      <c r="CP146" s="18">
        <v>0</v>
      </c>
      <c r="CQ146" s="7" t="s">
        <v>103</v>
      </c>
      <c r="CR146" s="7" t="s">
        <v>70</v>
      </c>
      <c r="CS146" s="7" t="s">
        <v>71</v>
      </c>
      <c r="CT146" s="7" t="s">
        <v>154</v>
      </c>
      <c r="CU146" s="7"/>
      <c r="CV146" s="8"/>
    </row>
    <row r="147" spans="1:100" ht="242.25">
      <c r="A147" s="1">
        <f t="shared" si="2"/>
        <v>146</v>
      </c>
      <c r="B147" s="9">
        <v>908</v>
      </c>
      <c r="C147" s="10">
        <v>45057</v>
      </c>
      <c r="D147" s="11" t="s">
        <v>1643</v>
      </c>
      <c r="E147" s="10">
        <v>31853</v>
      </c>
      <c r="F147" s="29">
        <f ca="1">_xlfn.DAYS(NOW(),Tabella1[[#This Row],[Data di Nascita]])/365.25</f>
        <v>38.384668035592057</v>
      </c>
      <c r="G147" s="11" t="s">
        <v>1644</v>
      </c>
      <c r="H147" s="11" t="s">
        <v>1645</v>
      </c>
      <c r="I147" s="11" t="s">
        <v>955</v>
      </c>
      <c r="J147" s="11" t="s">
        <v>1358</v>
      </c>
      <c r="K147" s="11" t="s">
        <v>5607</v>
      </c>
      <c r="L147" s="18">
        <v>0</v>
      </c>
      <c r="M147" s="18"/>
      <c r="N147" s="18"/>
      <c r="O147" s="18"/>
      <c r="P147" s="18">
        <v>1</v>
      </c>
      <c r="Q147" s="18"/>
      <c r="R147" s="18"/>
      <c r="S147" s="18"/>
      <c r="T147" s="17">
        <f>IF(ISERROR(SEARCH("NDD",Tabella1[[#This Row],[Attività lavorativa]],1)),0,1)</f>
        <v>0</v>
      </c>
      <c r="U147" s="11" t="s">
        <v>1646</v>
      </c>
      <c r="V147" s="22">
        <v>4</v>
      </c>
      <c r="W147" s="22">
        <f>IF(ISERROR(SEARCH("ex",Tabella1[[#This Row],[Fumo]],1)),0,1)</f>
        <v>0</v>
      </c>
      <c r="X147" s="22">
        <f>IF(ISERROR(SEARCH("no",Tabella1[[#This Row],[Fumo]],1)),0,1)</f>
        <v>0</v>
      </c>
      <c r="Y147" s="11" t="s">
        <v>25</v>
      </c>
      <c r="Z147" s="18">
        <f>IF(ISERROR(SEARCH("NDD",Tabella1[[#This Row],[Bevitore alcolici]],1)),0,1)</f>
        <v>0</v>
      </c>
      <c r="AA147" s="17">
        <f>IF(ISERROR(SEARCH("raro",Tabella1[[#This Row],[Bevitore alcolici]],1)),0,1)</f>
        <v>0</v>
      </c>
      <c r="AB147" s="17">
        <f>IF(ISERROR(SEARCH("saltuariamente",Tabella1[[#This Row],[Bevitore alcolici]],1)),0,1)</f>
        <v>0</v>
      </c>
      <c r="AC147" s="17">
        <f>IF(ISERROR(SEARCH("nega",Tabella1[[#This Row],[Bevitore alcolici]],1)),0,1)</f>
        <v>1</v>
      </c>
      <c r="AD147" s="17">
        <f>IF(ISERROR(SEARCH("potus",Tabella1[[#This Row],[Bevitore alcolici]],1)),0,1)</f>
        <v>0</v>
      </c>
      <c r="AE147" s="11" t="s">
        <v>657</v>
      </c>
      <c r="AF147" s="18"/>
      <c r="AG147" s="18"/>
      <c r="AH147" s="18"/>
      <c r="AI147" s="18"/>
      <c r="AJ147" s="18"/>
      <c r="AK147" s="11" t="s">
        <v>8</v>
      </c>
      <c r="AL147" s="18">
        <f>IF(ISERROR(SEARCH("si",Tabella1[[#This Row],[Patente di guida]],1)),0,1)</f>
        <v>0</v>
      </c>
      <c r="AM147" s="11" t="s">
        <v>8</v>
      </c>
      <c r="AN147" s="18">
        <f>IF(ISERROR(SEARCH("no",Tabella1[[#This Row],[Ipertensione]],1)),0,1)</f>
        <v>1</v>
      </c>
      <c r="AO147" s="11" t="s">
        <v>382</v>
      </c>
      <c r="AP147" s="18">
        <f>IF(ISERROR(SEARCH("NO",Tabella1[[#This Row],[Cardiopatia ischemica]],1)),1,0)</f>
        <v>0</v>
      </c>
      <c r="AQ147" s="17">
        <f>IF(ISERROR(SEARCH("sconosciuto",Tabella1[[#This Row],[Cardiopatia ischemica]],1)),0,1)</f>
        <v>0</v>
      </c>
      <c r="AR147" s="11" t="s">
        <v>25</v>
      </c>
      <c r="AS147" s="22">
        <f>IF(ISERROR(SEARCH("nega",Tabella1[[#This Row],[Artimie]],1)),0,1)</f>
        <v>1</v>
      </c>
      <c r="AT147" s="11" t="s">
        <v>25</v>
      </c>
      <c r="AU147" s="22">
        <f>IF(ISERROR(SEARCH("nega",Tabella1[[#This Row],[Ipercolesterolemia]],1)),0,1)</f>
        <v>1</v>
      </c>
      <c r="AV147" s="22">
        <f>IF(ISERROR(SEARCH("boh",Tabella1[[#This Row],[Ipercolesterolemia]],1)),0,1)</f>
        <v>0</v>
      </c>
      <c r="AW147" s="11" t="s">
        <v>8</v>
      </c>
      <c r="AX147" s="22">
        <f>IF(ISERROR(SEARCH("Intolleranza",Tabella1[[#This Row],[Diabete]],1)),0,1)</f>
        <v>0</v>
      </c>
      <c r="AY147" s="22">
        <f>IF(ISERROR(SEARCH("si",Tabella1[[#This Row],[Diabete]],1)),0,1)</f>
        <v>0</v>
      </c>
      <c r="AZ147" s="11" t="s">
        <v>8</v>
      </c>
      <c r="BA147" s="18">
        <f>IF(ISERROR(SEARCH("NDD",Tabella1[[#This Row],[Patologia Tiroidea]],1)),0,1)</f>
        <v>0</v>
      </c>
      <c r="BB147" s="22">
        <f>IF(ISERROR(SEARCH("TIROIDITE",Tabella1[[#This Row],[Patologia Tiroidea]],1)),0,1)</f>
        <v>0</v>
      </c>
      <c r="BC147" s="22">
        <f>IF(ISERROR(SEARCH("HASHIMOTO",Tabella1[[#This Row],[Patologia Tiroidea]],1)),0,1)</f>
        <v>0</v>
      </c>
      <c r="BD147" s="22">
        <f>IF(ISERROR(SEARCH("BASEDOW",Tabella1[[#This Row],[Patologia Tiroidea]],1)),0,1)</f>
        <v>0</v>
      </c>
      <c r="BE147" s="22">
        <f>IF(ISERROR(SEARCH("NOD",Tabella1[[#This Row],[Patologia Tiroidea]],1)),0,1)</f>
        <v>0</v>
      </c>
      <c r="BF147" s="22">
        <f>IF(ISERROR(SEARCH("GOZ",Tabella1[[#This Row],[Patologia Tiroidea]],1)),0,1)</f>
        <v>0</v>
      </c>
      <c r="BG147" s="11" t="s">
        <v>28</v>
      </c>
      <c r="BH147" s="18">
        <f>IF(Tabella1[[#This Row],[Obesità]]="no",0,1)</f>
        <v>1</v>
      </c>
      <c r="BI147" s="11" t="s">
        <v>25</v>
      </c>
      <c r="BJ147" s="22">
        <f>IF(ISERROR(SEARCH("nega",Tabella1[[#This Row],[Reflusso gastroesofageo]],1)),1,0)</f>
        <v>0</v>
      </c>
      <c r="BK147" s="11" t="s">
        <v>3807</v>
      </c>
      <c r="BL147" s="18">
        <f>IF(ISERROR(SEARCH("NDD",Tabella1[[#This Row],[Patologia respiratoria]],1)),0,1)</f>
        <v>0</v>
      </c>
      <c r="BM147" s="18">
        <f>IF(ISERROR(SEARCH("asma",Tabella1[[#This Row],[Patologia respiratoria]],1)),0,1)</f>
        <v>1</v>
      </c>
      <c r="BN147" s="18">
        <f>IF(ISERROR(SEARCH("BPCO",Tabella1[[#This Row],[Patologia respiratoria]],1)),0,1)</f>
        <v>0</v>
      </c>
      <c r="BO147" s="18">
        <f>IF(ISERROR(SEARCH("BRONCOPOLMONITE",Tabella1[[#This Row],[Patologia respiratoria]],1)),0,1)</f>
        <v>0</v>
      </c>
      <c r="BP147" s="18">
        <f>IF(ISERROR(SEARCH("ASMA, OSAS",Tabella1[[#This Row],[Patologia respiratoria]],1)),0,1)</f>
        <v>0</v>
      </c>
      <c r="BQ147" s="18">
        <f>IF(ISERROR(SEARCH("OSAS e BPCO",Tabella1[[#This Row],[Patologia respiratoria]],1)),0,1)</f>
        <v>0</v>
      </c>
      <c r="BR147" s="18">
        <f>IF(ISERROR(SEARCH("OSAS",Tabella1[[#This Row],[Patologia respiratoria]],1)),0,1)</f>
        <v>0</v>
      </c>
      <c r="BS147" s="11"/>
      <c r="BT147" s="11" t="s">
        <v>8</v>
      </c>
      <c r="BU147" s="11" t="s">
        <v>8</v>
      </c>
      <c r="BV147" s="18">
        <f>IF(ISERROR(SEARCH("ndd",Tabella1[[#This Row],[O2 terapia]],1)),0,1)</f>
        <v>0</v>
      </c>
      <c r="BW147" s="17">
        <v>0</v>
      </c>
      <c r="BX147" s="11" t="s">
        <v>1647</v>
      </c>
      <c r="BY147" s="11" t="s">
        <v>8</v>
      </c>
      <c r="BZ147" s="18">
        <v>0</v>
      </c>
      <c r="CA147" s="11" t="s">
        <v>28</v>
      </c>
      <c r="CB147" s="17">
        <v>1</v>
      </c>
      <c r="CC147" s="11" t="s">
        <v>1648</v>
      </c>
      <c r="CD147" s="17">
        <v>1</v>
      </c>
      <c r="CE147" s="11" t="s">
        <v>8</v>
      </c>
      <c r="CF147" s="18">
        <v>0</v>
      </c>
      <c r="CG147" s="11" t="s">
        <v>1649</v>
      </c>
      <c r="CH147" s="17">
        <v>1</v>
      </c>
      <c r="CI147" s="11" t="s">
        <v>1650</v>
      </c>
      <c r="CJ147" s="17">
        <v>1</v>
      </c>
      <c r="CK147" s="11" t="s">
        <v>1474</v>
      </c>
      <c r="CL147" s="17">
        <v>1</v>
      </c>
      <c r="CM147" s="11" t="s">
        <v>28</v>
      </c>
      <c r="CN147" s="17">
        <v>1</v>
      </c>
      <c r="CO147" s="11" t="s">
        <v>28</v>
      </c>
      <c r="CP147" s="17">
        <v>1</v>
      </c>
      <c r="CQ147" s="11" t="s">
        <v>103</v>
      </c>
      <c r="CR147" s="11" t="s">
        <v>1651</v>
      </c>
      <c r="CS147" s="11" t="s">
        <v>355</v>
      </c>
      <c r="CT147" s="11" t="s">
        <v>664</v>
      </c>
      <c r="CU147" s="11" t="s">
        <v>1652</v>
      </c>
      <c r="CV147" s="12" t="s">
        <v>1653</v>
      </c>
    </row>
    <row r="148" spans="1:100" ht="242.25">
      <c r="A148" s="1">
        <f t="shared" si="2"/>
        <v>147</v>
      </c>
      <c r="B148" s="5">
        <v>910</v>
      </c>
      <c r="C148" s="6">
        <v>45057</v>
      </c>
      <c r="D148" s="7" t="s">
        <v>1654</v>
      </c>
      <c r="E148" s="6">
        <v>24449</v>
      </c>
      <c r="F148" s="29">
        <f ca="1">_xlfn.DAYS(NOW(),Tabella1[[#This Row],[Data di Nascita]])/365.25</f>
        <v>58.65571526351814</v>
      </c>
      <c r="G148" s="7" t="s">
        <v>1655</v>
      </c>
      <c r="H148" s="7" t="s">
        <v>1656</v>
      </c>
      <c r="I148" s="7" t="s">
        <v>955</v>
      </c>
      <c r="J148" s="7" t="s">
        <v>618</v>
      </c>
      <c r="K148" s="7" t="s">
        <v>1657</v>
      </c>
      <c r="L148" s="17">
        <f>IF(ISERROR(SEARCH("EX",Tabella1[[#This Row],[Attività lavorativa]],1)),0,1)</f>
        <v>0</v>
      </c>
      <c r="M148" s="17"/>
      <c r="N148" s="17"/>
      <c r="O148" s="17"/>
      <c r="P148" s="17"/>
      <c r="Q148" s="17"/>
      <c r="R148" s="17"/>
      <c r="S148" s="17">
        <v>1</v>
      </c>
      <c r="T148" s="17">
        <f>IF(ISERROR(SEARCH("NDD",Tabella1[[#This Row],[Attività lavorativa]],1)),0,1)</f>
        <v>0</v>
      </c>
      <c r="U148" s="7" t="s">
        <v>1658</v>
      </c>
      <c r="V148" s="22">
        <v>17.5</v>
      </c>
      <c r="W148" s="22">
        <f>IF(ISERROR(SEARCH("ex",Tabella1[[#This Row],[Fumo]],1)),0,1)</f>
        <v>0</v>
      </c>
      <c r="X148" s="22">
        <f>IF(ISERROR(SEARCH("no",Tabella1[[#This Row],[Fumo]],1)),0,1)</f>
        <v>0</v>
      </c>
      <c r="Y148" s="7" t="s">
        <v>26</v>
      </c>
      <c r="Z148" s="17">
        <f>IF(ISERROR(SEARCH("NDD",Tabella1[[#This Row],[Bevitore alcolici]],1)),0,1)</f>
        <v>0</v>
      </c>
      <c r="AA148" s="17">
        <f>IF(ISERROR(SEARCH("raro",Tabella1[[#This Row],[Bevitore alcolici]],1)),0,1)</f>
        <v>0</v>
      </c>
      <c r="AB148" s="17">
        <f>IF(ISERROR(SEARCH("saltuariamente",Tabella1[[#This Row],[Bevitore alcolici]],1)),0,1)</f>
        <v>1</v>
      </c>
      <c r="AC148" s="17">
        <f>IF(ISERROR(SEARCH("nega",Tabella1[[#This Row],[Bevitore alcolici]],1)),0,1)</f>
        <v>0</v>
      </c>
      <c r="AD148" s="17">
        <f>IF(ISERROR(SEARCH("potus",Tabella1[[#This Row],[Bevitore alcolici]],1)),0,1)</f>
        <v>0</v>
      </c>
      <c r="AE148" s="7" t="s">
        <v>657</v>
      </c>
      <c r="AF148" s="17"/>
      <c r="AG148" s="17"/>
      <c r="AH148" s="17"/>
      <c r="AI148" s="17"/>
      <c r="AJ148" s="17"/>
      <c r="AK148" s="7" t="s">
        <v>28</v>
      </c>
      <c r="AL148" s="17">
        <f>IF(ISERROR(SEARCH("si",Tabella1[[#This Row],[Patente di guida]],1)),0,1)</f>
        <v>1</v>
      </c>
      <c r="AM148" s="7" t="s">
        <v>8</v>
      </c>
      <c r="AN148" s="17">
        <f>IF(ISERROR(SEARCH("no",Tabella1[[#This Row],[Ipertensione]],1)),0,1)</f>
        <v>1</v>
      </c>
      <c r="AO148" s="7" t="s">
        <v>382</v>
      </c>
      <c r="AP148" s="18">
        <f>IF(ISERROR(SEARCH("NO",Tabella1[[#This Row],[Cardiopatia ischemica]],1)),1,0)</f>
        <v>0</v>
      </c>
      <c r="AQ148" s="17">
        <f>IF(ISERROR(SEARCH("sconosciuto",Tabella1[[#This Row],[Cardiopatia ischemica]],1)),0,1)</f>
        <v>0</v>
      </c>
      <c r="AR148" s="7" t="s">
        <v>25</v>
      </c>
      <c r="AS148" s="22">
        <f>IF(ISERROR(SEARCH("nega",Tabella1[[#This Row],[Artimie]],1)),0,1)</f>
        <v>1</v>
      </c>
      <c r="AT148" s="7" t="s">
        <v>25</v>
      </c>
      <c r="AU148" s="22">
        <f>IF(ISERROR(SEARCH("nega",Tabella1[[#This Row],[Ipercolesterolemia]],1)),0,1)</f>
        <v>1</v>
      </c>
      <c r="AV148" s="22">
        <f>IF(ISERROR(SEARCH("boh",Tabella1[[#This Row],[Ipercolesterolemia]],1)),0,1)</f>
        <v>0</v>
      </c>
      <c r="AW148" s="7" t="s">
        <v>8</v>
      </c>
      <c r="AX148" s="22">
        <f>IF(ISERROR(SEARCH("Intolleranza",Tabella1[[#This Row],[Diabete]],1)),0,1)</f>
        <v>0</v>
      </c>
      <c r="AY148" s="22">
        <f>IF(ISERROR(SEARCH("si",Tabella1[[#This Row],[Diabete]],1)),0,1)</f>
        <v>0</v>
      </c>
      <c r="AZ148" s="7" t="s">
        <v>3774</v>
      </c>
      <c r="BA148" s="17">
        <f>IF(ISERROR(SEARCH("NDD",Tabella1[[#This Row],[Patologia Tiroidea]],1)),0,1)</f>
        <v>0</v>
      </c>
      <c r="BB148" s="22">
        <f>IF(ISERROR(SEARCH("TIROIDITE",Tabella1[[#This Row],[Patologia Tiroidea]],1)),0,1)</f>
        <v>1</v>
      </c>
      <c r="BC148" s="22">
        <f>IF(ISERROR(SEARCH("HASHIMOTO",Tabella1[[#This Row],[Patologia Tiroidea]],1)),0,1)</f>
        <v>0</v>
      </c>
      <c r="BD148" s="22">
        <f>IF(ISERROR(SEARCH("BASEDOW",Tabella1[[#This Row],[Patologia Tiroidea]],1)),0,1)</f>
        <v>0</v>
      </c>
      <c r="BE148" s="22">
        <f>IF(ISERROR(SEARCH("NOD",Tabella1[[#This Row],[Patologia Tiroidea]],1)),0,1)</f>
        <v>0</v>
      </c>
      <c r="BF148" s="22">
        <f>IF(ISERROR(SEARCH("GOZ",Tabella1[[#This Row],[Patologia Tiroidea]],1)),0,1)</f>
        <v>0</v>
      </c>
      <c r="BG148" s="7" t="s">
        <v>8</v>
      </c>
      <c r="BH148" s="17">
        <f>IF(Tabella1[[#This Row],[Obesità]]="no",0,1)</f>
        <v>0</v>
      </c>
      <c r="BI148" s="7" t="s">
        <v>25</v>
      </c>
      <c r="BJ148" s="22">
        <f>IF(ISERROR(SEARCH("nega",Tabella1[[#This Row],[Reflusso gastroesofageo]],1)),1,0)</f>
        <v>0</v>
      </c>
      <c r="BK148" s="7" t="s">
        <v>3806</v>
      </c>
      <c r="BL148" s="17">
        <f>IF(ISERROR(SEARCH("NDD",Tabella1[[#This Row],[Patologia respiratoria]],1)),0,1)</f>
        <v>0</v>
      </c>
      <c r="BM148" s="17">
        <f>IF(ISERROR(SEARCH("asma",Tabella1[[#This Row],[Patologia respiratoria]],1)),0,1)</f>
        <v>1</v>
      </c>
      <c r="BN148" s="17">
        <f>IF(ISERROR(SEARCH("BPCO",Tabella1[[#This Row],[Patologia respiratoria]],1)),0,1)</f>
        <v>0</v>
      </c>
      <c r="BO148" s="17">
        <f>IF(ISERROR(SEARCH("BRONCOPOLMONITE",Tabella1[[#This Row],[Patologia respiratoria]],1)),0,1)</f>
        <v>0</v>
      </c>
      <c r="BP148" s="17">
        <f>IF(ISERROR(SEARCH("ASMA, OSAS",Tabella1[[#This Row],[Patologia respiratoria]],1)),0,1)</f>
        <v>0</v>
      </c>
      <c r="BQ148" s="17">
        <f>IF(ISERROR(SEARCH("OSAS e BPCO",Tabella1[[#This Row],[Patologia respiratoria]],1)),0,1)</f>
        <v>0</v>
      </c>
      <c r="BR148" s="17">
        <f>IF(ISERROR(SEARCH("OSAS",Tabella1[[#This Row],[Patologia respiratoria]],1)),0,1)</f>
        <v>0</v>
      </c>
      <c r="BS148" s="7" t="s">
        <v>1546</v>
      </c>
      <c r="BT148" s="7" t="s">
        <v>1659</v>
      </c>
      <c r="BU148" s="7" t="s">
        <v>8</v>
      </c>
      <c r="BV148" s="17">
        <f>IF(ISERROR(SEARCH("ndd",Tabella1[[#This Row],[O2 terapia]],1)),0,1)</f>
        <v>0</v>
      </c>
      <c r="BW148" s="17">
        <v>0</v>
      </c>
      <c r="BX148" s="7" t="s">
        <v>1546</v>
      </c>
      <c r="BY148" s="7" t="s">
        <v>1486</v>
      </c>
      <c r="BZ148" s="17">
        <v>1</v>
      </c>
      <c r="CA148" s="7" t="s">
        <v>28</v>
      </c>
      <c r="CB148" s="17">
        <v>1</v>
      </c>
      <c r="CC148" s="7" t="s">
        <v>8</v>
      </c>
      <c r="CD148" s="18">
        <v>0</v>
      </c>
      <c r="CE148" s="7" t="s">
        <v>1660</v>
      </c>
      <c r="CF148" s="17">
        <v>1</v>
      </c>
      <c r="CG148" s="7" t="s">
        <v>1661</v>
      </c>
      <c r="CH148" s="17">
        <v>1</v>
      </c>
      <c r="CI148" s="7" t="s">
        <v>1036</v>
      </c>
      <c r="CJ148" s="17">
        <v>1</v>
      </c>
      <c r="CK148" s="7" t="s">
        <v>1662</v>
      </c>
      <c r="CL148" s="17">
        <v>1</v>
      </c>
      <c r="CM148" s="7" t="s">
        <v>8</v>
      </c>
      <c r="CN148" s="17">
        <v>0</v>
      </c>
      <c r="CO148" s="7" t="s">
        <v>8</v>
      </c>
      <c r="CP148" s="18">
        <v>0</v>
      </c>
      <c r="CQ148" s="7" t="s">
        <v>202</v>
      </c>
      <c r="CR148" s="7" t="s">
        <v>1663</v>
      </c>
      <c r="CS148" s="7" t="s">
        <v>219</v>
      </c>
      <c r="CT148" s="7" t="s">
        <v>154</v>
      </c>
      <c r="CU148" s="7" t="s">
        <v>1652</v>
      </c>
      <c r="CV148" s="8" t="s">
        <v>1477</v>
      </c>
    </row>
    <row r="149" spans="1:100">
      <c r="A149" s="1">
        <f t="shared" si="2"/>
        <v>148</v>
      </c>
      <c r="B149" s="9">
        <v>912</v>
      </c>
      <c r="C149" s="10">
        <v>45058</v>
      </c>
      <c r="D149" s="11" t="s">
        <v>1664</v>
      </c>
      <c r="E149" s="10">
        <v>17454</v>
      </c>
      <c r="F149" s="29">
        <f ca="1">_xlfn.DAYS(NOW(),Tabella1[[#This Row],[Data di Nascita]])/365.25</f>
        <v>77.80698151950719</v>
      </c>
      <c r="G149" s="11" t="s">
        <v>1665</v>
      </c>
      <c r="H149" s="11" t="s">
        <v>1666</v>
      </c>
      <c r="I149" s="11" t="s">
        <v>1492</v>
      </c>
      <c r="J149" s="11" t="s">
        <v>618</v>
      </c>
      <c r="K149" s="11" t="s">
        <v>5477</v>
      </c>
      <c r="L149" s="18">
        <f>IF(ISERROR(SEARCH("EX",Tabella1[[#This Row],[Attività lavorativa]],1)),0,1)</f>
        <v>0</v>
      </c>
      <c r="M149" s="18"/>
      <c r="N149" s="18"/>
      <c r="O149" s="18"/>
      <c r="P149" s="18"/>
      <c r="Q149" s="18"/>
      <c r="R149" s="18"/>
      <c r="S149" s="18"/>
      <c r="T149" s="17">
        <f>IF(ISERROR(SEARCH("NDD",Tabella1[[#This Row],[Attività lavorativa]],1)),0,1)</f>
        <v>1</v>
      </c>
      <c r="U149" s="11" t="s">
        <v>8</v>
      </c>
      <c r="V149" s="22"/>
      <c r="W149" s="22">
        <f>IF(ISERROR(SEARCH("ex",Tabella1[[#This Row],[Fumo]],1)),0,1)</f>
        <v>0</v>
      </c>
      <c r="X149" s="22">
        <f>IF(ISERROR(SEARCH("no",Tabella1[[#This Row],[Fumo]],1)),0,1)</f>
        <v>1</v>
      </c>
      <c r="Y149" s="11" t="s">
        <v>25</v>
      </c>
      <c r="Z149" s="18">
        <f>IF(ISERROR(SEARCH("NDD",Tabella1[[#This Row],[Bevitore alcolici]],1)),0,1)</f>
        <v>0</v>
      </c>
      <c r="AA149" s="17">
        <f>IF(ISERROR(SEARCH("raro",Tabella1[[#This Row],[Bevitore alcolici]],1)),0,1)</f>
        <v>0</v>
      </c>
      <c r="AB149" s="17">
        <f>IF(ISERROR(SEARCH("saltuariamente",Tabella1[[#This Row],[Bevitore alcolici]],1)),0,1)</f>
        <v>0</v>
      </c>
      <c r="AC149" s="17">
        <f>IF(ISERROR(SEARCH("nega",Tabella1[[#This Row],[Bevitore alcolici]],1)),0,1)</f>
        <v>1</v>
      </c>
      <c r="AD149" s="17">
        <f>IF(ISERROR(SEARCH("potus",Tabella1[[#This Row],[Bevitore alcolici]],1)),0,1)</f>
        <v>0</v>
      </c>
      <c r="AE149" s="11" t="s">
        <v>5647</v>
      </c>
      <c r="AF149" s="18"/>
      <c r="AG149" s="18"/>
      <c r="AH149" s="18"/>
      <c r="AI149" s="18"/>
      <c r="AJ149" s="18"/>
      <c r="AK149" s="11" t="s">
        <v>8</v>
      </c>
      <c r="AL149" s="18">
        <f>IF(ISERROR(SEARCH("si",Tabella1[[#This Row],[Patente di guida]],1)),0,1)</f>
        <v>0</v>
      </c>
      <c r="AM149" s="11" t="s">
        <v>28</v>
      </c>
      <c r="AN149" s="18">
        <f>IF(ISERROR(SEARCH("no",Tabella1[[#This Row],[Ipertensione]],1)),0,1)</f>
        <v>0</v>
      </c>
      <c r="AO149" s="11" t="s">
        <v>28</v>
      </c>
      <c r="AP149" s="18">
        <f>IF(ISERROR(SEARCH("NO",Tabella1[[#This Row],[Cardiopatia ischemica]],1)),1,0)</f>
        <v>1</v>
      </c>
      <c r="AQ149" s="17">
        <f>IF(ISERROR(SEARCH("sconosciuto",Tabella1[[#This Row],[Cardiopatia ischemica]],1)),0,1)</f>
        <v>0</v>
      </c>
      <c r="AR149" s="11" t="s">
        <v>25</v>
      </c>
      <c r="AS149" s="18">
        <f>IF(ISERROR(SEARCH("nega",Tabella1[[#This Row],[Artimie]],1)),0,1)</f>
        <v>1</v>
      </c>
      <c r="AT149" s="11" t="s">
        <v>28</v>
      </c>
      <c r="AU149" s="18">
        <f>IF(ISERROR(SEARCH("nega",Tabella1[[#This Row],[Ipercolesterolemia]],1)),0,1)</f>
        <v>0</v>
      </c>
      <c r="AV149" s="18">
        <f>IF(ISERROR(SEARCH("boh",Tabella1[[#This Row],[Ipercolesterolemia]],1)),0,1)</f>
        <v>0</v>
      </c>
      <c r="AW149" s="11" t="s">
        <v>8</v>
      </c>
      <c r="AX149" s="18">
        <f>IF(ISERROR(SEARCH("Intolleranza",Tabella1[[#This Row],[Diabete]],1)),0,1)</f>
        <v>0</v>
      </c>
      <c r="AY149" s="18">
        <f>IF(ISERROR(SEARCH("si",Tabella1[[#This Row],[Diabete]],1)),0,1)</f>
        <v>0</v>
      </c>
      <c r="AZ149" s="11" t="s">
        <v>8</v>
      </c>
      <c r="BA149" s="18">
        <f>IF(ISERROR(SEARCH("NDD",Tabella1[[#This Row],[Patologia Tiroidea]],1)),0,1)</f>
        <v>0</v>
      </c>
      <c r="BB149" s="18">
        <f>IF(ISERROR(SEARCH("TIROIDITE",Tabella1[[#This Row],[Patologia Tiroidea]],1)),0,1)</f>
        <v>0</v>
      </c>
      <c r="BC149" s="18">
        <f>IF(ISERROR(SEARCH("HASHIMOTO",Tabella1[[#This Row],[Patologia Tiroidea]],1)),0,1)</f>
        <v>0</v>
      </c>
      <c r="BD149" s="18">
        <f>IF(ISERROR(SEARCH("BASEDOW",Tabella1[[#This Row],[Patologia Tiroidea]],1)),0,1)</f>
        <v>0</v>
      </c>
      <c r="BE149" s="18">
        <f>IF(ISERROR(SEARCH("NOD",Tabella1[[#This Row],[Patologia Tiroidea]],1)),0,1)</f>
        <v>0</v>
      </c>
      <c r="BF149" s="18">
        <f>IF(ISERROR(SEARCH("GOZ",Tabella1[[#This Row],[Patologia Tiroidea]],1)),0,1)</f>
        <v>0</v>
      </c>
      <c r="BG149" s="11" t="s">
        <v>28</v>
      </c>
      <c r="BH149" s="18">
        <f>IF(Tabella1[[#This Row],[Obesità]]="no",0,1)</f>
        <v>1</v>
      </c>
      <c r="BI149" s="11" t="s">
        <v>28</v>
      </c>
      <c r="BJ149" s="22">
        <f>IF(ISERROR(SEARCH("nega",Tabella1[[#This Row],[Reflusso gastroesofageo]],1)),1,0)</f>
        <v>1</v>
      </c>
      <c r="BK149" s="7" t="s">
        <v>5477</v>
      </c>
      <c r="BL149" s="17">
        <f>IF(ISERROR(SEARCH("NDD",Tabella1[[#This Row],[Patologia respiratoria]],1)),0,1)</f>
        <v>1</v>
      </c>
      <c r="BM149" s="18">
        <f>IF(ISERROR(SEARCH("asma",Tabella1[[#This Row],[Patologia respiratoria]],1)),0,1)</f>
        <v>0</v>
      </c>
      <c r="BN149" s="18">
        <f>IF(ISERROR(SEARCH("BPCO",Tabella1[[#This Row],[Patologia respiratoria]],1)),0,1)</f>
        <v>0</v>
      </c>
      <c r="BO149" s="18">
        <f>IF(ISERROR(SEARCH("BRONCOPOLMONITE",Tabella1[[#This Row],[Patologia respiratoria]],1)),0,1)</f>
        <v>0</v>
      </c>
      <c r="BP149" s="18">
        <f>IF(ISERROR(SEARCH("ASMA, OSAS",Tabella1[[#This Row],[Patologia respiratoria]],1)),0,1)</f>
        <v>0</v>
      </c>
      <c r="BQ149" s="18">
        <f>IF(ISERROR(SEARCH("OSAS e BPCO",Tabella1[[#This Row],[Patologia respiratoria]],1)),0,1)</f>
        <v>0</v>
      </c>
      <c r="BR149" s="18">
        <f>IF(ISERROR(SEARCH("OSAS",Tabella1[[#This Row],[Patologia respiratoria]],1)),0,1)</f>
        <v>0</v>
      </c>
      <c r="BS149" s="11"/>
      <c r="BT149" s="11"/>
      <c r="BU149" s="7" t="s">
        <v>5477</v>
      </c>
      <c r="BV149" s="17">
        <f>IF(ISERROR(SEARCH("ndd",Tabella1[[#This Row],[O2 terapia]],1)),0,1)</f>
        <v>1</v>
      </c>
      <c r="BW149" s="18"/>
      <c r="BX149" s="11"/>
      <c r="BY149" s="11" t="s">
        <v>1667</v>
      </c>
      <c r="BZ149" s="17">
        <v>1</v>
      </c>
      <c r="CA149" s="11" t="s">
        <v>28</v>
      </c>
      <c r="CB149" s="17">
        <v>1</v>
      </c>
      <c r="CC149" s="11" t="s">
        <v>908</v>
      </c>
      <c r="CD149" s="17">
        <v>1</v>
      </c>
      <c r="CE149" s="11" t="s">
        <v>8</v>
      </c>
      <c r="CF149" s="18">
        <v>0</v>
      </c>
      <c r="CG149" s="11" t="s">
        <v>8</v>
      </c>
      <c r="CH149" s="17">
        <v>0</v>
      </c>
      <c r="CI149" s="11" t="s">
        <v>8</v>
      </c>
      <c r="CJ149" s="18">
        <v>0</v>
      </c>
      <c r="CK149" s="11" t="s">
        <v>28</v>
      </c>
      <c r="CL149" s="17">
        <v>1</v>
      </c>
      <c r="CM149" s="11" t="s">
        <v>28</v>
      </c>
      <c r="CN149" s="17">
        <v>1</v>
      </c>
      <c r="CO149" s="11" t="s">
        <v>8</v>
      </c>
      <c r="CP149" s="18">
        <v>0</v>
      </c>
      <c r="CQ149" s="11" t="s">
        <v>103</v>
      </c>
      <c r="CR149" s="11" t="s">
        <v>507</v>
      </c>
      <c r="CS149" s="11"/>
      <c r="CT149" s="11"/>
      <c r="CU149" s="11"/>
      <c r="CV149" s="12"/>
    </row>
    <row r="150" spans="1:100" ht="28.5">
      <c r="A150" s="1">
        <f t="shared" si="2"/>
        <v>149</v>
      </c>
      <c r="B150" s="5">
        <v>918</v>
      </c>
      <c r="C150" s="6">
        <v>45062</v>
      </c>
      <c r="D150" s="7" t="s">
        <v>1668</v>
      </c>
      <c r="E150" s="6">
        <v>17149</v>
      </c>
      <c r="F150" s="29">
        <f ca="1">_xlfn.DAYS(NOW(),Tabella1[[#This Row],[Data di Nascita]])/365.25</f>
        <v>78.64202600958248</v>
      </c>
      <c r="G150" s="7" t="s">
        <v>1669</v>
      </c>
      <c r="H150" s="7" t="s">
        <v>1670</v>
      </c>
      <c r="I150" s="7" t="s">
        <v>1492</v>
      </c>
      <c r="J150" s="7" t="s">
        <v>618</v>
      </c>
      <c r="K150" s="7" t="s">
        <v>5608</v>
      </c>
      <c r="L150" s="17">
        <f>IF(ISERROR(SEARCH("EX",Tabella1[[#This Row],[Attività lavorativa]],1)),0,1)</f>
        <v>1</v>
      </c>
      <c r="M150" s="17"/>
      <c r="N150" s="17"/>
      <c r="O150" s="17"/>
      <c r="P150" s="17"/>
      <c r="Q150" s="17"/>
      <c r="R150" s="17"/>
      <c r="S150" s="17"/>
      <c r="T150" s="17">
        <f>IF(ISERROR(SEARCH("NDD",Tabella1[[#This Row],[Attività lavorativa]],1)),0,1)</f>
        <v>0</v>
      </c>
      <c r="U150" s="7" t="s">
        <v>1671</v>
      </c>
      <c r="V150" s="22">
        <v>50</v>
      </c>
      <c r="W150" s="22">
        <f>IF(ISERROR(SEARCH("ex",Tabella1[[#This Row],[Fumo]],1)),0,1)</f>
        <v>1</v>
      </c>
      <c r="X150" s="22">
        <f>IF(ISERROR(SEARCH("no",Tabella1[[#This Row],[Fumo]],1)),0,1)</f>
        <v>0</v>
      </c>
      <c r="Y150" s="7" t="s">
        <v>25</v>
      </c>
      <c r="Z150" s="17">
        <f>IF(ISERROR(SEARCH("NDD",Tabella1[[#This Row],[Bevitore alcolici]],1)),0,1)</f>
        <v>0</v>
      </c>
      <c r="AA150" s="17">
        <f>IF(ISERROR(SEARCH("raro",Tabella1[[#This Row],[Bevitore alcolici]],1)),0,1)</f>
        <v>0</v>
      </c>
      <c r="AB150" s="17">
        <f>IF(ISERROR(SEARCH("saltuariamente",Tabella1[[#This Row],[Bevitore alcolici]],1)),0,1)</f>
        <v>0</v>
      </c>
      <c r="AC150" s="17">
        <f>IF(ISERROR(SEARCH("nega",Tabella1[[#This Row],[Bevitore alcolici]],1)),0,1)</f>
        <v>1</v>
      </c>
      <c r="AD150" s="17">
        <f>IF(ISERROR(SEARCH("potus",Tabella1[[#This Row],[Bevitore alcolici]],1)),0,1)</f>
        <v>0</v>
      </c>
      <c r="AE150" s="7" t="s">
        <v>657</v>
      </c>
      <c r="AF150" s="17"/>
      <c r="AG150" s="17"/>
      <c r="AH150" s="17"/>
      <c r="AI150" s="17"/>
      <c r="AJ150" s="17"/>
      <c r="AK150" s="7" t="s">
        <v>28</v>
      </c>
      <c r="AL150" s="17">
        <f>IF(ISERROR(SEARCH("si",Tabella1[[#This Row],[Patente di guida]],1)),0,1)</f>
        <v>1</v>
      </c>
      <c r="AM150" s="7" t="s">
        <v>28</v>
      </c>
      <c r="AN150" s="17">
        <f>IF(ISERROR(SEARCH("no",Tabella1[[#This Row],[Ipertensione]],1)),0,1)</f>
        <v>0</v>
      </c>
      <c r="AO150" s="7" t="s">
        <v>28</v>
      </c>
      <c r="AP150" s="18">
        <f>IF(ISERROR(SEARCH("NO",Tabella1[[#This Row],[Cardiopatia ischemica]],1)),1,0)</f>
        <v>1</v>
      </c>
      <c r="AQ150" s="17">
        <f>IF(ISERROR(SEARCH("sconosciuto",Tabella1[[#This Row],[Cardiopatia ischemica]],1)),0,1)</f>
        <v>0</v>
      </c>
      <c r="AR150" s="7" t="s">
        <v>25</v>
      </c>
      <c r="AS150" s="22">
        <f>IF(ISERROR(SEARCH("nega",Tabella1[[#This Row],[Artimie]],1)),0,1)</f>
        <v>1</v>
      </c>
      <c r="AT150" s="7" t="s">
        <v>28</v>
      </c>
      <c r="AU150" s="22">
        <f>IF(ISERROR(SEARCH("nega",Tabella1[[#This Row],[Ipercolesterolemia]],1)),0,1)</f>
        <v>0</v>
      </c>
      <c r="AV150" s="22">
        <f>IF(ISERROR(SEARCH("boh",Tabella1[[#This Row],[Ipercolesterolemia]],1)),0,1)</f>
        <v>0</v>
      </c>
      <c r="AW150" s="7" t="s">
        <v>8</v>
      </c>
      <c r="AX150" s="22">
        <f>IF(ISERROR(SEARCH("Intolleranza",Tabella1[[#This Row],[Diabete]],1)),0,1)</f>
        <v>0</v>
      </c>
      <c r="AY150" s="22">
        <f>IF(ISERROR(SEARCH("si",Tabella1[[#This Row],[Diabete]],1)),0,1)</f>
        <v>0</v>
      </c>
      <c r="AZ150" s="7" t="s">
        <v>8</v>
      </c>
      <c r="BA150" s="17">
        <f>IF(ISERROR(SEARCH("NDD",Tabella1[[#This Row],[Patologia Tiroidea]],1)),0,1)</f>
        <v>0</v>
      </c>
      <c r="BB150" s="22">
        <f>IF(ISERROR(SEARCH("TIROIDITE",Tabella1[[#This Row],[Patologia Tiroidea]],1)),0,1)</f>
        <v>0</v>
      </c>
      <c r="BC150" s="22">
        <f>IF(ISERROR(SEARCH("HASHIMOTO",Tabella1[[#This Row],[Patologia Tiroidea]],1)),0,1)</f>
        <v>0</v>
      </c>
      <c r="BD150" s="22">
        <f>IF(ISERROR(SEARCH("BASEDOW",Tabella1[[#This Row],[Patologia Tiroidea]],1)),0,1)</f>
        <v>0</v>
      </c>
      <c r="BE150" s="22">
        <f>IF(ISERROR(SEARCH("NOD",Tabella1[[#This Row],[Patologia Tiroidea]],1)),0,1)</f>
        <v>0</v>
      </c>
      <c r="BF150" s="22">
        <f>IF(ISERROR(SEARCH("GOZ",Tabella1[[#This Row],[Patologia Tiroidea]],1)),0,1)</f>
        <v>0</v>
      </c>
      <c r="BG150" s="7" t="s">
        <v>28</v>
      </c>
      <c r="BH150" s="17">
        <f>IF(Tabella1[[#This Row],[Obesità]]="no",0,1)</f>
        <v>1</v>
      </c>
      <c r="BI150" s="7" t="s">
        <v>25</v>
      </c>
      <c r="BJ150" s="22">
        <f>IF(ISERROR(SEARCH("nega",Tabella1[[#This Row],[Reflusso gastroesofageo]],1)),1,0)</f>
        <v>0</v>
      </c>
      <c r="BK150" s="7" t="s">
        <v>28</v>
      </c>
      <c r="BL150" s="17">
        <f>IF(ISERROR(SEARCH("NDD",Tabella1[[#This Row],[Patologia respiratoria]],1)),0,1)</f>
        <v>0</v>
      </c>
      <c r="BM150" s="17">
        <f>IF(ISERROR(SEARCH("asma",Tabella1[[#This Row],[Patologia respiratoria]],1)),0,1)</f>
        <v>0</v>
      </c>
      <c r="BN150" s="17">
        <f>IF(ISERROR(SEARCH("BPCO",Tabella1[[#This Row],[Patologia respiratoria]],1)),0,1)</f>
        <v>0</v>
      </c>
      <c r="BO150" s="17">
        <f>IF(ISERROR(SEARCH("BRONCOPOLMONITE",Tabella1[[#This Row],[Patologia respiratoria]],1)),0,1)</f>
        <v>0</v>
      </c>
      <c r="BP150" s="17">
        <f>IF(ISERROR(SEARCH("ASMA, OSAS",Tabella1[[#This Row],[Patologia respiratoria]],1)),0,1)</f>
        <v>0</v>
      </c>
      <c r="BQ150" s="17">
        <f>IF(ISERROR(SEARCH("OSAS e BPCO",Tabella1[[#This Row],[Patologia respiratoria]],1)),0,1)</f>
        <v>0</v>
      </c>
      <c r="BR150" s="17">
        <f>IF(ISERROR(SEARCH("OSAS",Tabella1[[#This Row],[Patologia respiratoria]],1)),0,1)</f>
        <v>0</v>
      </c>
      <c r="BS150" s="7"/>
      <c r="BT150" s="7"/>
      <c r="BU150" s="7" t="s">
        <v>8</v>
      </c>
      <c r="BV150" s="17">
        <f>IF(ISERROR(SEARCH("ndd",Tabella1[[#This Row],[O2 terapia]],1)),0,1)</f>
        <v>0</v>
      </c>
      <c r="BW150" s="17">
        <v>0</v>
      </c>
      <c r="BX150" s="7"/>
      <c r="BY150" s="7" t="s">
        <v>8</v>
      </c>
      <c r="BZ150" s="18">
        <v>0</v>
      </c>
      <c r="CA150" s="7" t="s">
        <v>8</v>
      </c>
      <c r="CB150" s="17">
        <v>0</v>
      </c>
      <c r="CC150" s="7" t="s">
        <v>8</v>
      </c>
      <c r="CD150" s="18">
        <v>0</v>
      </c>
      <c r="CE150" s="7" t="s">
        <v>8</v>
      </c>
      <c r="CF150" s="18">
        <v>0</v>
      </c>
      <c r="CG150" s="7" t="s">
        <v>8</v>
      </c>
      <c r="CH150" s="17">
        <v>0</v>
      </c>
      <c r="CI150" s="7" t="s">
        <v>8</v>
      </c>
      <c r="CJ150" s="18">
        <v>0</v>
      </c>
      <c r="CK150" s="7" t="s">
        <v>8</v>
      </c>
      <c r="CL150" s="17">
        <v>0</v>
      </c>
      <c r="CM150" s="7" t="s">
        <v>28</v>
      </c>
      <c r="CN150" s="17">
        <v>1</v>
      </c>
      <c r="CO150" s="7" t="s">
        <v>8</v>
      </c>
      <c r="CP150" s="18">
        <v>0</v>
      </c>
      <c r="CQ150" s="7" t="s">
        <v>85</v>
      </c>
      <c r="CR150" s="7">
        <v>35.97</v>
      </c>
      <c r="CS150" s="7" t="s">
        <v>71</v>
      </c>
      <c r="CT150" s="7" t="s">
        <v>72</v>
      </c>
      <c r="CU150" s="7"/>
      <c r="CV150" s="8"/>
    </row>
    <row r="151" spans="1:100" ht="342">
      <c r="A151" s="1">
        <f t="shared" si="2"/>
        <v>150</v>
      </c>
      <c r="B151" s="9">
        <v>921</v>
      </c>
      <c r="C151" s="10">
        <v>45064</v>
      </c>
      <c r="D151" s="11" t="s">
        <v>1672</v>
      </c>
      <c r="E151" s="10">
        <v>24991</v>
      </c>
      <c r="F151" s="29">
        <f ca="1">_xlfn.DAYS(NOW(),Tabella1[[#This Row],[Data di Nascita]])/365.25</f>
        <v>57.171800136892543</v>
      </c>
      <c r="G151" s="11" t="s">
        <v>1673</v>
      </c>
      <c r="H151" s="11" t="s">
        <v>1674</v>
      </c>
      <c r="I151" s="11" t="s">
        <v>1675</v>
      </c>
      <c r="J151" s="11" t="s">
        <v>1676</v>
      </c>
      <c r="K151" s="11" t="s">
        <v>241</v>
      </c>
      <c r="L151" s="18">
        <f>IF(ISERROR(SEARCH("EX",Tabella1[[#This Row],[Attività lavorativa]],1)),0,1)</f>
        <v>0</v>
      </c>
      <c r="M151" s="18"/>
      <c r="N151" s="18"/>
      <c r="O151" s="18"/>
      <c r="P151" s="18">
        <v>1</v>
      </c>
      <c r="Q151" s="18"/>
      <c r="R151" s="18"/>
      <c r="S151" s="18"/>
      <c r="T151" s="17">
        <f>IF(ISERROR(SEARCH("NDD",Tabella1[[#This Row],[Attività lavorativa]],1)),0,1)</f>
        <v>0</v>
      </c>
      <c r="U151" s="11" t="s">
        <v>1677</v>
      </c>
      <c r="V151" s="22">
        <v>14</v>
      </c>
      <c r="W151" s="22">
        <f>IF(ISERROR(SEARCH("ex",Tabella1[[#This Row],[Fumo]],1)),0,1)</f>
        <v>0</v>
      </c>
      <c r="X151" s="22">
        <f>IF(ISERROR(SEARCH("no",Tabella1[[#This Row],[Fumo]],1)),0,1)</f>
        <v>1</v>
      </c>
      <c r="Y151" s="11" t="s">
        <v>309</v>
      </c>
      <c r="Z151" s="18">
        <f>IF(ISERROR(SEARCH("NDD",Tabella1[[#This Row],[Bevitore alcolici]],1)),0,1)</f>
        <v>0</v>
      </c>
      <c r="AA151" s="17">
        <f>IF(ISERROR(SEARCH("raro",Tabella1[[#This Row],[Bevitore alcolici]],1)),0,1)</f>
        <v>0</v>
      </c>
      <c r="AB151" s="17">
        <f>IF(ISERROR(SEARCH("saltuariamente",Tabella1[[#This Row],[Bevitore alcolici]],1)),0,1)</f>
        <v>0</v>
      </c>
      <c r="AC151" s="17">
        <f>IF(ISERROR(SEARCH("nega",Tabella1[[#This Row],[Bevitore alcolici]],1)),0,1)</f>
        <v>1</v>
      </c>
      <c r="AD151" s="17">
        <f>IF(ISERROR(SEARCH("potus",Tabella1[[#This Row],[Bevitore alcolici]],1)),0,1)</f>
        <v>0</v>
      </c>
      <c r="AE151" s="11" t="s">
        <v>5691</v>
      </c>
      <c r="AF151" s="18"/>
      <c r="AG151" s="18"/>
      <c r="AH151" s="18">
        <v>1</v>
      </c>
      <c r="AI151" s="18"/>
      <c r="AJ151" s="18"/>
      <c r="AK151" s="11" t="s">
        <v>28</v>
      </c>
      <c r="AL151" s="18">
        <f>IF(ISERROR(SEARCH("si",Tabella1[[#This Row],[Patente di guida]],1)),0,1)</f>
        <v>1</v>
      </c>
      <c r="AM151" s="11" t="s">
        <v>28</v>
      </c>
      <c r="AN151" s="18">
        <f>IF(ISERROR(SEARCH("no",Tabella1[[#This Row],[Ipertensione]],1)),0,1)</f>
        <v>0</v>
      </c>
      <c r="AO151" s="11" t="s">
        <v>382</v>
      </c>
      <c r="AP151" s="18">
        <f>IF(ISERROR(SEARCH("NO",Tabella1[[#This Row],[Cardiopatia ischemica]],1)),1,0)</f>
        <v>0</v>
      </c>
      <c r="AQ151" s="17">
        <f>IF(ISERROR(SEARCH("sconosciuto",Tabella1[[#This Row],[Cardiopatia ischemica]],1)),0,1)</f>
        <v>0</v>
      </c>
      <c r="AR151" s="11" t="s">
        <v>25</v>
      </c>
      <c r="AS151" s="22">
        <f>IF(ISERROR(SEARCH("nega",Tabella1[[#This Row],[Artimie]],1)),0,1)</f>
        <v>1</v>
      </c>
      <c r="AT151" s="11" t="s">
        <v>28</v>
      </c>
      <c r="AU151" s="22">
        <f>IF(ISERROR(SEARCH("nega",Tabella1[[#This Row],[Ipercolesterolemia]],1)),0,1)</f>
        <v>0</v>
      </c>
      <c r="AV151" s="22">
        <f>IF(ISERROR(SEARCH("boh",Tabella1[[#This Row],[Ipercolesterolemia]],1)),0,1)</f>
        <v>0</v>
      </c>
      <c r="AW151" s="11" t="s">
        <v>25</v>
      </c>
      <c r="AX151" s="22">
        <f>IF(ISERROR(SEARCH("Intolleranza",Tabella1[[#This Row],[Diabete]],1)),0,1)</f>
        <v>0</v>
      </c>
      <c r="AY151" s="22">
        <f>IF(ISERROR(SEARCH("si",Tabella1[[#This Row],[Diabete]],1)),0,1)</f>
        <v>0</v>
      </c>
      <c r="AZ151" s="11" t="s">
        <v>3790</v>
      </c>
      <c r="BA151" s="18">
        <f>IF(ISERROR(SEARCH("NDD",Tabella1[[#This Row],[Patologia Tiroidea]],1)),0,1)</f>
        <v>0</v>
      </c>
      <c r="BB151" s="22">
        <f>IF(ISERROR(SEARCH("TIROIDITE",Tabella1[[#This Row],[Patologia Tiroidea]],1)),0,1)</f>
        <v>0</v>
      </c>
      <c r="BC151" s="22">
        <f>IF(ISERROR(SEARCH("HASHIMOTO",Tabella1[[#This Row],[Patologia Tiroidea]],1)),0,1)</f>
        <v>0</v>
      </c>
      <c r="BD151" s="22">
        <f>IF(ISERROR(SEARCH("BASEDOW",Tabella1[[#This Row],[Patologia Tiroidea]],1)),0,1)</f>
        <v>0</v>
      </c>
      <c r="BE151" s="22">
        <f>IF(ISERROR(SEARCH("NOD",Tabella1[[#This Row],[Patologia Tiroidea]],1)),0,1)</f>
        <v>1</v>
      </c>
      <c r="BF151" s="22">
        <f>IF(ISERROR(SEARCH("GOZ",Tabella1[[#This Row],[Patologia Tiroidea]],1)),0,1)</f>
        <v>0</v>
      </c>
      <c r="BG151" s="11" t="s">
        <v>28</v>
      </c>
      <c r="BH151" s="18">
        <f>IF(Tabella1[[#This Row],[Obesità]]="no",0,1)</f>
        <v>1</v>
      </c>
      <c r="BI151" s="11" t="s">
        <v>25</v>
      </c>
      <c r="BJ151" s="22">
        <f>IF(ISERROR(SEARCH("nega",Tabella1[[#This Row],[Reflusso gastroesofageo]],1)),1,0)</f>
        <v>0</v>
      </c>
      <c r="BK151" s="11" t="s">
        <v>25</v>
      </c>
      <c r="BL151" s="18">
        <f>IF(ISERROR(SEARCH("NDD",Tabella1[[#This Row],[Patologia respiratoria]],1)),0,1)</f>
        <v>0</v>
      </c>
      <c r="BM151" s="18">
        <f>IF(ISERROR(SEARCH("asma",Tabella1[[#This Row],[Patologia respiratoria]],1)),0,1)</f>
        <v>0</v>
      </c>
      <c r="BN151" s="18">
        <f>IF(ISERROR(SEARCH("BPCO",Tabella1[[#This Row],[Patologia respiratoria]],1)),0,1)</f>
        <v>0</v>
      </c>
      <c r="BO151" s="18">
        <f>IF(ISERROR(SEARCH("BRONCOPOLMONITE",Tabella1[[#This Row],[Patologia respiratoria]],1)),0,1)</f>
        <v>0</v>
      </c>
      <c r="BP151" s="18">
        <f>IF(ISERROR(SEARCH("ASMA, OSAS",Tabella1[[#This Row],[Patologia respiratoria]],1)),0,1)</f>
        <v>0</v>
      </c>
      <c r="BQ151" s="18">
        <f>IF(ISERROR(SEARCH("OSAS e BPCO",Tabella1[[#This Row],[Patologia respiratoria]],1)),0,1)</f>
        <v>0</v>
      </c>
      <c r="BR151" s="18">
        <f>IF(ISERROR(SEARCH("OSAS",Tabella1[[#This Row],[Patologia respiratoria]],1)),0,1)</f>
        <v>0</v>
      </c>
      <c r="BS151" s="11"/>
      <c r="BT151" s="11" t="s">
        <v>1678</v>
      </c>
      <c r="BU151" s="11" t="s">
        <v>25</v>
      </c>
      <c r="BV151" s="18">
        <f>IF(ISERROR(SEARCH("ndd",Tabella1[[#This Row],[O2 terapia]],1)),0,1)</f>
        <v>0</v>
      </c>
      <c r="BW151" s="17">
        <v>0</v>
      </c>
      <c r="BX151" s="11"/>
      <c r="BY151" s="11" t="s">
        <v>25</v>
      </c>
      <c r="BZ151" s="18">
        <v>0</v>
      </c>
      <c r="CA151" s="11" t="s">
        <v>25</v>
      </c>
      <c r="CB151" s="17">
        <v>0</v>
      </c>
      <c r="CC151" s="11" t="s">
        <v>31</v>
      </c>
      <c r="CD151" s="17">
        <v>1</v>
      </c>
      <c r="CE151" s="11" t="s">
        <v>25</v>
      </c>
      <c r="CF151" s="18">
        <v>0</v>
      </c>
      <c r="CG151" s="11" t="s">
        <v>309</v>
      </c>
      <c r="CH151" s="17">
        <v>0</v>
      </c>
      <c r="CI151" s="11" t="s">
        <v>309</v>
      </c>
      <c r="CJ151" s="18">
        <v>0</v>
      </c>
      <c r="CK151" s="11" t="s">
        <v>309</v>
      </c>
      <c r="CL151" s="17">
        <v>0</v>
      </c>
      <c r="CM151" s="11" t="s">
        <v>309</v>
      </c>
      <c r="CN151" s="17">
        <v>0</v>
      </c>
      <c r="CO151" s="11" t="s">
        <v>309</v>
      </c>
      <c r="CP151" s="18">
        <v>0</v>
      </c>
      <c r="CQ151" s="11" t="s">
        <v>69</v>
      </c>
      <c r="CR151" s="11" t="s">
        <v>1679</v>
      </c>
      <c r="CS151" s="11" t="s">
        <v>105</v>
      </c>
      <c r="CT151" s="11" t="s">
        <v>569</v>
      </c>
      <c r="CU151" s="11" t="s">
        <v>1680</v>
      </c>
      <c r="CV151" s="12" t="s">
        <v>1681</v>
      </c>
    </row>
    <row r="152" spans="1:100" ht="28.5">
      <c r="A152" s="1">
        <f t="shared" si="2"/>
        <v>151</v>
      </c>
      <c r="B152" s="5">
        <v>922</v>
      </c>
      <c r="C152" s="6">
        <v>45065</v>
      </c>
      <c r="D152" s="7" t="s">
        <v>1682</v>
      </c>
      <c r="E152" s="6">
        <v>27306</v>
      </c>
      <c r="F152" s="29">
        <f ca="1">_xlfn.DAYS(NOW(),Tabella1[[#This Row],[Data di Nascita]])/365.25</f>
        <v>50.833675564681727</v>
      </c>
      <c r="G152" s="7" t="s">
        <v>1683</v>
      </c>
      <c r="H152" s="7" t="s">
        <v>1684</v>
      </c>
      <c r="I152" s="7" t="s">
        <v>1492</v>
      </c>
      <c r="J152" s="7" t="s">
        <v>618</v>
      </c>
      <c r="K152" s="7" t="s">
        <v>1685</v>
      </c>
      <c r="L152" s="17">
        <f>IF(ISERROR(SEARCH("EX",Tabella1[[#This Row],[Attività lavorativa]],1)),0,1)</f>
        <v>0</v>
      </c>
      <c r="M152" s="17"/>
      <c r="N152" s="17"/>
      <c r="O152" s="18">
        <v>1</v>
      </c>
      <c r="P152" s="17"/>
      <c r="Q152" s="17"/>
      <c r="R152" s="17"/>
      <c r="S152" s="17"/>
      <c r="T152" s="17">
        <f>IF(ISERROR(SEARCH("NDD",Tabella1[[#This Row],[Attività lavorativa]],1)),0,1)</f>
        <v>0</v>
      </c>
      <c r="U152" s="7" t="s">
        <v>1686</v>
      </c>
      <c r="V152" s="22">
        <v>3</v>
      </c>
      <c r="W152" s="22">
        <f>IF(ISERROR(SEARCH("ex",Tabella1[[#This Row],[Fumo]],1)),0,1)</f>
        <v>0</v>
      </c>
      <c r="X152" s="22">
        <f>IF(ISERROR(SEARCH("no",Tabella1[[#This Row],[Fumo]],1)),0,1)</f>
        <v>0</v>
      </c>
      <c r="Y152" s="7" t="s">
        <v>25</v>
      </c>
      <c r="Z152" s="17">
        <f>IF(ISERROR(SEARCH("NDD",Tabella1[[#This Row],[Bevitore alcolici]],1)),0,1)</f>
        <v>0</v>
      </c>
      <c r="AA152" s="17">
        <f>IF(ISERROR(SEARCH("raro",Tabella1[[#This Row],[Bevitore alcolici]],1)),0,1)</f>
        <v>0</v>
      </c>
      <c r="AB152" s="17">
        <f>IF(ISERROR(SEARCH("saltuariamente",Tabella1[[#This Row],[Bevitore alcolici]],1)),0,1)</f>
        <v>0</v>
      </c>
      <c r="AC152" s="17">
        <f>IF(ISERROR(SEARCH("nega",Tabella1[[#This Row],[Bevitore alcolici]],1)),0,1)</f>
        <v>1</v>
      </c>
      <c r="AD152" s="17">
        <f>IF(ISERROR(SEARCH("potus",Tabella1[[#This Row],[Bevitore alcolici]],1)),0,1)</f>
        <v>0</v>
      </c>
      <c r="AE152" s="7" t="s">
        <v>5647</v>
      </c>
      <c r="AF152" s="17"/>
      <c r="AG152" s="17"/>
      <c r="AH152" s="17"/>
      <c r="AI152" s="17"/>
      <c r="AJ152" s="17"/>
      <c r="AK152" s="7" t="s">
        <v>28</v>
      </c>
      <c r="AL152" s="17">
        <f>IF(ISERROR(SEARCH("si",Tabella1[[#This Row],[Patente di guida]],1)),0,1)</f>
        <v>1</v>
      </c>
      <c r="AM152" s="7" t="s">
        <v>8</v>
      </c>
      <c r="AN152" s="17">
        <f>IF(ISERROR(SEARCH("no",Tabella1[[#This Row],[Ipertensione]],1)),0,1)</f>
        <v>1</v>
      </c>
      <c r="AO152" s="7" t="s">
        <v>382</v>
      </c>
      <c r="AP152" s="18">
        <f>IF(ISERROR(SEARCH("NO",Tabella1[[#This Row],[Cardiopatia ischemica]],1)),1,0)</f>
        <v>0</v>
      </c>
      <c r="AQ152" s="17">
        <f>IF(ISERROR(SEARCH("sconosciuto",Tabella1[[#This Row],[Cardiopatia ischemica]],1)),0,1)</f>
        <v>0</v>
      </c>
      <c r="AR152" s="7" t="s">
        <v>25</v>
      </c>
      <c r="AS152" s="17">
        <f>IF(ISERROR(SEARCH("nega",Tabella1[[#This Row],[Artimie]],1)),0,1)</f>
        <v>1</v>
      </c>
      <c r="AT152" s="7" t="s">
        <v>28</v>
      </c>
      <c r="AU152" s="17">
        <f>IF(ISERROR(SEARCH("nega",Tabella1[[#This Row],[Ipercolesterolemia]],1)),0,1)</f>
        <v>0</v>
      </c>
      <c r="AV152" s="17">
        <f>IF(ISERROR(SEARCH("boh",Tabella1[[#This Row],[Ipercolesterolemia]],1)),0,1)</f>
        <v>0</v>
      </c>
      <c r="AW152" s="7" t="s">
        <v>8</v>
      </c>
      <c r="AX152" s="17">
        <f>IF(ISERROR(SEARCH("Intolleranza",Tabella1[[#This Row],[Diabete]],1)),0,1)</f>
        <v>0</v>
      </c>
      <c r="AY152" s="17">
        <f>IF(ISERROR(SEARCH("si",Tabella1[[#This Row],[Diabete]],1)),0,1)</f>
        <v>0</v>
      </c>
      <c r="AZ152" s="7" t="s">
        <v>8</v>
      </c>
      <c r="BA152" s="17">
        <f>IF(ISERROR(SEARCH("NDD",Tabella1[[#This Row],[Patologia Tiroidea]],1)),0,1)</f>
        <v>0</v>
      </c>
      <c r="BB152" s="17">
        <f>IF(ISERROR(SEARCH("TIROIDITE",Tabella1[[#This Row],[Patologia Tiroidea]],1)),0,1)</f>
        <v>0</v>
      </c>
      <c r="BC152" s="17">
        <f>IF(ISERROR(SEARCH("HASHIMOTO",Tabella1[[#This Row],[Patologia Tiroidea]],1)),0,1)</f>
        <v>0</v>
      </c>
      <c r="BD152" s="17">
        <f>IF(ISERROR(SEARCH("BASEDOW",Tabella1[[#This Row],[Patologia Tiroidea]],1)),0,1)</f>
        <v>0</v>
      </c>
      <c r="BE152" s="17">
        <f>IF(ISERROR(SEARCH("NOD",Tabella1[[#This Row],[Patologia Tiroidea]],1)),0,1)</f>
        <v>0</v>
      </c>
      <c r="BF152" s="17">
        <f>IF(ISERROR(SEARCH("GOZ",Tabella1[[#This Row],[Patologia Tiroidea]],1)),0,1)</f>
        <v>0</v>
      </c>
      <c r="BG152" s="7" t="s">
        <v>28</v>
      </c>
      <c r="BH152" s="17">
        <f>IF(Tabella1[[#This Row],[Obesità]]="no",0,1)</f>
        <v>1</v>
      </c>
      <c r="BI152" s="7" t="s">
        <v>25</v>
      </c>
      <c r="BJ152" s="22">
        <f>IF(ISERROR(SEARCH("nega",Tabella1[[#This Row],[Reflusso gastroesofageo]],1)),1,0)</f>
        <v>0</v>
      </c>
      <c r="BK152" s="7" t="s">
        <v>5477</v>
      </c>
      <c r="BL152" s="17">
        <f>IF(ISERROR(SEARCH("NDD",Tabella1[[#This Row],[Patologia respiratoria]],1)),0,1)</f>
        <v>1</v>
      </c>
      <c r="BM152" s="17">
        <f>IF(ISERROR(SEARCH("asma",Tabella1[[#This Row],[Patologia respiratoria]],1)),0,1)</f>
        <v>0</v>
      </c>
      <c r="BN152" s="17">
        <f>IF(ISERROR(SEARCH("BPCO",Tabella1[[#This Row],[Patologia respiratoria]],1)),0,1)</f>
        <v>0</v>
      </c>
      <c r="BO152" s="17">
        <f>IF(ISERROR(SEARCH("BRONCOPOLMONITE",Tabella1[[#This Row],[Patologia respiratoria]],1)),0,1)</f>
        <v>0</v>
      </c>
      <c r="BP152" s="17">
        <f>IF(ISERROR(SEARCH("ASMA, OSAS",Tabella1[[#This Row],[Patologia respiratoria]],1)),0,1)</f>
        <v>0</v>
      </c>
      <c r="BQ152" s="17">
        <f>IF(ISERROR(SEARCH("OSAS e BPCO",Tabella1[[#This Row],[Patologia respiratoria]],1)),0,1)</f>
        <v>0</v>
      </c>
      <c r="BR152" s="17">
        <f>IF(ISERROR(SEARCH("OSAS",Tabella1[[#This Row],[Patologia respiratoria]],1)),0,1)</f>
        <v>0</v>
      </c>
      <c r="BS152" s="7"/>
      <c r="BT152" s="7" t="s">
        <v>1687</v>
      </c>
      <c r="BU152" s="7" t="s">
        <v>5477</v>
      </c>
      <c r="BV152" s="17">
        <f>IF(ISERROR(SEARCH("ndd",Tabella1[[#This Row],[O2 terapia]],1)),0,1)</f>
        <v>1</v>
      </c>
      <c r="BW152" s="17"/>
      <c r="BX152" s="7"/>
      <c r="BY152" s="7" t="s">
        <v>8</v>
      </c>
      <c r="BZ152" s="18">
        <v>0</v>
      </c>
      <c r="CA152" s="7" t="s">
        <v>28</v>
      </c>
      <c r="CB152" s="17">
        <v>1</v>
      </c>
      <c r="CC152" s="7" t="s">
        <v>28</v>
      </c>
      <c r="CD152" s="17">
        <v>1</v>
      </c>
      <c r="CE152" s="7" t="s">
        <v>8</v>
      </c>
      <c r="CF152" s="18">
        <v>0</v>
      </c>
      <c r="CG152" s="7" t="s">
        <v>8</v>
      </c>
      <c r="CH152" s="17">
        <v>0</v>
      </c>
      <c r="CI152" s="7" t="s">
        <v>8</v>
      </c>
      <c r="CJ152" s="18">
        <v>0</v>
      </c>
      <c r="CK152" s="7" t="s">
        <v>8</v>
      </c>
      <c r="CL152" s="17">
        <v>0</v>
      </c>
      <c r="CM152" s="7" t="s">
        <v>8</v>
      </c>
      <c r="CN152" s="17">
        <v>0</v>
      </c>
      <c r="CO152" s="7" t="s">
        <v>8</v>
      </c>
      <c r="CP152" s="18">
        <v>0</v>
      </c>
      <c r="CQ152" s="7" t="s">
        <v>368</v>
      </c>
      <c r="CR152" s="7" t="s">
        <v>369</v>
      </c>
      <c r="CS152" s="7" t="s">
        <v>219</v>
      </c>
      <c r="CT152" s="7" t="s">
        <v>508</v>
      </c>
      <c r="CU152" s="7"/>
      <c r="CV152" s="8"/>
    </row>
    <row r="153" spans="1:100" ht="256.5">
      <c r="A153" s="1">
        <f t="shared" si="2"/>
        <v>152</v>
      </c>
      <c r="B153" s="9">
        <v>925</v>
      </c>
      <c r="C153" s="10">
        <v>45068</v>
      </c>
      <c r="D153" s="11" t="s">
        <v>1688</v>
      </c>
      <c r="E153" s="10">
        <v>24565</v>
      </c>
      <c r="F153" s="29">
        <f ca="1">_xlfn.DAYS(NOW(),Tabella1[[#This Row],[Data di Nascita]])/365.25</f>
        <v>58.338124572210816</v>
      </c>
      <c r="G153" s="11" t="s">
        <v>1689</v>
      </c>
      <c r="H153" s="11" t="s">
        <v>1690</v>
      </c>
      <c r="I153" s="11" t="s">
        <v>1691</v>
      </c>
      <c r="J153" s="11" t="s">
        <v>618</v>
      </c>
      <c r="K153" s="11" t="s">
        <v>326</v>
      </c>
      <c r="L153" s="18">
        <f>IF(ISERROR(SEARCH("EX",Tabella1[[#This Row],[Attività lavorativa]],1)),0,1)</f>
        <v>0</v>
      </c>
      <c r="M153" s="18"/>
      <c r="N153" s="18"/>
      <c r="O153" s="18"/>
      <c r="P153" s="18"/>
      <c r="Q153" s="18"/>
      <c r="R153" s="18"/>
      <c r="S153" s="18"/>
      <c r="T153" s="17">
        <f>IF(ISERROR(SEARCH("NDD",Tabella1[[#This Row],[Attività lavorativa]],1)),0,1)</f>
        <v>0</v>
      </c>
      <c r="U153" s="11" t="s">
        <v>8</v>
      </c>
      <c r="V153" s="22"/>
      <c r="W153" s="22">
        <f>IF(ISERROR(SEARCH("ex",Tabella1[[#This Row],[Fumo]],1)),0,1)</f>
        <v>0</v>
      </c>
      <c r="X153" s="22">
        <f>IF(ISERROR(SEARCH("no",Tabella1[[#This Row],[Fumo]],1)),0,1)</f>
        <v>1</v>
      </c>
      <c r="Y153" s="11" t="s">
        <v>486</v>
      </c>
      <c r="Z153" s="18">
        <f>IF(ISERROR(SEARCH("NDD",Tabella1[[#This Row],[Bevitore alcolici]],1)),0,1)</f>
        <v>0</v>
      </c>
      <c r="AA153" s="17">
        <f>IF(ISERROR(SEARCH("raro",Tabella1[[#This Row],[Bevitore alcolici]],1)),0,1)</f>
        <v>0</v>
      </c>
      <c r="AB153" s="17">
        <f>IF(ISERROR(SEARCH("saltuariamente",Tabella1[[#This Row],[Bevitore alcolici]],1)),0,1)</f>
        <v>0</v>
      </c>
      <c r="AC153" s="17">
        <f>IF(ISERROR(SEARCH("nega",Tabella1[[#This Row],[Bevitore alcolici]],1)),0,1)</f>
        <v>0</v>
      </c>
      <c r="AD153" s="17">
        <f>IF(ISERROR(SEARCH("potus",Tabella1[[#This Row],[Bevitore alcolici]],1)),0,1)</f>
        <v>0</v>
      </c>
      <c r="AE153" s="11" t="s">
        <v>657</v>
      </c>
      <c r="AF153" s="18"/>
      <c r="AG153" s="18"/>
      <c r="AH153" s="18"/>
      <c r="AI153" s="18"/>
      <c r="AJ153" s="18"/>
      <c r="AK153" s="11" t="s">
        <v>28</v>
      </c>
      <c r="AL153" s="18">
        <f>IF(ISERROR(SEARCH("si",Tabella1[[#This Row],[Patente di guida]],1)),0,1)</f>
        <v>1</v>
      </c>
      <c r="AM153" s="11" t="s">
        <v>28</v>
      </c>
      <c r="AN153" s="18">
        <f>IF(ISERROR(SEARCH("no",Tabella1[[#This Row],[Ipertensione]],1)),0,1)</f>
        <v>0</v>
      </c>
      <c r="AO153" s="11" t="s">
        <v>382</v>
      </c>
      <c r="AP153" s="18">
        <f>IF(ISERROR(SEARCH("NO",Tabella1[[#This Row],[Cardiopatia ischemica]],1)),1,0)</f>
        <v>0</v>
      </c>
      <c r="AQ153" s="17">
        <f>IF(ISERROR(SEARCH("sconosciuto",Tabella1[[#This Row],[Cardiopatia ischemica]],1)),0,1)</f>
        <v>0</v>
      </c>
      <c r="AR153" s="11" t="s">
        <v>25</v>
      </c>
      <c r="AS153" s="22">
        <f>IF(ISERROR(SEARCH("nega",Tabella1[[#This Row],[Artimie]],1)),0,1)</f>
        <v>1</v>
      </c>
      <c r="AT153" s="11" t="s">
        <v>28</v>
      </c>
      <c r="AU153" s="22">
        <f>IF(ISERROR(SEARCH("nega",Tabella1[[#This Row],[Ipercolesterolemia]],1)),0,1)</f>
        <v>0</v>
      </c>
      <c r="AV153" s="22">
        <f>IF(ISERROR(SEARCH("boh",Tabella1[[#This Row],[Ipercolesterolemia]],1)),0,1)</f>
        <v>0</v>
      </c>
      <c r="AW153" s="11" t="s">
        <v>25</v>
      </c>
      <c r="AX153" s="22">
        <f>IF(ISERROR(SEARCH("Intolleranza",Tabella1[[#This Row],[Diabete]],1)),0,1)</f>
        <v>0</v>
      </c>
      <c r="AY153" s="22">
        <f>IF(ISERROR(SEARCH("si",Tabella1[[#This Row],[Diabete]],1)),0,1)</f>
        <v>0</v>
      </c>
      <c r="AZ153" s="11" t="s">
        <v>25</v>
      </c>
      <c r="BA153" s="18">
        <f>IF(ISERROR(SEARCH("NDD",Tabella1[[#This Row],[Patologia Tiroidea]],1)),0,1)</f>
        <v>0</v>
      </c>
      <c r="BB153" s="22">
        <f>IF(ISERROR(SEARCH("TIROIDITE",Tabella1[[#This Row],[Patologia Tiroidea]],1)),0,1)</f>
        <v>0</v>
      </c>
      <c r="BC153" s="22">
        <f>IF(ISERROR(SEARCH("HASHIMOTO",Tabella1[[#This Row],[Patologia Tiroidea]],1)),0,1)</f>
        <v>0</v>
      </c>
      <c r="BD153" s="22">
        <f>IF(ISERROR(SEARCH("BASEDOW",Tabella1[[#This Row],[Patologia Tiroidea]],1)),0,1)</f>
        <v>0</v>
      </c>
      <c r="BE153" s="22">
        <f>IF(ISERROR(SEARCH("NOD",Tabella1[[#This Row],[Patologia Tiroidea]],1)),0,1)</f>
        <v>0</v>
      </c>
      <c r="BF153" s="22">
        <f>IF(ISERROR(SEARCH("GOZ",Tabella1[[#This Row],[Patologia Tiroidea]],1)),0,1)</f>
        <v>0</v>
      </c>
      <c r="BG153" s="11" t="s">
        <v>8</v>
      </c>
      <c r="BH153" s="18">
        <f>IF(Tabella1[[#This Row],[Obesità]]="no",0,1)</f>
        <v>0</v>
      </c>
      <c r="BI153" s="11" t="s">
        <v>26</v>
      </c>
      <c r="BJ153" s="22">
        <f>IF(ISERROR(SEARCH("nega",Tabella1[[#This Row],[Reflusso gastroesofageo]],1)),1,0)</f>
        <v>1</v>
      </c>
      <c r="BK153" s="11" t="s">
        <v>25</v>
      </c>
      <c r="BL153" s="18">
        <f>IF(ISERROR(SEARCH("NDD",Tabella1[[#This Row],[Patologia respiratoria]],1)),0,1)</f>
        <v>0</v>
      </c>
      <c r="BM153" s="18">
        <f>IF(ISERROR(SEARCH("asma",Tabella1[[#This Row],[Patologia respiratoria]],1)),0,1)</f>
        <v>0</v>
      </c>
      <c r="BN153" s="18">
        <f>IF(ISERROR(SEARCH("BPCO",Tabella1[[#This Row],[Patologia respiratoria]],1)),0,1)</f>
        <v>0</v>
      </c>
      <c r="BO153" s="18">
        <f>IF(ISERROR(SEARCH("BRONCOPOLMONITE",Tabella1[[#This Row],[Patologia respiratoria]],1)),0,1)</f>
        <v>0</v>
      </c>
      <c r="BP153" s="18">
        <f>IF(ISERROR(SEARCH("ASMA, OSAS",Tabella1[[#This Row],[Patologia respiratoria]],1)),0,1)</f>
        <v>0</v>
      </c>
      <c r="BQ153" s="18">
        <f>IF(ISERROR(SEARCH("OSAS e BPCO",Tabella1[[#This Row],[Patologia respiratoria]],1)),0,1)</f>
        <v>0</v>
      </c>
      <c r="BR153" s="18">
        <f>IF(ISERROR(SEARCH("OSAS",Tabella1[[#This Row],[Patologia respiratoria]],1)),0,1)</f>
        <v>0</v>
      </c>
      <c r="BS153" s="11"/>
      <c r="BT153" s="11" t="s">
        <v>1692</v>
      </c>
      <c r="BU153" s="11" t="s">
        <v>8</v>
      </c>
      <c r="BV153" s="18">
        <f>IF(ISERROR(SEARCH("ndd",Tabella1[[#This Row],[O2 terapia]],1)),0,1)</f>
        <v>0</v>
      </c>
      <c r="BW153" s="17">
        <v>0</v>
      </c>
      <c r="BX153" s="11"/>
      <c r="BY153" s="11" t="s">
        <v>1693</v>
      </c>
      <c r="BZ153" s="17">
        <v>1</v>
      </c>
      <c r="CA153" s="11" t="s">
        <v>25</v>
      </c>
      <c r="CB153" s="17">
        <v>0</v>
      </c>
      <c r="CC153" s="11" t="s">
        <v>25</v>
      </c>
      <c r="CD153" s="18">
        <v>0</v>
      </c>
      <c r="CE153" s="11" t="s">
        <v>25</v>
      </c>
      <c r="CF153" s="18">
        <v>0</v>
      </c>
      <c r="CG153" s="11" t="s">
        <v>25</v>
      </c>
      <c r="CH153" s="17">
        <v>0</v>
      </c>
      <c r="CI153" s="11" t="s">
        <v>25</v>
      </c>
      <c r="CJ153" s="18">
        <v>0</v>
      </c>
      <c r="CK153" s="11" t="s">
        <v>28</v>
      </c>
      <c r="CL153" s="17">
        <v>1</v>
      </c>
      <c r="CM153" s="11" t="s">
        <v>25</v>
      </c>
      <c r="CN153" s="17">
        <v>0</v>
      </c>
      <c r="CO153" s="11" t="s">
        <v>25</v>
      </c>
      <c r="CP153" s="18">
        <v>0</v>
      </c>
      <c r="CQ153" s="11" t="s">
        <v>54</v>
      </c>
      <c r="CR153" s="11" t="s">
        <v>1694</v>
      </c>
      <c r="CS153" s="11" t="s">
        <v>37</v>
      </c>
      <c r="CT153" s="11" t="s">
        <v>595</v>
      </c>
      <c r="CU153" s="11" t="s">
        <v>1695</v>
      </c>
      <c r="CV153" s="12" t="s">
        <v>1696</v>
      </c>
    </row>
    <row r="154" spans="1:100" ht="327.75">
      <c r="A154" s="1">
        <f t="shared" si="2"/>
        <v>153</v>
      </c>
      <c r="B154" s="5">
        <v>926</v>
      </c>
      <c r="C154" s="6">
        <v>45068</v>
      </c>
      <c r="D154" s="7" t="s">
        <v>1697</v>
      </c>
      <c r="E154" s="6">
        <v>21543</v>
      </c>
      <c r="F154" s="29">
        <f ca="1">_xlfn.DAYS(NOW(),Tabella1[[#This Row],[Data di Nascita]])/365.25</f>
        <v>66.611909650924019</v>
      </c>
      <c r="G154" s="7" t="s">
        <v>1698</v>
      </c>
      <c r="H154" s="7" t="s">
        <v>1699</v>
      </c>
      <c r="I154" s="7" t="s">
        <v>1691</v>
      </c>
      <c r="J154" s="7" t="s">
        <v>1700</v>
      </c>
      <c r="K154" s="7" t="s">
        <v>5609</v>
      </c>
      <c r="L154" s="18">
        <f>IF(ISERROR(SEARCH("EX",Tabella1[[#This Row],[Attività lavorativa]],1)),0,1)</f>
        <v>1</v>
      </c>
      <c r="M154" s="17"/>
      <c r="N154" s="17"/>
      <c r="O154" s="17"/>
      <c r="P154" s="17"/>
      <c r="Q154" s="17"/>
      <c r="R154" s="17"/>
      <c r="S154" s="17"/>
      <c r="T154" s="17">
        <f>IF(ISERROR(SEARCH("NDD",Tabella1[[#This Row],[Attività lavorativa]],1)),0,1)</f>
        <v>0</v>
      </c>
      <c r="U154" s="7" t="s">
        <v>1701</v>
      </c>
      <c r="V154" s="22">
        <v>24</v>
      </c>
      <c r="W154" s="22">
        <f>IF(ISERROR(SEARCH("ex",Tabella1[[#This Row],[Fumo]],1)),0,1)</f>
        <v>0</v>
      </c>
      <c r="X154" s="22">
        <f>IF(ISERROR(SEARCH("no",Tabella1[[#This Row],[Fumo]],1)),0,1)</f>
        <v>0</v>
      </c>
      <c r="Y154" s="7" t="s">
        <v>25</v>
      </c>
      <c r="Z154" s="17">
        <f>IF(ISERROR(SEARCH("NDD",Tabella1[[#This Row],[Bevitore alcolici]],1)),0,1)</f>
        <v>0</v>
      </c>
      <c r="AA154" s="17">
        <f>IF(ISERROR(SEARCH("raro",Tabella1[[#This Row],[Bevitore alcolici]],1)),0,1)</f>
        <v>0</v>
      </c>
      <c r="AB154" s="17">
        <f>IF(ISERROR(SEARCH("saltuariamente",Tabella1[[#This Row],[Bevitore alcolici]],1)),0,1)</f>
        <v>0</v>
      </c>
      <c r="AC154" s="17">
        <f>IF(ISERROR(SEARCH("nega",Tabella1[[#This Row],[Bevitore alcolici]],1)),0,1)</f>
        <v>1</v>
      </c>
      <c r="AD154" s="17">
        <f>IF(ISERROR(SEARCH("potus",Tabella1[[#This Row],[Bevitore alcolici]],1)),0,1)</f>
        <v>0</v>
      </c>
      <c r="AE154" s="7" t="s">
        <v>657</v>
      </c>
      <c r="AF154" s="17"/>
      <c r="AG154" s="17"/>
      <c r="AH154" s="17"/>
      <c r="AI154" s="17"/>
      <c r="AJ154" s="17"/>
      <c r="AK154" s="7" t="s">
        <v>8</v>
      </c>
      <c r="AL154" s="17">
        <f>IF(ISERROR(SEARCH("si",Tabella1[[#This Row],[Patente di guida]],1)),0,1)</f>
        <v>0</v>
      </c>
      <c r="AM154" s="7" t="s">
        <v>28</v>
      </c>
      <c r="AN154" s="17">
        <f>IF(ISERROR(SEARCH("no",Tabella1[[#This Row],[Ipertensione]],1)),0,1)</f>
        <v>0</v>
      </c>
      <c r="AO154" s="7" t="s">
        <v>382</v>
      </c>
      <c r="AP154" s="18">
        <f>IF(ISERROR(SEARCH("NO",Tabella1[[#This Row],[Cardiopatia ischemica]],1)),1,0)</f>
        <v>0</v>
      </c>
      <c r="AQ154" s="17">
        <f>IF(ISERROR(SEARCH("sconosciuto",Tabella1[[#This Row],[Cardiopatia ischemica]],1)),0,1)</f>
        <v>0</v>
      </c>
      <c r="AR154" s="7" t="s">
        <v>25</v>
      </c>
      <c r="AS154" s="22">
        <f>IF(ISERROR(SEARCH("nega",Tabella1[[#This Row],[Artimie]],1)),0,1)</f>
        <v>1</v>
      </c>
      <c r="AT154" s="7" t="s">
        <v>28</v>
      </c>
      <c r="AU154" s="22">
        <f>IF(ISERROR(SEARCH("nega",Tabella1[[#This Row],[Ipercolesterolemia]],1)),0,1)</f>
        <v>0</v>
      </c>
      <c r="AV154" s="22">
        <f>IF(ISERROR(SEARCH("boh",Tabella1[[#This Row],[Ipercolesterolemia]],1)),0,1)</f>
        <v>0</v>
      </c>
      <c r="AW154" s="7" t="s">
        <v>25</v>
      </c>
      <c r="AX154" s="22">
        <f>IF(ISERROR(SEARCH("Intolleranza",Tabella1[[#This Row],[Diabete]],1)),0,1)</f>
        <v>0</v>
      </c>
      <c r="AY154" s="22">
        <f>IF(ISERROR(SEARCH("si",Tabella1[[#This Row],[Diabete]],1)),0,1)</f>
        <v>0</v>
      </c>
      <c r="AZ154" s="7" t="s">
        <v>25</v>
      </c>
      <c r="BA154" s="17">
        <f>IF(ISERROR(SEARCH("NDD",Tabella1[[#This Row],[Patologia Tiroidea]],1)),0,1)</f>
        <v>0</v>
      </c>
      <c r="BB154" s="22">
        <f>IF(ISERROR(SEARCH("TIROIDITE",Tabella1[[#This Row],[Patologia Tiroidea]],1)),0,1)</f>
        <v>0</v>
      </c>
      <c r="BC154" s="22">
        <f>IF(ISERROR(SEARCH("HASHIMOTO",Tabella1[[#This Row],[Patologia Tiroidea]],1)),0,1)</f>
        <v>0</v>
      </c>
      <c r="BD154" s="22">
        <f>IF(ISERROR(SEARCH("BASEDOW",Tabella1[[#This Row],[Patologia Tiroidea]],1)),0,1)</f>
        <v>0</v>
      </c>
      <c r="BE154" s="22">
        <f>IF(ISERROR(SEARCH("NOD",Tabella1[[#This Row],[Patologia Tiroidea]],1)),0,1)</f>
        <v>0</v>
      </c>
      <c r="BF154" s="22">
        <f>IF(ISERROR(SEARCH("GOZ",Tabella1[[#This Row],[Patologia Tiroidea]],1)),0,1)</f>
        <v>0</v>
      </c>
      <c r="BG154" s="7" t="s">
        <v>28</v>
      </c>
      <c r="BH154" s="17">
        <f>IF(Tabella1[[#This Row],[Obesità]]="no",0,1)</f>
        <v>1</v>
      </c>
      <c r="BI154" s="7" t="s">
        <v>25</v>
      </c>
      <c r="BJ154" s="22">
        <f>IF(ISERROR(SEARCH("nega",Tabella1[[#This Row],[Reflusso gastroesofageo]],1)),1,0)</f>
        <v>0</v>
      </c>
      <c r="BK154" s="7" t="s">
        <v>25</v>
      </c>
      <c r="BL154" s="17">
        <f>IF(ISERROR(SEARCH("NDD",Tabella1[[#This Row],[Patologia respiratoria]],1)),0,1)</f>
        <v>0</v>
      </c>
      <c r="BM154" s="17">
        <f>IF(ISERROR(SEARCH("asma",Tabella1[[#This Row],[Patologia respiratoria]],1)),0,1)</f>
        <v>0</v>
      </c>
      <c r="BN154" s="17">
        <f>IF(ISERROR(SEARCH("BPCO",Tabella1[[#This Row],[Patologia respiratoria]],1)),0,1)</f>
        <v>0</v>
      </c>
      <c r="BO154" s="17">
        <f>IF(ISERROR(SEARCH("BRONCOPOLMONITE",Tabella1[[#This Row],[Patologia respiratoria]],1)),0,1)</f>
        <v>0</v>
      </c>
      <c r="BP154" s="17">
        <f>IF(ISERROR(SEARCH("ASMA, OSAS",Tabella1[[#This Row],[Patologia respiratoria]],1)),0,1)</f>
        <v>0</v>
      </c>
      <c r="BQ154" s="17">
        <f>IF(ISERROR(SEARCH("OSAS e BPCO",Tabella1[[#This Row],[Patologia respiratoria]],1)),0,1)</f>
        <v>0</v>
      </c>
      <c r="BR154" s="17">
        <f>IF(ISERROR(SEARCH("OSAS",Tabella1[[#This Row],[Patologia respiratoria]],1)),0,1)</f>
        <v>0</v>
      </c>
      <c r="BS154" s="7"/>
      <c r="BT154" s="7" t="s">
        <v>1702</v>
      </c>
      <c r="BU154" s="7" t="s">
        <v>8</v>
      </c>
      <c r="BV154" s="17">
        <f>IF(ISERROR(SEARCH("ndd",Tabella1[[#This Row],[O2 terapia]],1)),0,1)</f>
        <v>0</v>
      </c>
      <c r="BW154" s="17">
        <v>0</v>
      </c>
      <c r="BX154" s="7"/>
      <c r="BY154" s="7" t="s">
        <v>26</v>
      </c>
      <c r="BZ154" s="17">
        <v>1</v>
      </c>
      <c r="CA154" s="7" t="s">
        <v>28</v>
      </c>
      <c r="CB154" s="17">
        <v>1</v>
      </c>
      <c r="CC154" s="7" t="s">
        <v>31</v>
      </c>
      <c r="CD154" s="17">
        <v>1</v>
      </c>
      <c r="CE154" s="7" t="s">
        <v>25</v>
      </c>
      <c r="CF154" s="18">
        <v>0</v>
      </c>
      <c r="CG154" s="7" t="s">
        <v>25</v>
      </c>
      <c r="CH154" s="17">
        <v>0</v>
      </c>
      <c r="CI154" s="7" t="s">
        <v>25</v>
      </c>
      <c r="CJ154" s="18">
        <v>0</v>
      </c>
      <c r="CK154" s="7" t="s">
        <v>28</v>
      </c>
      <c r="CL154" s="17">
        <v>1</v>
      </c>
      <c r="CM154" s="7" t="s">
        <v>28</v>
      </c>
      <c r="CN154" s="17">
        <v>1</v>
      </c>
      <c r="CO154" s="7" t="s">
        <v>28</v>
      </c>
      <c r="CP154" s="17">
        <v>1</v>
      </c>
      <c r="CQ154" s="7" t="s">
        <v>69</v>
      </c>
      <c r="CR154" s="7" t="s">
        <v>1703</v>
      </c>
      <c r="CS154" s="7" t="s">
        <v>71</v>
      </c>
      <c r="CT154" s="7" t="s">
        <v>787</v>
      </c>
      <c r="CU154" s="7" t="s">
        <v>1704</v>
      </c>
      <c r="CV154" s="8" t="s">
        <v>1705</v>
      </c>
    </row>
    <row r="155" spans="1:100" ht="185.25">
      <c r="A155" s="1">
        <f t="shared" si="2"/>
        <v>154</v>
      </c>
      <c r="B155" s="9">
        <v>934</v>
      </c>
      <c r="C155" s="10">
        <v>45072</v>
      </c>
      <c r="D155" s="11" t="s">
        <v>1706</v>
      </c>
      <c r="E155" s="10">
        <v>23167</v>
      </c>
      <c r="F155" s="29">
        <f ca="1">_xlfn.DAYS(NOW(),Tabella1[[#This Row],[Data di Nascita]])/365.25</f>
        <v>62.165639972621491</v>
      </c>
      <c r="G155" s="11" t="s">
        <v>1707</v>
      </c>
      <c r="H155" s="11" t="s">
        <v>1708</v>
      </c>
      <c r="I155" s="11" t="s">
        <v>1709</v>
      </c>
      <c r="J155" s="11" t="s">
        <v>1710</v>
      </c>
      <c r="K155" s="11" t="s">
        <v>1711</v>
      </c>
      <c r="L155" s="18">
        <f>IF(ISERROR(SEARCH("EX",Tabella1[[#This Row],[Attività lavorativa]],1)),0,1)</f>
        <v>0</v>
      </c>
      <c r="M155" s="18"/>
      <c r="N155" s="18"/>
      <c r="O155" s="18"/>
      <c r="P155" s="18"/>
      <c r="Q155" s="18"/>
      <c r="R155" s="18"/>
      <c r="S155" s="18"/>
      <c r="T155" s="17">
        <f>IF(ISERROR(SEARCH("NDD",Tabella1[[#This Row],[Attività lavorativa]],1)),0,1)</f>
        <v>0</v>
      </c>
      <c r="U155" s="11" t="s">
        <v>1712</v>
      </c>
      <c r="V155" s="22">
        <v>6</v>
      </c>
      <c r="W155" s="22">
        <f>IF(ISERROR(SEARCH("ex",Tabella1[[#This Row],[Fumo]],1)),0,1)</f>
        <v>0</v>
      </c>
      <c r="X155" s="22">
        <f>IF(ISERROR(SEARCH("no",Tabella1[[#This Row],[Fumo]],1)),0,1)</f>
        <v>1</v>
      </c>
      <c r="Y155" s="11" t="s">
        <v>25</v>
      </c>
      <c r="Z155" s="18">
        <f>IF(ISERROR(SEARCH("NDD",Tabella1[[#This Row],[Bevitore alcolici]],1)),0,1)</f>
        <v>0</v>
      </c>
      <c r="AA155" s="17">
        <f>IF(ISERROR(SEARCH("raro",Tabella1[[#This Row],[Bevitore alcolici]],1)),0,1)</f>
        <v>0</v>
      </c>
      <c r="AB155" s="17">
        <f>IF(ISERROR(SEARCH("saltuariamente",Tabella1[[#This Row],[Bevitore alcolici]],1)),0,1)</f>
        <v>0</v>
      </c>
      <c r="AC155" s="17">
        <f>IF(ISERROR(SEARCH("nega",Tabella1[[#This Row],[Bevitore alcolici]],1)),0,1)</f>
        <v>1</v>
      </c>
      <c r="AD155" s="17">
        <f>IF(ISERROR(SEARCH("potus",Tabella1[[#This Row],[Bevitore alcolici]],1)),0,1)</f>
        <v>0</v>
      </c>
      <c r="AE155" s="11" t="s">
        <v>657</v>
      </c>
      <c r="AF155" s="18"/>
      <c r="AG155" s="18"/>
      <c r="AH155" s="18"/>
      <c r="AI155" s="18"/>
      <c r="AJ155" s="18"/>
      <c r="AK155" s="11" t="s">
        <v>28</v>
      </c>
      <c r="AL155" s="18">
        <f>IF(ISERROR(SEARCH("si",Tabella1[[#This Row],[Patente di guida]],1)),0,1)</f>
        <v>1</v>
      </c>
      <c r="AM155" s="11" t="s">
        <v>28</v>
      </c>
      <c r="AN155" s="18">
        <f>IF(ISERROR(SEARCH("no",Tabella1[[#This Row],[Ipertensione]],1)),0,1)</f>
        <v>0</v>
      </c>
      <c r="AO155" s="11" t="s">
        <v>28</v>
      </c>
      <c r="AP155" s="18">
        <f>IF(ISERROR(SEARCH("NO",Tabella1[[#This Row],[Cardiopatia ischemica]],1)),1,0)</f>
        <v>1</v>
      </c>
      <c r="AQ155" s="17">
        <f>IF(ISERROR(SEARCH("sconosciuto",Tabella1[[#This Row],[Cardiopatia ischemica]],1)),0,1)</f>
        <v>0</v>
      </c>
      <c r="AR155" s="11" t="s">
        <v>25</v>
      </c>
      <c r="AS155" s="22">
        <f>IF(ISERROR(SEARCH("nega",Tabella1[[#This Row],[Artimie]],1)),0,1)</f>
        <v>1</v>
      </c>
      <c r="AT155" s="11" t="s">
        <v>28</v>
      </c>
      <c r="AU155" s="22">
        <f>IF(ISERROR(SEARCH("nega",Tabella1[[#This Row],[Ipercolesterolemia]],1)),0,1)</f>
        <v>0</v>
      </c>
      <c r="AV155" s="22">
        <f>IF(ISERROR(SEARCH("boh",Tabella1[[#This Row],[Ipercolesterolemia]],1)),0,1)</f>
        <v>0</v>
      </c>
      <c r="AW155" s="11" t="s">
        <v>28</v>
      </c>
      <c r="AX155" s="22">
        <f>IF(ISERROR(SEARCH("Intolleranza",Tabella1[[#This Row],[Diabete]],1)),0,1)</f>
        <v>0</v>
      </c>
      <c r="AY155" s="22">
        <f>IF(ISERROR(SEARCH("si",Tabella1[[#This Row],[Diabete]],1)),0,1)</f>
        <v>1</v>
      </c>
      <c r="AZ155" s="11" t="s">
        <v>25</v>
      </c>
      <c r="BA155" s="18">
        <f>IF(ISERROR(SEARCH("NDD",Tabella1[[#This Row],[Patologia Tiroidea]],1)),0,1)</f>
        <v>0</v>
      </c>
      <c r="BB155" s="22">
        <f>IF(ISERROR(SEARCH("TIROIDITE",Tabella1[[#This Row],[Patologia Tiroidea]],1)),0,1)</f>
        <v>0</v>
      </c>
      <c r="BC155" s="22">
        <f>IF(ISERROR(SEARCH("HASHIMOTO",Tabella1[[#This Row],[Patologia Tiroidea]],1)),0,1)</f>
        <v>0</v>
      </c>
      <c r="BD155" s="22">
        <f>IF(ISERROR(SEARCH("BASEDOW",Tabella1[[#This Row],[Patologia Tiroidea]],1)),0,1)</f>
        <v>0</v>
      </c>
      <c r="BE155" s="22">
        <f>IF(ISERROR(SEARCH("NOD",Tabella1[[#This Row],[Patologia Tiroidea]],1)),0,1)</f>
        <v>0</v>
      </c>
      <c r="BF155" s="22">
        <f>IF(ISERROR(SEARCH("GOZ",Tabella1[[#This Row],[Patologia Tiroidea]],1)),0,1)</f>
        <v>0</v>
      </c>
      <c r="BG155" s="11" t="s">
        <v>28</v>
      </c>
      <c r="BH155" s="18">
        <f>IF(Tabella1[[#This Row],[Obesità]]="no",0,1)</f>
        <v>1</v>
      </c>
      <c r="BI155" s="11" t="s">
        <v>25</v>
      </c>
      <c r="BJ155" s="22">
        <f>IF(ISERROR(SEARCH("nega",Tabella1[[#This Row],[Reflusso gastroesofageo]],1)),1,0)</f>
        <v>0</v>
      </c>
      <c r="BK155" s="11" t="s">
        <v>25</v>
      </c>
      <c r="BL155" s="18">
        <f>IF(ISERROR(SEARCH("NDD",Tabella1[[#This Row],[Patologia respiratoria]],1)),0,1)</f>
        <v>0</v>
      </c>
      <c r="BM155" s="18">
        <f>IF(ISERROR(SEARCH("asma",Tabella1[[#This Row],[Patologia respiratoria]],1)),0,1)</f>
        <v>0</v>
      </c>
      <c r="BN155" s="18">
        <f>IF(ISERROR(SEARCH("BPCO",Tabella1[[#This Row],[Patologia respiratoria]],1)),0,1)</f>
        <v>0</v>
      </c>
      <c r="BO155" s="18">
        <f>IF(ISERROR(SEARCH("BRONCOPOLMONITE",Tabella1[[#This Row],[Patologia respiratoria]],1)),0,1)</f>
        <v>0</v>
      </c>
      <c r="BP155" s="18">
        <f>IF(ISERROR(SEARCH("ASMA, OSAS",Tabella1[[#This Row],[Patologia respiratoria]],1)),0,1)</f>
        <v>0</v>
      </c>
      <c r="BQ155" s="18">
        <f>IF(ISERROR(SEARCH("OSAS e BPCO",Tabella1[[#This Row],[Patologia respiratoria]],1)),0,1)</f>
        <v>0</v>
      </c>
      <c r="BR155" s="18">
        <f>IF(ISERROR(SEARCH("OSAS",Tabella1[[#This Row],[Patologia respiratoria]],1)),0,1)</f>
        <v>0</v>
      </c>
      <c r="BS155" s="11"/>
      <c r="BT155" s="11" t="s">
        <v>1713</v>
      </c>
      <c r="BU155" s="11" t="s">
        <v>8</v>
      </c>
      <c r="BV155" s="18">
        <f>IF(ISERROR(SEARCH("ndd",Tabella1[[#This Row],[O2 terapia]],1)),0,1)</f>
        <v>0</v>
      </c>
      <c r="BW155" s="17">
        <v>0</v>
      </c>
      <c r="BX155" s="11"/>
      <c r="BY155" s="11" t="s">
        <v>28</v>
      </c>
      <c r="BZ155" s="17">
        <v>1</v>
      </c>
      <c r="CA155" s="11" t="s">
        <v>28</v>
      </c>
      <c r="CB155" s="17">
        <v>1</v>
      </c>
      <c r="CC155" s="11" t="s">
        <v>28</v>
      </c>
      <c r="CD155" s="17">
        <v>1</v>
      </c>
      <c r="CE155" s="11" t="s">
        <v>28</v>
      </c>
      <c r="CF155" s="17">
        <v>1</v>
      </c>
      <c r="CG155" s="11" t="s">
        <v>25</v>
      </c>
      <c r="CH155" s="17">
        <v>0</v>
      </c>
      <c r="CI155" s="11" t="s">
        <v>25</v>
      </c>
      <c r="CJ155" s="18">
        <v>0</v>
      </c>
      <c r="CK155" s="11" t="s">
        <v>28</v>
      </c>
      <c r="CL155" s="17">
        <v>1</v>
      </c>
      <c r="CM155" s="11" t="s">
        <v>25</v>
      </c>
      <c r="CN155" s="17">
        <v>0</v>
      </c>
      <c r="CO155" s="11" t="s">
        <v>25</v>
      </c>
      <c r="CP155" s="18">
        <v>0</v>
      </c>
      <c r="CQ155" s="11" t="s">
        <v>1272</v>
      </c>
      <c r="CR155" s="11" t="s">
        <v>1714</v>
      </c>
      <c r="CS155" s="11" t="s">
        <v>105</v>
      </c>
      <c r="CT155" s="11" t="s">
        <v>370</v>
      </c>
      <c r="CU155" s="11" t="s">
        <v>1715</v>
      </c>
      <c r="CV155" s="12" t="s">
        <v>1681</v>
      </c>
    </row>
    <row r="156" spans="1:100" ht="28.5">
      <c r="A156" s="1">
        <f t="shared" si="2"/>
        <v>155</v>
      </c>
      <c r="B156" s="5">
        <v>939</v>
      </c>
      <c r="C156" s="6">
        <v>45076</v>
      </c>
      <c r="D156" s="7" t="s">
        <v>1716</v>
      </c>
      <c r="E156" s="6">
        <v>26427</v>
      </c>
      <c r="F156" s="29">
        <f ca="1">_xlfn.DAYS(NOW(),Tabella1[[#This Row],[Data di Nascita]])/365.25</f>
        <v>53.24024640657084</v>
      </c>
      <c r="G156" s="7" t="s">
        <v>1717</v>
      </c>
      <c r="H156" s="7" t="s">
        <v>1718</v>
      </c>
      <c r="I156" s="7" t="s">
        <v>1719</v>
      </c>
      <c r="J156" s="7" t="s">
        <v>1720</v>
      </c>
      <c r="K156" s="7" t="s">
        <v>1721</v>
      </c>
      <c r="L156" s="17">
        <f>IF(ISERROR(SEARCH("EX",Tabella1[[#This Row],[Attività lavorativa]],1)),0,1)</f>
        <v>0</v>
      </c>
      <c r="M156" s="17"/>
      <c r="N156" s="17"/>
      <c r="O156" s="17"/>
      <c r="P156" s="17"/>
      <c r="Q156" s="17"/>
      <c r="R156" s="17"/>
      <c r="S156" s="17"/>
      <c r="T156" s="17">
        <f>IF(ISERROR(SEARCH("NDD",Tabella1[[#This Row],[Attività lavorativa]],1)),0,1)</f>
        <v>0</v>
      </c>
      <c r="U156" s="7" t="s">
        <v>8</v>
      </c>
      <c r="V156" s="22"/>
      <c r="W156" s="22">
        <f>IF(ISERROR(SEARCH("ex",Tabella1[[#This Row],[Fumo]],1)),0,1)</f>
        <v>0</v>
      </c>
      <c r="X156" s="22">
        <f>IF(ISERROR(SEARCH("no",Tabella1[[#This Row],[Fumo]],1)),0,1)</f>
        <v>1</v>
      </c>
      <c r="Y156" s="7" t="s">
        <v>25</v>
      </c>
      <c r="Z156" s="17">
        <f>IF(ISERROR(SEARCH("NDD",Tabella1[[#This Row],[Bevitore alcolici]],1)),0,1)</f>
        <v>0</v>
      </c>
      <c r="AA156" s="17">
        <f>IF(ISERROR(SEARCH("raro",Tabella1[[#This Row],[Bevitore alcolici]],1)),0,1)</f>
        <v>0</v>
      </c>
      <c r="AB156" s="17">
        <f>IF(ISERROR(SEARCH("saltuariamente",Tabella1[[#This Row],[Bevitore alcolici]],1)),0,1)</f>
        <v>0</v>
      </c>
      <c r="AC156" s="17">
        <f>IF(ISERROR(SEARCH("nega",Tabella1[[#This Row],[Bevitore alcolici]],1)),0,1)</f>
        <v>1</v>
      </c>
      <c r="AD156" s="17">
        <f>IF(ISERROR(SEARCH("potus",Tabella1[[#This Row],[Bevitore alcolici]],1)),0,1)</f>
        <v>0</v>
      </c>
      <c r="AE156" s="7" t="s">
        <v>5647</v>
      </c>
      <c r="AF156" s="17"/>
      <c r="AG156" s="17"/>
      <c r="AH156" s="17"/>
      <c r="AI156" s="17"/>
      <c r="AJ156" s="17"/>
      <c r="AK156" s="7" t="s">
        <v>28</v>
      </c>
      <c r="AL156" s="17">
        <f>IF(ISERROR(SEARCH("si",Tabella1[[#This Row],[Patente di guida]],1)),0,1)</f>
        <v>1</v>
      </c>
      <c r="AM156" s="7" t="s">
        <v>28</v>
      </c>
      <c r="AN156" s="17">
        <f>IF(ISERROR(SEARCH("no",Tabella1[[#This Row],[Ipertensione]],1)),0,1)</f>
        <v>0</v>
      </c>
      <c r="AO156" s="7" t="s">
        <v>382</v>
      </c>
      <c r="AP156" s="18">
        <f>IF(ISERROR(SEARCH("NO",Tabella1[[#This Row],[Cardiopatia ischemica]],1)),1,0)</f>
        <v>0</v>
      </c>
      <c r="AQ156" s="17">
        <f>IF(ISERROR(SEARCH("sconosciuto",Tabella1[[#This Row],[Cardiopatia ischemica]],1)),0,1)</f>
        <v>0</v>
      </c>
      <c r="AR156" s="7" t="s">
        <v>25</v>
      </c>
      <c r="AS156" s="22">
        <f>IF(ISERROR(SEARCH("nega",Tabella1[[#This Row],[Artimie]],1)),0,1)</f>
        <v>1</v>
      </c>
      <c r="AT156" s="7" t="s">
        <v>28</v>
      </c>
      <c r="AU156" s="22">
        <f>IF(ISERROR(SEARCH("nega",Tabella1[[#This Row],[Ipercolesterolemia]],1)),0,1)</f>
        <v>0</v>
      </c>
      <c r="AV156" s="22">
        <f>IF(ISERROR(SEARCH("boh",Tabella1[[#This Row],[Ipercolesterolemia]],1)),0,1)</f>
        <v>0</v>
      </c>
      <c r="AW156" s="7" t="s">
        <v>28</v>
      </c>
      <c r="AX156" s="22">
        <f>IF(ISERROR(SEARCH("Intolleranza",Tabella1[[#This Row],[Diabete]],1)),0,1)</f>
        <v>0</v>
      </c>
      <c r="AY156" s="22">
        <f>IF(ISERROR(SEARCH("si",Tabella1[[#This Row],[Diabete]],1)),0,1)</f>
        <v>1</v>
      </c>
      <c r="AZ156" s="7" t="s">
        <v>5477</v>
      </c>
      <c r="BA156" s="17">
        <f>IF(ISERROR(SEARCH("NDD",Tabella1[[#This Row],[Patologia Tiroidea]],1)),0,1)</f>
        <v>1</v>
      </c>
      <c r="BB156" s="22">
        <f>IF(ISERROR(SEARCH("TIROIDITE",Tabella1[[#This Row],[Patologia Tiroidea]],1)),0,1)</f>
        <v>0</v>
      </c>
      <c r="BC156" s="22">
        <f>IF(ISERROR(SEARCH("HASHIMOTO",Tabella1[[#This Row],[Patologia Tiroidea]],1)),0,1)</f>
        <v>0</v>
      </c>
      <c r="BD156" s="22">
        <f>IF(ISERROR(SEARCH("BASEDOW",Tabella1[[#This Row],[Patologia Tiroidea]],1)),0,1)</f>
        <v>0</v>
      </c>
      <c r="BE156" s="22">
        <f>IF(ISERROR(SEARCH("NOD",Tabella1[[#This Row],[Patologia Tiroidea]],1)),0,1)</f>
        <v>0</v>
      </c>
      <c r="BF156" s="22">
        <f>IF(ISERROR(SEARCH("GOZ",Tabella1[[#This Row],[Patologia Tiroidea]],1)),0,1)</f>
        <v>0</v>
      </c>
      <c r="BG156" s="7" t="s">
        <v>1722</v>
      </c>
      <c r="BH156" s="17">
        <f>IF(Tabella1[[#This Row],[Obesità]]="no",0,1)</f>
        <v>1</v>
      </c>
      <c r="BI156" s="7" t="s">
        <v>25</v>
      </c>
      <c r="BJ156" s="22">
        <f>IF(ISERROR(SEARCH("nega",Tabella1[[#This Row],[Reflusso gastroesofageo]],1)),1,0)</f>
        <v>0</v>
      </c>
      <c r="BK156" s="7" t="s">
        <v>3822</v>
      </c>
      <c r="BL156" s="17">
        <f>IF(ISERROR(SEARCH("NDD",Tabella1[[#This Row],[Patologia respiratoria]],1)),0,1)</f>
        <v>0</v>
      </c>
      <c r="BM156" s="17">
        <f>IF(ISERROR(SEARCH("asma",Tabella1[[#This Row],[Patologia respiratoria]],1)),0,1)</f>
        <v>0</v>
      </c>
      <c r="BN156" s="17">
        <f>IF(ISERROR(SEARCH("BPCO",Tabella1[[#This Row],[Patologia respiratoria]],1)),0,1)</f>
        <v>0</v>
      </c>
      <c r="BO156" s="17">
        <f>IF(ISERROR(SEARCH("BRONCOPOLMONITE",Tabella1[[#This Row],[Patologia respiratoria]],1)),0,1)</f>
        <v>1</v>
      </c>
      <c r="BP156" s="17">
        <f>IF(ISERROR(SEARCH("ASMA, OSAS",Tabella1[[#This Row],[Patologia respiratoria]],1)),0,1)</f>
        <v>0</v>
      </c>
      <c r="BQ156" s="17">
        <f>IF(ISERROR(SEARCH("OSAS e BPCO",Tabella1[[#This Row],[Patologia respiratoria]],1)),0,1)</f>
        <v>0</v>
      </c>
      <c r="BR156" s="17">
        <f>IF(ISERROR(SEARCH("OSAS",Tabella1[[#This Row],[Patologia respiratoria]],1)),0,1)</f>
        <v>0</v>
      </c>
      <c r="BS156" s="7"/>
      <c r="BT156" s="7"/>
      <c r="BU156" s="7" t="s">
        <v>8</v>
      </c>
      <c r="BV156" s="17">
        <f>IF(ISERROR(SEARCH("ndd",Tabella1[[#This Row],[O2 terapia]],1)),0,1)</f>
        <v>0</v>
      </c>
      <c r="BW156" s="17">
        <v>0</v>
      </c>
      <c r="BX156" s="7"/>
      <c r="BY156" s="7" t="s">
        <v>28</v>
      </c>
      <c r="BZ156" s="17">
        <v>1</v>
      </c>
      <c r="CA156" s="7" t="s">
        <v>28</v>
      </c>
      <c r="CB156" s="17">
        <v>1</v>
      </c>
      <c r="CC156" s="7" t="s">
        <v>28</v>
      </c>
      <c r="CD156" s="17">
        <v>1</v>
      </c>
      <c r="CE156" s="7" t="s">
        <v>8</v>
      </c>
      <c r="CF156" s="18">
        <v>0</v>
      </c>
      <c r="CG156" s="7" t="s">
        <v>8</v>
      </c>
      <c r="CH156" s="17">
        <v>0</v>
      </c>
      <c r="CI156" s="7" t="s">
        <v>8</v>
      </c>
      <c r="CJ156" s="18">
        <v>0</v>
      </c>
      <c r="CK156" s="7" t="s">
        <v>28</v>
      </c>
      <c r="CL156" s="17">
        <v>1</v>
      </c>
      <c r="CM156" s="7" t="s">
        <v>28</v>
      </c>
      <c r="CN156" s="17">
        <v>1</v>
      </c>
      <c r="CO156" s="7" t="s">
        <v>28</v>
      </c>
      <c r="CP156" s="17">
        <v>1</v>
      </c>
      <c r="CQ156" s="7" t="s">
        <v>202</v>
      </c>
      <c r="CR156" s="7" t="s">
        <v>538</v>
      </c>
      <c r="CS156" s="7" t="s">
        <v>71</v>
      </c>
      <c r="CT156" s="7" t="s">
        <v>420</v>
      </c>
      <c r="CU156" s="7"/>
      <c r="CV156" s="8"/>
    </row>
    <row r="157" spans="1:100" ht="57">
      <c r="A157" s="1">
        <f t="shared" si="2"/>
        <v>156</v>
      </c>
      <c r="B157" s="9">
        <v>942</v>
      </c>
      <c r="C157" s="10">
        <v>45078</v>
      </c>
      <c r="D157" s="11" t="s">
        <v>1723</v>
      </c>
      <c r="E157" s="10">
        <v>25181</v>
      </c>
      <c r="F157" s="29">
        <f ca="1">_xlfn.DAYS(NOW(),Tabella1[[#This Row],[Data di Nascita]])/365.25</f>
        <v>56.651608487337441</v>
      </c>
      <c r="G157" s="11" t="s">
        <v>1724</v>
      </c>
      <c r="H157" s="11" t="s">
        <v>1725</v>
      </c>
      <c r="I157" s="11" t="s">
        <v>1726</v>
      </c>
      <c r="J157" s="11" t="s">
        <v>1264</v>
      </c>
      <c r="K157" s="11" t="s">
        <v>241</v>
      </c>
      <c r="L157" s="18">
        <f>IF(ISERROR(SEARCH("EX",Tabella1[[#This Row],[Attività lavorativa]],1)),0,1)</f>
        <v>0</v>
      </c>
      <c r="M157" s="18"/>
      <c r="N157" s="18"/>
      <c r="O157" s="18"/>
      <c r="P157" s="18">
        <v>1</v>
      </c>
      <c r="Q157" s="18"/>
      <c r="R157" s="18"/>
      <c r="S157" s="18"/>
      <c r="T157" s="17">
        <f>IF(ISERROR(SEARCH("NDD",Tabella1[[#This Row],[Attività lavorativa]],1)),0,1)</f>
        <v>0</v>
      </c>
      <c r="U157" s="11" t="s">
        <v>1531</v>
      </c>
      <c r="V157" s="22">
        <v>20</v>
      </c>
      <c r="W157" s="22">
        <f>IF(ISERROR(SEARCH("ex",Tabella1[[#This Row],[Fumo]],1)),0,1)</f>
        <v>1</v>
      </c>
      <c r="X157" s="22">
        <f>IF(ISERROR(SEARCH("no",Tabella1[[#This Row],[Fumo]],1)),0,1)</f>
        <v>0</v>
      </c>
      <c r="Y157" s="11" t="s">
        <v>25</v>
      </c>
      <c r="Z157" s="18">
        <f>IF(ISERROR(SEARCH("NDD",Tabella1[[#This Row],[Bevitore alcolici]],1)),0,1)</f>
        <v>0</v>
      </c>
      <c r="AA157" s="17">
        <f>IF(ISERROR(SEARCH("raro",Tabella1[[#This Row],[Bevitore alcolici]],1)),0,1)</f>
        <v>0</v>
      </c>
      <c r="AB157" s="17">
        <f>IF(ISERROR(SEARCH("saltuariamente",Tabella1[[#This Row],[Bevitore alcolici]],1)),0,1)</f>
        <v>0</v>
      </c>
      <c r="AC157" s="17">
        <f>IF(ISERROR(SEARCH("nega",Tabella1[[#This Row],[Bevitore alcolici]],1)),0,1)</f>
        <v>1</v>
      </c>
      <c r="AD157" s="17">
        <f>IF(ISERROR(SEARCH("potus",Tabella1[[#This Row],[Bevitore alcolici]],1)),0,1)</f>
        <v>0</v>
      </c>
      <c r="AE157" s="11" t="s">
        <v>5647</v>
      </c>
      <c r="AF157" s="18"/>
      <c r="AG157" s="18"/>
      <c r="AH157" s="18"/>
      <c r="AI157" s="18"/>
      <c r="AJ157" s="18"/>
      <c r="AK157" s="11" t="s">
        <v>8</v>
      </c>
      <c r="AL157" s="18">
        <f>IF(ISERROR(SEARCH("si",Tabella1[[#This Row],[Patente di guida]],1)),0,1)</f>
        <v>0</v>
      </c>
      <c r="AM157" s="11" t="s">
        <v>28</v>
      </c>
      <c r="AN157" s="18">
        <f>IF(ISERROR(SEARCH("no",Tabella1[[#This Row],[Ipertensione]],1)),0,1)</f>
        <v>0</v>
      </c>
      <c r="AO157" s="11" t="s">
        <v>382</v>
      </c>
      <c r="AP157" s="18">
        <f>IF(ISERROR(SEARCH("NO",Tabella1[[#This Row],[Cardiopatia ischemica]],1)),1,0)</f>
        <v>0</v>
      </c>
      <c r="AQ157" s="17">
        <f>IF(ISERROR(SEARCH("sconosciuto",Tabella1[[#This Row],[Cardiopatia ischemica]],1)),0,1)</f>
        <v>0</v>
      </c>
      <c r="AR157" s="11" t="s">
        <v>25</v>
      </c>
      <c r="AS157" s="22">
        <f>IF(ISERROR(SEARCH("nega",Tabella1[[#This Row],[Artimie]],1)),0,1)</f>
        <v>1</v>
      </c>
      <c r="AT157" s="11" t="s">
        <v>25</v>
      </c>
      <c r="AU157" s="22">
        <f>IF(ISERROR(SEARCH("nega",Tabella1[[#This Row],[Ipercolesterolemia]],1)),0,1)</f>
        <v>1</v>
      </c>
      <c r="AV157" s="22">
        <f>IF(ISERROR(SEARCH("boh",Tabella1[[#This Row],[Ipercolesterolemia]],1)),0,1)</f>
        <v>0</v>
      </c>
      <c r="AW157" s="11" t="s">
        <v>8</v>
      </c>
      <c r="AX157" s="22">
        <f>IF(ISERROR(SEARCH("Intolleranza",Tabella1[[#This Row],[Diabete]],1)),0,1)</f>
        <v>0</v>
      </c>
      <c r="AY157" s="22">
        <f>IF(ISERROR(SEARCH("si",Tabella1[[#This Row],[Diabete]],1)),0,1)</f>
        <v>0</v>
      </c>
      <c r="AZ157" s="11" t="s">
        <v>8</v>
      </c>
      <c r="BA157" s="18">
        <f>IF(ISERROR(SEARCH("NDD",Tabella1[[#This Row],[Patologia Tiroidea]],1)),0,1)</f>
        <v>0</v>
      </c>
      <c r="BB157" s="22">
        <f>IF(ISERROR(SEARCH("TIROIDITE",Tabella1[[#This Row],[Patologia Tiroidea]],1)),0,1)</f>
        <v>0</v>
      </c>
      <c r="BC157" s="22">
        <f>IF(ISERROR(SEARCH("HASHIMOTO",Tabella1[[#This Row],[Patologia Tiroidea]],1)),0,1)</f>
        <v>0</v>
      </c>
      <c r="BD157" s="22">
        <f>IF(ISERROR(SEARCH("BASEDOW",Tabella1[[#This Row],[Patologia Tiroidea]],1)),0,1)</f>
        <v>0</v>
      </c>
      <c r="BE157" s="22">
        <f>IF(ISERROR(SEARCH("NOD",Tabella1[[#This Row],[Patologia Tiroidea]],1)),0,1)</f>
        <v>0</v>
      </c>
      <c r="BF157" s="22">
        <f>IF(ISERROR(SEARCH("GOZ",Tabella1[[#This Row],[Patologia Tiroidea]],1)),0,1)</f>
        <v>0</v>
      </c>
      <c r="BG157" s="11" t="s">
        <v>1727</v>
      </c>
      <c r="BH157" s="18">
        <f>IF(Tabella1[[#This Row],[Obesità]]="no",0,1)</f>
        <v>1</v>
      </c>
      <c r="BI157" s="11" t="s">
        <v>1395</v>
      </c>
      <c r="BJ157" s="22">
        <f>IF(ISERROR(SEARCH("nega",Tabella1[[#This Row],[Reflusso gastroesofageo]],1)),1,0)</f>
        <v>1</v>
      </c>
      <c r="BK157" s="11" t="s">
        <v>3806</v>
      </c>
      <c r="BL157" s="18">
        <f>IF(ISERROR(SEARCH("NDD",Tabella1[[#This Row],[Patologia respiratoria]],1)),0,1)</f>
        <v>0</v>
      </c>
      <c r="BM157" s="18">
        <f>IF(ISERROR(SEARCH("asma",Tabella1[[#This Row],[Patologia respiratoria]],1)),0,1)</f>
        <v>1</v>
      </c>
      <c r="BN157" s="18">
        <f>IF(ISERROR(SEARCH("BPCO",Tabella1[[#This Row],[Patologia respiratoria]],1)),0,1)</f>
        <v>0</v>
      </c>
      <c r="BO157" s="18">
        <f>IF(ISERROR(SEARCH("BRONCOPOLMONITE",Tabella1[[#This Row],[Patologia respiratoria]],1)),0,1)</f>
        <v>0</v>
      </c>
      <c r="BP157" s="18">
        <f>IF(ISERROR(SEARCH("ASMA, OSAS",Tabella1[[#This Row],[Patologia respiratoria]],1)),0,1)</f>
        <v>0</v>
      </c>
      <c r="BQ157" s="18">
        <f>IF(ISERROR(SEARCH("OSAS e BPCO",Tabella1[[#This Row],[Patologia respiratoria]],1)),0,1)</f>
        <v>0</v>
      </c>
      <c r="BR157" s="18">
        <f>IF(ISERROR(SEARCH("OSAS",Tabella1[[#This Row],[Patologia respiratoria]],1)),0,1)</f>
        <v>0</v>
      </c>
      <c r="BS157" s="11"/>
      <c r="BT157" s="11" t="s">
        <v>1728</v>
      </c>
      <c r="BU157" s="11" t="s">
        <v>8</v>
      </c>
      <c r="BV157" s="18">
        <f>IF(ISERROR(SEARCH("ndd",Tabella1[[#This Row],[O2 terapia]],1)),0,1)</f>
        <v>0</v>
      </c>
      <c r="BW157" s="17">
        <v>0</v>
      </c>
      <c r="BX157" s="11"/>
      <c r="BY157" s="11" t="s">
        <v>8</v>
      </c>
      <c r="BZ157" s="18">
        <v>0</v>
      </c>
      <c r="CA157" s="11" t="s">
        <v>8</v>
      </c>
      <c r="CB157" s="17">
        <v>0</v>
      </c>
      <c r="CC157" s="11" t="s">
        <v>31</v>
      </c>
      <c r="CD157" s="17">
        <v>1</v>
      </c>
      <c r="CE157" s="11" t="s">
        <v>5705</v>
      </c>
      <c r="CF157" s="17">
        <v>1</v>
      </c>
      <c r="CG157" s="11" t="s">
        <v>8</v>
      </c>
      <c r="CH157" s="17">
        <v>0</v>
      </c>
      <c r="CI157" s="11" t="s">
        <v>8</v>
      </c>
      <c r="CJ157" s="18">
        <v>0</v>
      </c>
      <c r="CK157" s="11" t="s">
        <v>28</v>
      </c>
      <c r="CL157" s="17">
        <v>1</v>
      </c>
      <c r="CM157" s="11" t="s">
        <v>8</v>
      </c>
      <c r="CN157" s="17">
        <v>0</v>
      </c>
      <c r="CO157" s="11" t="s">
        <v>28</v>
      </c>
      <c r="CP157" s="17">
        <v>1</v>
      </c>
      <c r="CQ157" s="11" t="s">
        <v>69</v>
      </c>
      <c r="CR157" s="11" t="s">
        <v>14</v>
      </c>
      <c r="CS157" s="11" t="s">
        <v>219</v>
      </c>
      <c r="CT157" s="11" t="s">
        <v>736</v>
      </c>
      <c r="CU157" s="11" t="s">
        <v>1729</v>
      </c>
      <c r="CV157" s="12"/>
    </row>
    <row r="158" spans="1:100" ht="28.5">
      <c r="A158" s="1">
        <f t="shared" si="2"/>
        <v>157</v>
      </c>
      <c r="B158" s="5">
        <v>943</v>
      </c>
      <c r="C158" s="6">
        <v>45078</v>
      </c>
      <c r="D158" s="7" t="s">
        <v>1730</v>
      </c>
      <c r="E158" s="6">
        <v>30434</v>
      </c>
      <c r="F158" s="29">
        <f ca="1">_xlfn.DAYS(NOW(),Tabella1[[#This Row],[Data di Nascita]])/365.25</f>
        <v>42.269678302532512</v>
      </c>
      <c r="G158" s="7" t="s">
        <v>1731</v>
      </c>
      <c r="H158" s="7" t="s">
        <v>1732</v>
      </c>
      <c r="I158" s="7" t="s">
        <v>1536</v>
      </c>
      <c r="J158" s="7" t="s">
        <v>618</v>
      </c>
      <c r="K158" s="7" t="s">
        <v>1641</v>
      </c>
      <c r="L158" s="17">
        <f>IF(ISERROR(SEARCH("EX",Tabella1[[#This Row],[Attività lavorativa]],1)),0,1)</f>
        <v>0</v>
      </c>
      <c r="M158" s="17"/>
      <c r="N158" s="17">
        <v>1</v>
      </c>
      <c r="O158" s="17"/>
      <c r="P158" s="17"/>
      <c r="Q158" s="17"/>
      <c r="R158" s="17"/>
      <c r="S158" s="17"/>
      <c r="T158" s="17">
        <f>IF(ISERROR(SEARCH("NDD",Tabella1[[#This Row],[Attività lavorativa]],1)),0,1)</f>
        <v>0</v>
      </c>
      <c r="U158" s="7" t="s">
        <v>1733</v>
      </c>
      <c r="V158" s="22">
        <v>25</v>
      </c>
      <c r="W158" s="22">
        <f>IF(ISERROR(SEARCH("ex",Tabella1[[#This Row],[Fumo]],1)),0,1)</f>
        <v>0</v>
      </c>
      <c r="X158" s="22">
        <f>IF(ISERROR(SEARCH("no",Tabella1[[#This Row],[Fumo]],1)),0,1)</f>
        <v>0</v>
      </c>
      <c r="Y158" s="7" t="s">
        <v>26</v>
      </c>
      <c r="Z158" s="17">
        <f>IF(ISERROR(SEARCH("NDD",Tabella1[[#This Row],[Bevitore alcolici]],1)),0,1)</f>
        <v>0</v>
      </c>
      <c r="AA158" s="17">
        <f>IF(ISERROR(SEARCH("raro",Tabella1[[#This Row],[Bevitore alcolici]],1)),0,1)</f>
        <v>0</v>
      </c>
      <c r="AB158" s="17">
        <f>IF(ISERROR(SEARCH("saltuariamente",Tabella1[[#This Row],[Bevitore alcolici]],1)),0,1)</f>
        <v>1</v>
      </c>
      <c r="AC158" s="17">
        <f>IF(ISERROR(SEARCH("nega",Tabella1[[#This Row],[Bevitore alcolici]],1)),0,1)</f>
        <v>0</v>
      </c>
      <c r="AD158" s="17">
        <f>IF(ISERROR(SEARCH("potus",Tabella1[[#This Row],[Bevitore alcolici]],1)),0,1)</f>
        <v>0</v>
      </c>
      <c r="AE158" s="7" t="s">
        <v>5647</v>
      </c>
      <c r="AF158" s="17"/>
      <c r="AG158" s="17"/>
      <c r="AH158" s="17"/>
      <c r="AI158" s="17"/>
      <c r="AJ158" s="17"/>
      <c r="AK158" s="7" t="s">
        <v>28</v>
      </c>
      <c r="AL158" s="17">
        <f>IF(ISERROR(SEARCH("si",Tabella1[[#This Row],[Patente di guida]],1)),0,1)</f>
        <v>1</v>
      </c>
      <c r="AM158" s="7" t="s">
        <v>8</v>
      </c>
      <c r="AN158" s="17">
        <f>IF(ISERROR(SEARCH("no",Tabella1[[#This Row],[Ipertensione]],1)),0,1)</f>
        <v>1</v>
      </c>
      <c r="AO158" s="7" t="s">
        <v>382</v>
      </c>
      <c r="AP158" s="18">
        <f>IF(ISERROR(SEARCH("NO",Tabella1[[#This Row],[Cardiopatia ischemica]],1)),1,0)</f>
        <v>0</v>
      </c>
      <c r="AQ158" s="17">
        <f>IF(ISERROR(SEARCH("sconosciuto",Tabella1[[#This Row],[Cardiopatia ischemica]],1)),0,1)</f>
        <v>0</v>
      </c>
      <c r="AR158" s="7" t="s">
        <v>25</v>
      </c>
      <c r="AS158" s="22">
        <f>IF(ISERROR(SEARCH("nega",Tabella1[[#This Row],[Artimie]],1)),0,1)</f>
        <v>1</v>
      </c>
      <c r="AT158" s="7" t="s">
        <v>28</v>
      </c>
      <c r="AU158" s="22">
        <f>IF(ISERROR(SEARCH("nega",Tabella1[[#This Row],[Ipercolesterolemia]],1)),0,1)</f>
        <v>0</v>
      </c>
      <c r="AV158" s="22">
        <f>IF(ISERROR(SEARCH("boh",Tabella1[[#This Row],[Ipercolesterolemia]],1)),0,1)</f>
        <v>0</v>
      </c>
      <c r="AW158" s="7" t="s">
        <v>8</v>
      </c>
      <c r="AX158" s="22">
        <f>IF(ISERROR(SEARCH("Intolleranza",Tabella1[[#This Row],[Diabete]],1)),0,1)</f>
        <v>0</v>
      </c>
      <c r="AY158" s="22">
        <f>IF(ISERROR(SEARCH("si",Tabella1[[#This Row],[Diabete]],1)),0,1)</f>
        <v>0</v>
      </c>
      <c r="AZ158" s="7" t="s">
        <v>5477</v>
      </c>
      <c r="BA158" s="17">
        <f>IF(ISERROR(SEARCH("NDD",Tabella1[[#This Row],[Patologia Tiroidea]],1)),0,1)</f>
        <v>1</v>
      </c>
      <c r="BB158" s="22">
        <f>IF(ISERROR(SEARCH("TIROIDITE",Tabella1[[#This Row],[Patologia Tiroidea]],1)),0,1)</f>
        <v>0</v>
      </c>
      <c r="BC158" s="22">
        <f>IF(ISERROR(SEARCH("HASHIMOTO",Tabella1[[#This Row],[Patologia Tiroidea]],1)),0,1)</f>
        <v>0</v>
      </c>
      <c r="BD158" s="22">
        <f>IF(ISERROR(SEARCH("BASEDOW",Tabella1[[#This Row],[Patologia Tiroidea]],1)),0,1)</f>
        <v>0</v>
      </c>
      <c r="BE158" s="22">
        <f>IF(ISERROR(SEARCH("NOD",Tabella1[[#This Row],[Patologia Tiroidea]],1)),0,1)</f>
        <v>0</v>
      </c>
      <c r="BF158" s="22">
        <f>IF(ISERROR(SEARCH("GOZ",Tabella1[[#This Row],[Patologia Tiroidea]],1)),0,1)</f>
        <v>0</v>
      </c>
      <c r="BG158" s="7" t="s">
        <v>1727</v>
      </c>
      <c r="BH158" s="17">
        <f>IF(Tabella1[[#This Row],[Obesità]]="no",0,1)</f>
        <v>1</v>
      </c>
      <c r="BI158" s="7" t="s">
        <v>25</v>
      </c>
      <c r="BJ158" s="22">
        <f>IF(ISERROR(SEARCH("nega",Tabella1[[#This Row],[Reflusso gastroesofageo]],1)),1,0)</f>
        <v>0</v>
      </c>
      <c r="BK158" s="7" t="s">
        <v>5477</v>
      </c>
      <c r="BL158" s="17">
        <f>IF(ISERROR(SEARCH("NDD",Tabella1[[#This Row],[Patologia respiratoria]],1)),0,1)</f>
        <v>1</v>
      </c>
      <c r="BM158" s="17">
        <f>IF(ISERROR(SEARCH("asma",Tabella1[[#This Row],[Patologia respiratoria]],1)),0,1)</f>
        <v>0</v>
      </c>
      <c r="BN158" s="17">
        <f>IF(ISERROR(SEARCH("BPCO",Tabella1[[#This Row],[Patologia respiratoria]],1)),0,1)</f>
        <v>0</v>
      </c>
      <c r="BO158" s="17">
        <f>IF(ISERROR(SEARCH("BRONCOPOLMONITE",Tabella1[[#This Row],[Patologia respiratoria]],1)),0,1)</f>
        <v>0</v>
      </c>
      <c r="BP158" s="17">
        <f>IF(ISERROR(SEARCH("ASMA, OSAS",Tabella1[[#This Row],[Patologia respiratoria]],1)),0,1)</f>
        <v>0</v>
      </c>
      <c r="BQ158" s="17">
        <f>IF(ISERROR(SEARCH("OSAS e BPCO",Tabella1[[#This Row],[Patologia respiratoria]],1)),0,1)</f>
        <v>0</v>
      </c>
      <c r="BR158" s="17">
        <f>IF(ISERROR(SEARCH("OSAS",Tabella1[[#This Row],[Patologia respiratoria]],1)),0,1)</f>
        <v>0</v>
      </c>
      <c r="BS158" s="7"/>
      <c r="BT158" s="7" t="s">
        <v>25</v>
      </c>
      <c r="BU158" s="7" t="s">
        <v>8</v>
      </c>
      <c r="BV158" s="17">
        <f>IF(ISERROR(SEARCH("ndd",Tabella1[[#This Row],[O2 terapia]],1)),0,1)</f>
        <v>0</v>
      </c>
      <c r="BW158" s="17">
        <v>0</v>
      </c>
      <c r="BX158" s="7"/>
      <c r="BY158" s="7" t="s">
        <v>1667</v>
      </c>
      <c r="BZ158" s="17">
        <v>1</v>
      </c>
      <c r="CA158" s="7" t="s">
        <v>28</v>
      </c>
      <c r="CB158" s="17">
        <v>1</v>
      </c>
      <c r="CC158" s="7" t="s">
        <v>908</v>
      </c>
      <c r="CD158" s="17">
        <v>1</v>
      </c>
      <c r="CE158" s="7" t="s">
        <v>8</v>
      </c>
      <c r="CF158" s="18">
        <v>0</v>
      </c>
      <c r="CG158" s="7" t="s">
        <v>352</v>
      </c>
      <c r="CH158" s="17">
        <v>1</v>
      </c>
      <c r="CI158" s="7" t="s">
        <v>5477</v>
      </c>
      <c r="CJ158" s="17"/>
      <c r="CK158" s="7" t="s">
        <v>28</v>
      </c>
      <c r="CL158" s="17">
        <v>1</v>
      </c>
      <c r="CM158" s="7" t="s">
        <v>28</v>
      </c>
      <c r="CN158" s="17">
        <v>1</v>
      </c>
      <c r="CO158" s="7" t="s">
        <v>8</v>
      </c>
      <c r="CP158" s="18">
        <v>0</v>
      </c>
      <c r="CQ158" s="7" t="s">
        <v>202</v>
      </c>
      <c r="CR158" s="7" t="s">
        <v>495</v>
      </c>
      <c r="CS158" s="7" t="s">
        <v>71</v>
      </c>
      <c r="CT158" s="7" t="s">
        <v>746</v>
      </c>
      <c r="CU158" s="7"/>
      <c r="CV158" s="8"/>
    </row>
    <row r="159" spans="1:100" ht="42.75">
      <c r="A159" s="1">
        <f t="shared" si="2"/>
        <v>158</v>
      </c>
      <c r="B159" s="9">
        <v>947</v>
      </c>
      <c r="C159" s="10">
        <v>45083</v>
      </c>
      <c r="D159" s="11" t="s">
        <v>1734</v>
      </c>
      <c r="E159" s="10">
        <v>28802</v>
      </c>
      <c r="F159" s="29">
        <f ca="1">_xlfn.DAYS(NOW(),Tabella1[[#This Row],[Data di Nascita]])/365.25</f>
        <v>46.737850787132103</v>
      </c>
      <c r="G159" s="11" t="s">
        <v>1735</v>
      </c>
      <c r="H159" s="11" t="s">
        <v>1736</v>
      </c>
      <c r="I159" s="11" t="s">
        <v>955</v>
      </c>
      <c r="J159" s="11" t="s">
        <v>1737</v>
      </c>
      <c r="K159" s="11" t="s">
        <v>1738</v>
      </c>
      <c r="L159" s="18">
        <f>IF(ISERROR(SEARCH("EX",Tabella1[[#This Row],[Attività lavorativa]],1)),0,1)</f>
        <v>0</v>
      </c>
      <c r="M159" s="18">
        <v>1</v>
      </c>
      <c r="N159" s="18"/>
      <c r="O159" s="18"/>
      <c r="P159" s="18"/>
      <c r="Q159" s="18"/>
      <c r="R159" s="18"/>
      <c r="S159" s="18"/>
      <c r="T159" s="17">
        <f>IF(ISERROR(SEARCH("NDD",Tabella1[[#This Row],[Attività lavorativa]],1)),0,1)</f>
        <v>0</v>
      </c>
      <c r="U159" s="11" t="s">
        <v>1739</v>
      </c>
      <c r="V159" s="22">
        <v>6</v>
      </c>
      <c r="W159" s="22">
        <f>IF(ISERROR(SEARCH("ex",Tabella1[[#This Row],[Fumo]],1)),0,1)</f>
        <v>0</v>
      </c>
      <c r="X159" s="22">
        <f>IF(ISERROR(SEARCH("no",Tabella1[[#This Row],[Fumo]],1)),0,1)</f>
        <v>0</v>
      </c>
      <c r="Y159" s="11" t="s">
        <v>26</v>
      </c>
      <c r="Z159" s="18">
        <f>IF(ISERROR(SEARCH("NDD",Tabella1[[#This Row],[Bevitore alcolici]],1)),0,1)</f>
        <v>0</v>
      </c>
      <c r="AA159" s="17">
        <f>IF(ISERROR(SEARCH("raro",Tabella1[[#This Row],[Bevitore alcolici]],1)),0,1)</f>
        <v>0</v>
      </c>
      <c r="AB159" s="17">
        <f>IF(ISERROR(SEARCH("saltuariamente",Tabella1[[#This Row],[Bevitore alcolici]],1)),0,1)</f>
        <v>1</v>
      </c>
      <c r="AC159" s="17">
        <f>IF(ISERROR(SEARCH("nega",Tabella1[[#This Row],[Bevitore alcolici]],1)),0,1)</f>
        <v>0</v>
      </c>
      <c r="AD159" s="17">
        <f>IF(ISERROR(SEARCH("potus",Tabella1[[#This Row],[Bevitore alcolici]],1)),0,1)</f>
        <v>0</v>
      </c>
      <c r="AE159" s="11" t="s">
        <v>1740</v>
      </c>
      <c r="AF159" s="18"/>
      <c r="AG159" s="18">
        <v>1</v>
      </c>
      <c r="AH159" s="18">
        <v>1</v>
      </c>
      <c r="AI159" s="18"/>
      <c r="AJ159" s="18"/>
      <c r="AK159" s="11" t="s">
        <v>381</v>
      </c>
      <c r="AL159" s="18">
        <f>IF(ISERROR(SEARCH("si",Tabella1[[#This Row],[Patente di guida]],1)),0,1)</f>
        <v>1</v>
      </c>
      <c r="AM159" s="11" t="s">
        <v>8</v>
      </c>
      <c r="AN159" s="18">
        <f>IF(ISERROR(SEARCH("no",Tabella1[[#This Row],[Ipertensione]],1)),0,1)</f>
        <v>1</v>
      </c>
      <c r="AO159" s="11" t="s">
        <v>382</v>
      </c>
      <c r="AP159" s="18">
        <f>IF(ISERROR(SEARCH("NO",Tabella1[[#This Row],[Cardiopatia ischemica]],1)),1,0)</f>
        <v>0</v>
      </c>
      <c r="AQ159" s="17">
        <f>IF(ISERROR(SEARCH("sconosciuto",Tabella1[[#This Row],[Cardiopatia ischemica]],1)),0,1)</f>
        <v>0</v>
      </c>
      <c r="AR159" s="11" t="s">
        <v>25</v>
      </c>
      <c r="AS159" s="22">
        <f>IF(ISERROR(SEARCH("nega",Tabella1[[#This Row],[Artimie]],1)),0,1)</f>
        <v>1</v>
      </c>
      <c r="AT159" s="11" t="s">
        <v>28</v>
      </c>
      <c r="AU159" s="22">
        <f>IF(ISERROR(SEARCH("nega",Tabella1[[#This Row],[Ipercolesterolemia]],1)),0,1)</f>
        <v>0</v>
      </c>
      <c r="AV159" s="22">
        <f>IF(ISERROR(SEARCH("boh",Tabella1[[#This Row],[Ipercolesterolemia]],1)),0,1)</f>
        <v>0</v>
      </c>
      <c r="AW159" s="11" t="s">
        <v>8</v>
      </c>
      <c r="AX159" s="22">
        <f>IF(ISERROR(SEARCH("Intolleranza",Tabella1[[#This Row],[Diabete]],1)),0,1)</f>
        <v>0</v>
      </c>
      <c r="AY159" s="22">
        <f>IF(ISERROR(SEARCH("si",Tabella1[[#This Row],[Diabete]],1)),0,1)</f>
        <v>0</v>
      </c>
      <c r="AZ159" s="11" t="s">
        <v>1741</v>
      </c>
      <c r="BA159" s="18">
        <f>IF(ISERROR(SEARCH("NDD",Tabella1[[#This Row],[Patologia Tiroidea]],1)),0,1)</f>
        <v>0</v>
      </c>
      <c r="BB159" s="22">
        <f>IF(ISERROR(SEARCH("TIROIDITE",Tabella1[[#This Row],[Patologia Tiroidea]],1)),0,1)</f>
        <v>0</v>
      </c>
      <c r="BC159" s="22">
        <f>IF(ISERROR(SEARCH("HASHIMOTO",Tabella1[[#This Row],[Patologia Tiroidea]],1)),0,1)</f>
        <v>0</v>
      </c>
      <c r="BD159" s="22">
        <f>IF(ISERROR(SEARCH("BASEDOW",Tabella1[[#This Row],[Patologia Tiroidea]],1)),0,1)</f>
        <v>0</v>
      </c>
      <c r="BE159" s="22">
        <f>IF(ISERROR(SEARCH("NOD",Tabella1[[#This Row],[Patologia Tiroidea]],1)),0,1)</f>
        <v>0</v>
      </c>
      <c r="BF159" s="22">
        <f>IF(ISERROR(SEARCH("GOZ",Tabella1[[#This Row],[Patologia Tiroidea]],1)),0,1)</f>
        <v>0</v>
      </c>
      <c r="BG159" s="11" t="s">
        <v>1563</v>
      </c>
      <c r="BH159" s="18">
        <f>IF(Tabella1[[#This Row],[Obesità]]="no",0,1)</f>
        <v>1</v>
      </c>
      <c r="BI159" s="11" t="s">
        <v>28</v>
      </c>
      <c r="BJ159" s="22">
        <f>IF(ISERROR(SEARCH("nega",Tabella1[[#This Row],[Reflusso gastroesofageo]],1)),1,0)</f>
        <v>1</v>
      </c>
      <c r="BK159" s="7" t="s">
        <v>5477</v>
      </c>
      <c r="BL159" s="17">
        <f>IF(ISERROR(SEARCH("NDD",Tabella1[[#This Row],[Patologia respiratoria]],1)),0,1)</f>
        <v>1</v>
      </c>
      <c r="BM159" s="18">
        <f>IF(ISERROR(SEARCH("asma",Tabella1[[#This Row],[Patologia respiratoria]],1)),0,1)</f>
        <v>0</v>
      </c>
      <c r="BN159" s="18">
        <f>IF(ISERROR(SEARCH("BPCO",Tabella1[[#This Row],[Patologia respiratoria]],1)),0,1)</f>
        <v>0</v>
      </c>
      <c r="BO159" s="18">
        <f>IF(ISERROR(SEARCH("BRONCOPOLMONITE",Tabella1[[#This Row],[Patologia respiratoria]],1)),0,1)</f>
        <v>0</v>
      </c>
      <c r="BP159" s="18">
        <f>IF(ISERROR(SEARCH("ASMA, OSAS",Tabella1[[#This Row],[Patologia respiratoria]],1)),0,1)</f>
        <v>0</v>
      </c>
      <c r="BQ159" s="18">
        <f>IF(ISERROR(SEARCH("OSAS e BPCO",Tabella1[[#This Row],[Patologia respiratoria]],1)),0,1)</f>
        <v>0</v>
      </c>
      <c r="BR159" s="18">
        <f>IF(ISERROR(SEARCH("OSAS",Tabella1[[#This Row],[Patologia respiratoria]],1)),0,1)</f>
        <v>0</v>
      </c>
      <c r="BS159" s="11"/>
      <c r="BT159" s="11" t="s">
        <v>1742</v>
      </c>
      <c r="BU159" s="11" t="s">
        <v>8</v>
      </c>
      <c r="BV159" s="18">
        <f>IF(ISERROR(SEARCH("ndd",Tabella1[[#This Row],[O2 terapia]],1)),0,1)</f>
        <v>0</v>
      </c>
      <c r="BW159" s="17">
        <v>0</v>
      </c>
      <c r="BX159" s="11"/>
      <c r="BY159" s="11" t="s">
        <v>28</v>
      </c>
      <c r="BZ159" s="17">
        <v>1</v>
      </c>
      <c r="CA159" s="11" t="s">
        <v>28</v>
      </c>
      <c r="CB159" s="17">
        <v>1</v>
      </c>
      <c r="CC159" s="11" t="s">
        <v>28</v>
      </c>
      <c r="CD159" s="17">
        <v>1</v>
      </c>
      <c r="CE159" s="11" t="s">
        <v>8</v>
      </c>
      <c r="CF159" s="18">
        <v>0</v>
      </c>
      <c r="CG159" s="7" t="s">
        <v>5477</v>
      </c>
      <c r="CH159" s="18"/>
      <c r="CI159" s="7" t="s">
        <v>5477</v>
      </c>
      <c r="CJ159" s="18"/>
      <c r="CK159" s="11" t="s">
        <v>28</v>
      </c>
      <c r="CL159" s="17">
        <v>1</v>
      </c>
      <c r="CM159" s="11" t="s">
        <v>28</v>
      </c>
      <c r="CN159" s="17">
        <v>1</v>
      </c>
      <c r="CO159" s="11" t="s">
        <v>28</v>
      </c>
      <c r="CP159" s="17">
        <v>1</v>
      </c>
      <c r="CQ159" s="11" t="s">
        <v>1571</v>
      </c>
      <c r="CR159" s="11" t="s">
        <v>899</v>
      </c>
      <c r="CS159" s="11" t="s">
        <v>37</v>
      </c>
      <c r="CT159" s="11" t="s">
        <v>184</v>
      </c>
      <c r="CU159" s="11"/>
      <c r="CV159" s="12"/>
    </row>
    <row r="160" spans="1:100" ht="270.75">
      <c r="A160" s="1">
        <f t="shared" si="2"/>
        <v>159</v>
      </c>
      <c r="B160" s="5">
        <v>951</v>
      </c>
      <c r="C160" s="6">
        <v>45090</v>
      </c>
      <c r="D160" s="7" t="s">
        <v>1743</v>
      </c>
      <c r="E160" s="6">
        <v>29253</v>
      </c>
      <c r="F160" s="29">
        <f ca="1">_xlfn.DAYS(NOW(),Tabella1[[#This Row],[Data di Nascita]])/365.25</f>
        <v>45.503080082135526</v>
      </c>
      <c r="G160" s="7" t="s">
        <v>1744</v>
      </c>
      <c r="H160" s="7" t="s">
        <v>1745</v>
      </c>
      <c r="I160" s="7" t="s">
        <v>880</v>
      </c>
      <c r="J160" s="7" t="s">
        <v>1746</v>
      </c>
      <c r="K160" s="7" t="s">
        <v>1747</v>
      </c>
      <c r="L160" s="17">
        <f>IF(ISERROR(SEARCH("EX",Tabella1[[#This Row],[Attività lavorativa]],1)),0,1)</f>
        <v>0</v>
      </c>
      <c r="M160" s="17"/>
      <c r="N160" s="17"/>
      <c r="O160" s="17"/>
      <c r="P160" s="18">
        <v>1</v>
      </c>
      <c r="Q160" s="17"/>
      <c r="R160" s="17"/>
      <c r="S160" s="17"/>
      <c r="T160" s="17">
        <f>IF(ISERROR(SEARCH("NDD",Tabella1[[#This Row],[Attività lavorativa]],1)),0,1)</f>
        <v>0</v>
      </c>
      <c r="U160" s="7" t="s">
        <v>194</v>
      </c>
      <c r="V160" s="22"/>
      <c r="W160" s="22">
        <f>IF(ISERROR(SEARCH("ex",Tabella1[[#This Row],[Fumo]],1)),0,1)</f>
        <v>0</v>
      </c>
      <c r="X160" s="22">
        <f>IF(ISERROR(SEARCH("no",Tabella1[[#This Row],[Fumo]],1)),0,1)</f>
        <v>0</v>
      </c>
      <c r="Y160" s="7" t="s">
        <v>28</v>
      </c>
      <c r="Z160" s="17">
        <f>IF(ISERROR(SEARCH("NDD",Tabella1[[#This Row],[Bevitore alcolici]],1)),0,1)</f>
        <v>0</v>
      </c>
      <c r="AA160" s="17">
        <f>IF(ISERROR(SEARCH("raro",Tabella1[[#This Row],[Bevitore alcolici]],1)),0,1)</f>
        <v>0</v>
      </c>
      <c r="AB160" s="17">
        <f>IF(ISERROR(SEARCH("saltuariamente",Tabella1[[#This Row],[Bevitore alcolici]],1)),0,1)</f>
        <v>0</v>
      </c>
      <c r="AC160" s="17">
        <f>IF(ISERROR(SEARCH("nega",Tabella1[[#This Row],[Bevitore alcolici]],1)),0,1)</f>
        <v>0</v>
      </c>
      <c r="AD160" s="17">
        <f>IF(ISERROR(SEARCH("potus",Tabella1[[#This Row],[Bevitore alcolici]],1)),0,1)</f>
        <v>0</v>
      </c>
      <c r="AE160" s="7" t="s">
        <v>657</v>
      </c>
      <c r="AF160" s="17"/>
      <c r="AG160" s="17"/>
      <c r="AH160" s="17"/>
      <c r="AI160" s="17"/>
      <c r="AJ160" s="17"/>
      <c r="AK160" s="7" t="s">
        <v>8</v>
      </c>
      <c r="AL160" s="17">
        <f>IF(ISERROR(SEARCH("si",Tabella1[[#This Row],[Patente di guida]],1)),0,1)</f>
        <v>0</v>
      </c>
      <c r="AM160" s="7" t="s">
        <v>8</v>
      </c>
      <c r="AN160" s="17">
        <f>IF(ISERROR(SEARCH("no",Tabella1[[#This Row],[Ipertensione]],1)),0,1)</f>
        <v>1</v>
      </c>
      <c r="AO160" s="7" t="s">
        <v>382</v>
      </c>
      <c r="AP160" s="18">
        <f>IF(ISERROR(SEARCH("NO",Tabella1[[#This Row],[Cardiopatia ischemica]],1)),1,0)</f>
        <v>0</v>
      </c>
      <c r="AQ160" s="17">
        <f>IF(ISERROR(SEARCH("sconosciuto",Tabella1[[#This Row],[Cardiopatia ischemica]],1)),0,1)</f>
        <v>0</v>
      </c>
      <c r="AR160" s="7" t="s">
        <v>25</v>
      </c>
      <c r="AS160" s="22">
        <f>IF(ISERROR(SEARCH("nega",Tabella1[[#This Row],[Artimie]],1)),0,1)</f>
        <v>1</v>
      </c>
      <c r="AT160" s="7" t="s">
        <v>25</v>
      </c>
      <c r="AU160" s="22">
        <f>IF(ISERROR(SEARCH("nega",Tabella1[[#This Row],[Ipercolesterolemia]],1)),0,1)</f>
        <v>1</v>
      </c>
      <c r="AV160" s="22">
        <f>IF(ISERROR(SEARCH("boh",Tabella1[[#This Row],[Ipercolesterolemia]],1)),0,1)</f>
        <v>0</v>
      </c>
      <c r="AW160" s="7" t="s">
        <v>8</v>
      </c>
      <c r="AX160" s="22">
        <f>IF(ISERROR(SEARCH("Intolleranza",Tabella1[[#This Row],[Diabete]],1)),0,1)</f>
        <v>0</v>
      </c>
      <c r="AY160" s="22">
        <f>IF(ISERROR(SEARCH("si",Tabella1[[#This Row],[Diabete]],1)),0,1)</f>
        <v>0</v>
      </c>
      <c r="AZ160" s="7" t="s">
        <v>8</v>
      </c>
      <c r="BA160" s="17">
        <f>IF(ISERROR(SEARCH("NDD",Tabella1[[#This Row],[Patologia Tiroidea]],1)),0,1)</f>
        <v>0</v>
      </c>
      <c r="BB160" s="22">
        <f>IF(ISERROR(SEARCH("TIROIDITE",Tabella1[[#This Row],[Patologia Tiroidea]],1)),0,1)</f>
        <v>0</v>
      </c>
      <c r="BC160" s="22">
        <f>IF(ISERROR(SEARCH("HASHIMOTO",Tabella1[[#This Row],[Patologia Tiroidea]],1)),0,1)</f>
        <v>0</v>
      </c>
      <c r="BD160" s="22">
        <f>IF(ISERROR(SEARCH("BASEDOW",Tabella1[[#This Row],[Patologia Tiroidea]],1)),0,1)</f>
        <v>0</v>
      </c>
      <c r="BE160" s="22">
        <f>IF(ISERROR(SEARCH("NOD",Tabella1[[#This Row],[Patologia Tiroidea]],1)),0,1)</f>
        <v>0</v>
      </c>
      <c r="BF160" s="22">
        <f>IF(ISERROR(SEARCH("GOZ",Tabella1[[#This Row],[Patologia Tiroidea]],1)),0,1)</f>
        <v>0</v>
      </c>
      <c r="BG160" s="7" t="s">
        <v>8</v>
      </c>
      <c r="BH160" s="17">
        <f>IF(Tabella1[[#This Row],[Obesità]]="no",0,1)</f>
        <v>0</v>
      </c>
      <c r="BI160" s="7" t="s">
        <v>25</v>
      </c>
      <c r="BJ160" s="22">
        <f>IF(ISERROR(SEARCH("nega",Tabella1[[#This Row],[Reflusso gastroesofageo]],1)),1,0)</f>
        <v>0</v>
      </c>
      <c r="BK160" s="7" t="s">
        <v>8</v>
      </c>
      <c r="BL160" s="17">
        <f>IF(ISERROR(SEARCH("NDD",Tabella1[[#This Row],[Patologia respiratoria]],1)),0,1)</f>
        <v>0</v>
      </c>
      <c r="BM160" s="17">
        <f>IF(ISERROR(SEARCH("asma",Tabella1[[#This Row],[Patologia respiratoria]],1)),0,1)</f>
        <v>0</v>
      </c>
      <c r="BN160" s="17">
        <f>IF(ISERROR(SEARCH("BPCO",Tabella1[[#This Row],[Patologia respiratoria]],1)),0,1)</f>
        <v>0</v>
      </c>
      <c r="BO160" s="17">
        <f>IF(ISERROR(SEARCH("BRONCOPOLMONITE",Tabella1[[#This Row],[Patologia respiratoria]],1)),0,1)</f>
        <v>0</v>
      </c>
      <c r="BP160" s="17">
        <f>IF(ISERROR(SEARCH("ASMA, OSAS",Tabella1[[#This Row],[Patologia respiratoria]],1)),0,1)</f>
        <v>0</v>
      </c>
      <c r="BQ160" s="17">
        <f>IF(ISERROR(SEARCH("OSAS e BPCO",Tabella1[[#This Row],[Patologia respiratoria]],1)),0,1)</f>
        <v>0</v>
      </c>
      <c r="BR160" s="17">
        <f>IF(ISERROR(SEARCH("OSAS",Tabella1[[#This Row],[Patologia respiratoria]],1)),0,1)</f>
        <v>0</v>
      </c>
      <c r="BS160" s="7" t="s">
        <v>8</v>
      </c>
      <c r="BT160" s="7" t="s">
        <v>8</v>
      </c>
      <c r="BU160" s="7" t="s">
        <v>8</v>
      </c>
      <c r="BV160" s="17">
        <f>IF(ISERROR(SEARCH("ndd",Tabella1[[#This Row],[O2 terapia]],1)),0,1)</f>
        <v>0</v>
      </c>
      <c r="BW160" s="17">
        <v>0</v>
      </c>
      <c r="BX160" s="7" t="s">
        <v>8</v>
      </c>
      <c r="BY160" s="7" t="s">
        <v>8</v>
      </c>
      <c r="BZ160" s="18">
        <v>0</v>
      </c>
      <c r="CA160" s="7" t="s">
        <v>28</v>
      </c>
      <c r="CB160" s="17">
        <v>1</v>
      </c>
      <c r="CC160" s="7" t="s">
        <v>8</v>
      </c>
      <c r="CD160" s="18">
        <v>0</v>
      </c>
      <c r="CE160" s="7" t="s">
        <v>28</v>
      </c>
      <c r="CF160" s="17">
        <v>1</v>
      </c>
      <c r="CG160" s="7" t="s">
        <v>5477</v>
      </c>
      <c r="CH160" s="17"/>
      <c r="CI160" s="7" t="s">
        <v>5477</v>
      </c>
      <c r="CJ160" s="17"/>
      <c r="CK160" s="7" t="s">
        <v>28</v>
      </c>
      <c r="CL160" s="17">
        <v>1</v>
      </c>
      <c r="CM160" s="7" t="s">
        <v>8</v>
      </c>
      <c r="CN160" s="17">
        <v>0</v>
      </c>
      <c r="CO160" s="7" t="s">
        <v>28</v>
      </c>
      <c r="CP160" s="17">
        <v>1</v>
      </c>
      <c r="CQ160" s="7" t="s">
        <v>54</v>
      </c>
      <c r="CR160" s="7" t="s">
        <v>318</v>
      </c>
      <c r="CS160" s="7" t="s">
        <v>1748</v>
      </c>
      <c r="CT160" s="7" t="s">
        <v>184</v>
      </c>
      <c r="CU160" s="7"/>
      <c r="CV160" s="8" t="s">
        <v>1749</v>
      </c>
    </row>
    <row r="161" spans="1:100" ht="213.75">
      <c r="A161" s="1">
        <f t="shared" si="2"/>
        <v>160</v>
      </c>
      <c r="B161" s="9">
        <v>972</v>
      </c>
      <c r="C161" s="10">
        <v>45112</v>
      </c>
      <c r="D161" s="11" t="s">
        <v>1750</v>
      </c>
      <c r="E161" s="10">
        <v>45112</v>
      </c>
      <c r="F161" s="29">
        <f ca="1">_xlfn.DAYS(NOW(),Tabella1[[#This Row],[Data di Nascita]])/365.25</f>
        <v>2.083504449007529</v>
      </c>
      <c r="G161" s="11" t="s">
        <v>1751</v>
      </c>
      <c r="H161" s="11" t="s">
        <v>1752</v>
      </c>
      <c r="I161" s="11" t="s">
        <v>816</v>
      </c>
      <c r="J161" s="11" t="s">
        <v>1346</v>
      </c>
      <c r="K161" s="11" t="s">
        <v>1753</v>
      </c>
      <c r="L161" s="18">
        <f>IF(ISERROR(SEARCH("EX",Tabella1[[#This Row],[Attività lavorativa]],1)),0,1)</f>
        <v>0</v>
      </c>
      <c r="M161" s="18"/>
      <c r="N161" s="18"/>
      <c r="O161" s="18">
        <v>1</v>
      </c>
      <c r="P161" s="18"/>
      <c r="Q161" s="18"/>
      <c r="R161" s="18"/>
      <c r="S161" s="18"/>
      <c r="T161" s="17">
        <f>IF(ISERROR(SEARCH("NDD",Tabella1[[#This Row],[Attività lavorativa]],1)),0,1)</f>
        <v>0</v>
      </c>
      <c r="U161" s="11" t="s">
        <v>1754</v>
      </c>
      <c r="V161" s="22">
        <v>15</v>
      </c>
      <c r="W161" s="22">
        <f>IF(ISERROR(SEARCH("ex",Tabella1[[#This Row],[Fumo]],1)),0,1)</f>
        <v>0</v>
      </c>
      <c r="X161" s="22">
        <f>IF(ISERROR(SEARCH("no",Tabella1[[#This Row],[Fumo]],1)),0,1)</f>
        <v>0</v>
      </c>
      <c r="Y161" s="11" t="s">
        <v>26</v>
      </c>
      <c r="Z161" s="18">
        <f>IF(ISERROR(SEARCH("NDD",Tabella1[[#This Row],[Bevitore alcolici]],1)),0,1)</f>
        <v>0</v>
      </c>
      <c r="AA161" s="17">
        <f>IF(ISERROR(SEARCH("raro",Tabella1[[#This Row],[Bevitore alcolici]],1)),0,1)</f>
        <v>0</v>
      </c>
      <c r="AB161" s="17">
        <f>IF(ISERROR(SEARCH("saltuariamente",Tabella1[[#This Row],[Bevitore alcolici]],1)),0,1)</f>
        <v>1</v>
      </c>
      <c r="AC161" s="17">
        <f>IF(ISERROR(SEARCH("nega",Tabella1[[#This Row],[Bevitore alcolici]],1)),0,1)</f>
        <v>0</v>
      </c>
      <c r="AD161" s="17">
        <f>IF(ISERROR(SEARCH("potus",Tabella1[[#This Row],[Bevitore alcolici]],1)),0,1)</f>
        <v>0</v>
      </c>
      <c r="AE161" s="11" t="s">
        <v>1755</v>
      </c>
      <c r="AF161" s="18"/>
      <c r="AG161" s="18">
        <v>1</v>
      </c>
      <c r="AH161" s="18"/>
      <c r="AI161" s="18"/>
      <c r="AJ161" s="18"/>
      <c r="AK161" s="11" t="s">
        <v>194</v>
      </c>
      <c r="AL161" s="18">
        <f>IF(ISERROR(SEARCH("si",Tabella1[[#This Row],[Patente di guida]],1)),0,1)</f>
        <v>1</v>
      </c>
      <c r="AM161" s="11" t="s">
        <v>8</v>
      </c>
      <c r="AN161" s="18">
        <f>IF(ISERROR(SEARCH("no",Tabella1[[#This Row],[Ipertensione]],1)),0,1)</f>
        <v>1</v>
      </c>
      <c r="AO161" s="11" t="s">
        <v>382</v>
      </c>
      <c r="AP161" s="18">
        <f>IF(ISERROR(SEARCH("NO",Tabella1[[#This Row],[Cardiopatia ischemica]],1)),1,0)</f>
        <v>0</v>
      </c>
      <c r="AQ161" s="17">
        <f>IF(ISERROR(SEARCH("sconosciuto",Tabella1[[#This Row],[Cardiopatia ischemica]],1)),0,1)</f>
        <v>0</v>
      </c>
      <c r="AR161" s="11" t="s">
        <v>25</v>
      </c>
      <c r="AS161" s="22">
        <f>IF(ISERROR(SEARCH("nega",Tabella1[[#This Row],[Artimie]],1)),0,1)</f>
        <v>1</v>
      </c>
      <c r="AT161" s="11" t="s">
        <v>25</v>
      </c>
      <c r="AU161" s="22">
        <f>IF(ISERROR(SEARCH("nega",Tabella1[[#This Row],[Ipercolesterolemia]],1)),0,1)</f>
        <v>1</v>
      </c>
      <c r="AV161" s="22">
        <f>IF(ISERROR(SEARCH("boh",Tabella1[[#This Row],[Ipercolesterolemia]],1)),0,1)</f>
        <v>0</v>
      </c>
      <c r="AW161" s="11" t="s">
        <v>25</v>
      </c>
      <c r="AX161" s="22">
        <f>IF(ISERROR(SEARCH("Intolleranza",Tabella1[[#This Row],[Diabete]],1)),0,1)</f>
        <v>0</v>
      </c>
      <c r="AY161" s="22">
        <f>IF(ISERROR(SEARCH("si",Tabella1[[#This Row],[Diabete]],1)),0,1)</f>
        <v>0</v>
      </c>
      <c r="AZ161" s="11" t="s">
        <v>25</v>
      </c>
      <c r="BA161" s="18">
        <f>IF(ISERROR(SEARCH("NDD",Tabella1[[#This Row],[Patologia Tiroidea]],1)),0,1)</f>
        <v>0</v>
      </c>
      <c r="BB161" s="22">
        <f>IF(ISERROR(SEARCH("TIROIDITE",Tabella1[[#This Row],[Patologia Tiroidea]],1)),0,1)</f>
        <v>0</v>
      </c>
      <c r="BC161" s="22">
        <f>IF(ISERROR(SEARCH("HASHIMOTO",Tabella1[[#This Row],[Patologia Tiroidea]],1)),0,1)</f>
        <v>0</v>
      </c>
      <c r="BD161" s="22">
        <f>IF(ISERROR(SEARCH("BASEDOW",Tabella1[[#This Row],[Patologia Tiroidea]],1)),0,1)</f>
        <v>0</v>
      </c>
      <c r="BE161" s="22">
        <f>IF(ISERROR(SEARCH("NOD",Tabella1[[#This Row],[Patologia Tiroidea]],1)),0,1)</f>
        <v>0</v>
      </c>
      <c r="BF161" s="22">
        <f>IF(ISERROR(SEARCH("GOZ",Tabella1[[#This Row],[Patologia Tiroidea]],1)),0,1)</f>
        <v>0</v>
      </c>
      <c r="BG161" s="11" t="s">
        <v>8</v>
      </c>
      <c r="BH161" s="18">
        <f>IF(Tabella1[[#This Row],[Obesità]]="no",0,1)</f>
        <v>0</v>
      </c>
      <c r="BI161" s="11" t="s">
        <v>1756</v>
      </c>
      <c r="BJ161" s="22">
        <f>IF(ISERROR(SEARCH("nega",Tabella1[[#This Row],[Reflusso gastroesofageo]],1)),1,0)</f>
        <v>1</v>
      </c>
      <c r="BK161" s="11" t="s">
        <v>8</v>
      </c>
      <c r="BL161" s="18">
        <f>IF(ISERROR(SEARCH("NDD",Tabella1[[#This Row],[Patologia respiratoria]],1)),0,1)</f>
        <v>0</v>
      </c>
      <c r="BM161" s="18">
        <f>IF(ISERROR(SEARCH("asma",Tabella1[[#This Row],[Patologia respiratoria]],1)),0,1)</f>
        <v>0</v>
      </c>
      <c r="BN161" s="18">
        <f>IF(ISERROR(SEARCH("BPCO",Tabella1[[#This Row],[Patologia respiratoria]],1)),0,1)</f>
        <v>0</v>
      </c>
      <c r="BO161" s="18">
        <f>IF(ISERROR(SEARCH("BRONCOPOLMONITE",Tabella1[[#This Row],[Patologia respiratoria]],1)),0,1)</f>
        <v>0</v>
      </c>
      <c r="BP161" s="18">
        <f>IF(ISERROR(SEARCH("ASMA, OSAS",Tabella1[[#This Row],[Patologia respiratoria]],1)),0,1)</f>
        <v>0</v>
      </c>
      <c r="BQ161" s="18">
        <f>IF(ISERROR(SEARCH("OSAS e BPCO",Tabella1[[#This Row],[Patologia respiratoria]],1)),0,1)</f>
        <v>0</v>
      </c>
      <c r="BR161" s="18">
        <f>IF(ISERROR(SEARCH("OSAS",Tabella1[[#This Row],[Patologia respiratoria]],1)),0,1)</f>
        <v>0</v>
      </c>
      <c r="BS161" s="11"/>
      <c r="BT161" s="11" t="s">
        <v>132</v>
      </c>
      <c r="BU161" s="11" t="s">
        <v>8</v>
      </c>
      <c r="BV161" s="18">
        <f>IF(ISERROR(SEARCH("ndd",Tabella1[[#This Row],[O2 terapia]],1)),0,1)</f>
        <v>0</v>
      </c>
      <c r="BW161" s="17">
        <v>0</v>
      </c>
      <c r="BX161" s="11"/>
      <c r="BY161" s="11" t="s">
        <v>1757</v>
      </c>
      <c r="BZ161" s="17">
        <v>1</v>
      </c>
      <c r="CA161" s="11" t="s">
        <v>351</v>
      </c>
      <c r="CB161" s="17">
        <v>1</v>
      </c>
      <c r="CC161" s="11" t="s">
        <v>1758</v>
      </c>
      <c r="CD161" s="17">
        <v>1</v>
      </c>
      <c r="CE161" s="11" t="s">
        <v>25</v>
      </c>
      <c r="CF161" s="18">
        <v>0</v>
      </c>
      <c r="CG161" s="11" t="s">
        <v>25</v>
      </c>
      <c r="CH161" s="17">
        <v>0</v>
      </c>
      <c r="CI161" s="11" t="s">
        <v>25</v>
      </c>
      <c r="CJ161" s="18">
        <v>0</v>
      </c>
      <c r="CK161" s="11" t="s">
        <v>1759</v>
      </c>
      <c r="CL161" s="17">
        <v>1</v>
      </c>
      <c r="CM161" s="11" t="s">
        <v>47</v>
      </c>
      <c r="CN161" s="17">
        <v>1</v>
      </c>
      <c r="CO161" s="11" t="s">
        <v>1036</v>
      </c>
      <c r="CP161" s="17">
        <v>1</v>
      </c>
      <c r="CQ161" s="11" t="s">
        <v>69</v>
      </c>
      <c r="CR161" s="11" t="s">
        <v>1760</v>
      </c>
      <c r="CS161" s="11" t="s">
        <v>71</v>
      </c>
      <c r="CT161" s="11" t="s">
        <v>450</v>
      </c>
      <c r="CU161" s="11" t="s">
        <v>1761</v>
      </c>
      <c r="CV161" s="12" t="s">
        <v>1762</v>
      </c>
    </row>
    <row r="162" spans="1:100" ht="128.25">
      <c r="A162" s="1">
        <f t="shared" si="2"/>
        <v>161</v>
      </c>
      <c r="B162" s="5">
        <v>973</v>
      </c>
      <c r="C162" s="6">
        <v>45113</v>
      </c>
      <c r="D162" s="7" t="s">
        <v>1763</v>
      </c>
      <c r="E162" s="6">
        <v>19930</v>
      </c>
      <c r="F162" s="29">
        <f ca="1">_xlfn.DAYS(NOW(),Tabella1[[#This Row],[Data di Nascita]])/365.25</f>
        <v>71.028062970568101</v>
      </c>
      <c r="G162" s="7" t="s">
        <v>1764</v>
      </c>
      <c r="H162" s="7" t="s">
        <v>1765</v>
      </c>
      <c r="I162" s="7" t="s">
        <v>1766</v>
      </c>
      <c r="J162" s="7" t="s">
        <v>1358</v>
      </c>
      <c r="K162" s="7" t="s">
        <v>1767</v>
      </c>
      <c r="L162" s="17">
        <f>IF(ISERROR(SEARCH("EX",Tabella1[[#This Row],[Attività lavorativa]],1)),0,1)</f>
        <v>0</v>
      </c>
      <c r="M162" s="17"/>
      <c r="N162" s="17"/>
      <c r="O162" s="17"/>
      <c r="P162" s="17"/>
      <c r="Q162" s="17"/>
      <c r="R162" s="17"/>
      <c r="S162" s="17"/>
      <c r="T162" s="17">
        <f>IF(ISERROR(SEARCH("NDD",Tabella1[[#This Row],[Attività lavorativa]],1)),0,1)</f>
        <v>0</v>
      </c>
      <c r="U162" s="7" t="s">
        <v>8</v>
      </c>
      <c r="V162" s="22"/>
      <c r="W162" s="22">
        <f>IF(ISERROR(SEARCH("ex",Tabella1[[#This Row],[Fumo]],1)),0,1)</f>
        <v>0</v>
      </c>
      <c r="X162" s="22">
        <f>IF(ISERROR(SEARCH("no",Tabella1[[#This Row],[Fumo]],1)),0,1)</f>
        <v>1</v>
      </c>
      <c r="Y162" s="7" t="s">
        <v>25</v>
      </c>
      <c r="Z162" s="17">
        <f>IF(ISERROR(SEARCH("NDD",Tabella1[[#This Row],[Bevitore alcolici]],1)),0,1)</f>
        <v>0</v>
      </c>
      <c r="AA162" s="17">
        <f>IF(ISERROR(SEARCH("raro",Tabella1[[#This Row],[Bevitore alcolici]],1)),0,1)</f>
        <v>0</v>
      </c>
      <c r="AB162" s="17">
        <f>IF(ISERROR(SEARCH("saltuariamente",Tabella1[[#This Row],[Bevitore alcolici]],1)),0,1)</f>
        <v>0</v>
      </c>
      <c r="AC162" s="17">
        <f>IF(ISERROR(SEARCH("nega",Tabella1[[#This Row],[Bevitore alcolici]],1)),0,1)</f>
        <v>1</v>
      </c>
      <c r="AD162" s="17">
        <f>IF(ISERROR(SEARCH("potus",Tabella1[[#This Row],[Bevitore alcolici]],1)),0,1)</f>
        <v>0</v>
      </c>
      <c r="AE162" s="7" t="s">
        <v>5692</v>
      </c>
      <c r="AF162" s="17"/>
      <c r="AG162" s="17"/>
      <c r="AH162" s="18">
        <v>1</v>
      </c>
      <c r="AI162" s="18"/>
      <c r="AJ162" s="18"/>
      <c r="AK162" s="7" t="s">
        <v>194</v>
      </c>
      <c r="AL162" s="17">
        <f>IF(ISERROR(SEARCH("si",Tabella1[[#This Row],[Patente di guida]],1)),0,1)</f>
        <v>1</v>
      </c>
      <c r="AM162" s="7" t="s">
        <v>28</v>
      </c>
      <c r="AN162" s="17">
        <f>IF(ISERROR(SEARCH("no",Tabella1[[#This Row],[Ipertensione]],1)),0,1)</f>
        <v>0</v>
      </c>
      <c r="AO162" s="7" t="s">
        <v>382</v>
      </c>
      <c r="AP162" s="18">
        <f>IF(ISERROR(SEARCH("NO",Tabella1[[#This Row],[Cardiopatia ischemica]],1)),1,0)</f>
        <v>0</v>
      </c>
      <c r="AQ162" s="17">
        <f>IF(ISERROR(SEARCH("sconosciuto",Tabella1[[#This Row],[Cardiopatia ischemica]],1)),0,1)</f>
        <v>0</v>
      </c>
      <c r="AR162" s="7" t="s">
        <v>25</v>
      </c>
      <c r="AS162" s="22">
        <f>IF(ISERROR(SEARCH("nega",Tabella1[[#This Row],[Artimie]],1)),0,1)</f>
        <v>1</v>
      </c>
      <c r="AT162" s="7" t="s">
        <v>25</v>
      </c>
      <c r="AU162" s="22">
        <f>IF(ISERROR(SEARCH("nega",Tabella1[[#This Row],[Ipercolesterolemia]],1)),0,1)</f>
        <v>1</v>
      </c>
      <c r="AV162" s="22">
        <f>IF(ISERROR(SEARCH("boh",Tabella1[[#This Row],[Ipercolesterolemia]],1)),0,1)</f>
        <v>0</v>
      </c>
      <c r="AW162" s="7" t="s">
        <v>8</v>
      </c>
      <c r="AX162" s="22">
        <f>IF(ISERROR(SEARCH("Intolleranza",Tabella1[[#This Row],[Diabete]],1)),0,1)</f>
        <v>0</v>
      </c>
      <c r="AY162" s="22">
        <f>IF(ISERROR(SEARCH("si",Tabella1[[#This Row],[Diabete]],1)),0,1)</f>
        <v>0</v>
      </c>
      <c r="AZ162" s="7" t="s">
        <v>8</v>
      </c>
      <c r="BA162" s="17">
        <f>IF(ISERROR(SEARCH("NDD",Tabella1[[#This Row],[Patologia Tiroidea]],1)),0,1)</f>
        <v>0</v>
      </c>
      <c r="BB162" s="22">
        <f>IF(ISERROR(SEARCH("TIROIDITE",Tabella1[[#This Row],[Patologia Tiroidea]],1)),0,1)</f>
        <v>0</v>
      </c>
      <c r="BC162" s="22">
        <f>IF(ISERROR(SEARCH("HASHIMOTO",Tabella1[[#This Row],[Patologia Tiroidea]],1)),0,1)</f>
        <v>0</v>
      </c>
      <c r="BD162" s="22">
        <f>IF(ISERROR(SEARCH("BASEDOW",Tabella1[[#This Row],[Patologia Tiroidea]],1)),0,1)</f>
        <v>0</v>
      </c>
      <c r="BE162" s="22">
        <f>IF(ISERROR(SEARCH("NOD",Tabella1[[#This Row],[Patologia Tiroidea]],1)),0,1)</f>
        <v>0</v>
      </c>
      <c r="BF162" s="22">
        <f>IF(ISERROR(SEARCH("GOZ",Tabella1[[#This Row],[Patologia Tiroidea]],1)),0,1)</f>
        <v>0</v>
      </c>
      <c r="BG162" s="7" t="s">
        <v>8</v>
      </c>
      <c r="BH162" s="17">
        <f>IF(Tabella1[[#This Row],[Obesità]]="no",0,1)</f>
        <v>0</v>
      </c>
      <c r="BI162" s="7" t="s">
        <v>1768</v>
      </c>
      <c r="BJ162" s="22">
        <f>IF(ISERROR(SEARCH("nega",Tabella1[[#This Row],[Reflusso gastroesofageo]],1)),1,0)</f>
        <v>1</v>
      </c>
      <c r="BK162" s="7" t="s">
        <v>816</v>
      </c>
      <c r="BL162" s="17">
        <f>IF(ISERROR(SEARCH("NDD",Tabella1[[#This Row],[Patologia respiratoria]],1)),0,1)</f>
        <v>0</v>
      </c>
      <c r="BM162" s="17">
        <f>IF(ISERROR(SEARCH("asma",Tabella1[[#This Row],[Patologia respiratoria]],1)),0,1)</f>
        <v>0</v>
      </c>
      <c r="BN162" s="17">
        <f>IF(ISERROR(SEARCH("BPCO",Tabella1[[#This Row],[Patologia respiratoria]],1)),0,1)</f>
        <v>0</v>
      </c>
      <c r="BO162" s="17">
        <f>IF(ISERROR(SEARCH("BRONCOPOLMONITE",Tabella1[[#This Row],[Patologia respiratoria]],1)),0,1)</f>
        <v>0</v>
      </c>
      <c r="BP162" s="17">
        <f>IF(ISERROR(SEARCH("ASMA, OSAS",Tabella1[[#This Row],[Patologia respiratoria]],1)),0,1)</f>
        <v>0</v>
      </c>
      <c r="BQ162" s="17">
        <f>IF(ISERROR(SEARCH("OSAS e BPCO",Tabella1[[#This Row],[Patologia respiratoria]],1)),0,1)</f>
        <v>0</v>
      </c>
      <c r="BR162" s="17">
        <f>IF(ISERROR(SEARCH("OSAS",Tabella1[[#This Row],[Patologia respiratoria]],1)),0,1)</f>
        <v>1</v>
      </c>
      <c r="BS162" s="7"/>
      <c r="BT162" s="7" t="s">
        <v>1769</v>
      </c>
      <c r="BU162" s="7" t="s">
        <v>8</v>
      </c>
      <c r="BV162" s="17">
        <f>IF(ISERROR(SEARCH("ndd",Tabella1[[#This Row],[O2 terapia]],1)),0,1)</f>
        <v>0</v>
      </c>
      <c r="BW162" s="17">
        <v>0</v>
      </c>
      <c r="BX162" s="7" t="s">
        <v>1770</v>
      </c>
      <c r="BY162" s="7" t="s">
        <v>25</v>
      </c>
      <c r="BZ162" s="18">
        <v>0</v>
      </c>
      <c r="CA162" s="7" t="s">
        <v>354</v>
      </c>
      <c r="CB162" s="17">
        <v>1</v>
      </c>
      <c r="CC162" s="7" t="s">
        <v>31</v>
      </c>
      <c r="CD162" s="17">
        <v>1</v>
      </c>
      <c r="CE162" s="7" t="s">
        <v>25</v>
      </c>
      <c r="CF162" s="18">
        <v>0</v>
      </c>
      <c r="CG162" s="7" t="s">
        <v>25</v>
      </c>
      <c r="CH162" s="17">
        <v>0</v>
      </c>
      <c r="CI162" s="7" t="s">
        <v>25</v>
      </c>
      <c r="CJ162" s="18">
        <v>0</v>
      </c>
      <c r="CK162" s="7" t="s">
        <v>1771</v>
      </c>
      <c r="CL162" s="17">
        <v>1</v>
      </c>
      <c r="CM162" s="7" t="s">
        <v>34</v>
      </c>
      <c r="CN162" s="17">
        <v>1</v>
      </c>
      <c r="CO162" s="7" t="s">
        <v>25</v>
      </c>
      <c r="CP162" s="18">
        <v>0</v>
      </c>
      <c r="CQ162" s="7" t="s">
        <v>54</v>
      </c>
      <c r="CR162" s="7" t="s">
        <v>1772</v>
      </c>
      <c r="CS162" s="7" t="s">
        <v>71</v>
      </c>
      <c r="CT162" s="7" t="s">
        <v>1181</v>
      </c>
      <c r="CU162" s="7" t="s">
        <v>1773</v>
      </c>
      <c r="CV162" s="8" t="s">
        <v>1774</v>
      </c>
    </row>
    <row r="163" spans="1:100" ht="28.5">
      <c r="A163" s="1">
        <f t="shared" si="2"/>
        <v>162</v>
      </c>
      <c r="B163" s="9">
        <v>975</v>
      </c>
      <c r="C163" s="10">
        <v>45114</v>
      </c>
      <c r="D163" s="11" t="s">
        <v>1775</v>
      </c>
      <c r="E163" s="10">
        <v>20827</v>
      </c>
      <c r="F163" s="29">
        <f ca="1">_xlfn.DAYS(NOW(),Tabella1[[#This Row],[Data di Nascita]])/365.25</f>
        <v>68.572210814510612</v>
      </c>
      <c r="G163" s="11" t="s">
        <v>1776</v>
      </c>
      <c r="H163" s="11" t="s">
        <v>1777</v>
      </c>
      <c r="I163" s="11" t="s">
        <v>1778</v>
      </c>
      <c r="J163" s="11" t="s">
        <v>1779</v>
      </c>
      <c r="K163" s="11" t="s">
        <v>5610</v>
      </c>
      <c r="L163" s="18">
        <f>IF(ISERROR(SEARCH("EX",Tabella1[[#This Row],[Attività lavorativa]],1)),0,1)</f>
        <v>1</v>
      </c>
      <c r="M163" s="18"/>
      <c r="N163" s="18"/>
      <c r="O163" s="18"/>
      <c r="P163" s="18"/>
      <c r="Q163" s="18"/>
      <c r="R163" s="18"/>
      <c r="S163" s="18"/>
      <c r="T163" s="17">
        <f>IF(ISERROR(SEARCH("NDD",Tabella1[[#This Row],[Attività lavorativa]],1)),0,1)</f>
        <v>0</v>
      </c>
      <c r="U163" s="11" t="s">
        <v>1781</v>
      </c>
      <c r="V163" s="22">
        <v>50</v>
      </c>
      <c r="W163" s="22">
        <f>IF(ISERROR(SEARCH("ex",Tabella1[[#This Row],[Fumo]],1)),0,1)</f>
        <v>0</v>
      </c>
      <c r="X163" s="22">
        <f>IF(ISERROR(SEARCH("no",Tabella1[[#This Row],[Fumo]],1)),0,1)</f>
        <v>0</v>
      </c>
      <c r="Y163" s="11" t="s">
        <v>26</v>
      </c>
      <c r="Z163" s="18">
        <f>IF(ISERROR(SEARCH("NDD",Tabella1[[#This Row],[Bevitore alcolici]],1)),0,1)</f>
        <v>0</v>
      </c>
      <c r="AA163" s="17">
        <f>IF(ISERROR(SEARCH("raro",Tabella1[[#This Row],[Bevitore alcolici]],1)),0,1)</f>
        <v>0</v>
      </c>
      <c r="AB163" s="17">
        <f>IF(ISERROR(SEARCH("saltuariamente",Tabella1[[#This Row],[Bevitore alcolici]],1)),0,1)</f>
        <v>1</v>
      </c>
      <c r="AC163" s="17">
        <f>IF(ISERROR(SEARCH("nega",Tabella1[[#This Row],[Bevitore alcolici]],1)),0,1)</f>
        <v>0</v>
      </c>
      <c r="AD163" s="17">
        <f>IF(ISERROR(SEARCH("potus",Tabella1[[#This Row],[Bevitore alcolici]],1)),0,1)</f>
        <v>0</v>
      </c>
      <c r="AE163" s="11" t="s">
        <v>1782</v>
      </c>
      <c r="AF163" s="18"/>
      <c r="AG163" s="18">
        <v>1</v>
      </c>
      <c r="AH163" s="18"/>
      <c r="AI163" s="18"/>
      <c r="AJ163" s="18"/>
      <c r="AK163" s="11" t="s">
        <v>28</v>
      </c>
      <c r="AL163" s="18">
        <f>IF(ISERROR(SEARCH("si",Tabella1[[#This Row],[Patente di guida]],1)),0,1)</f>
        <v>1</v>
      </c>
      <c r="AM163" s="11" t="s">
        <v>28</v>
      </c>
      <c r="AN163" s="18">
        <f>IF(ISERROR(SEARCH("no",Tabella1[[#This Row],[Ipertensione]],1)),0,1)</f>
        <v>0</v>
      </c>
      <c r="AO163" s="11" t="s">
        <v>382</v>
      </c>
      <c r="AP163" s="18">
        <f>IF(ISERROR(SEARCH("NO",Tabella1[[#This Row],[Cardiopatia ischemica]],1)),1,0)</f>
        <v>0</v>
      </c>
      <c r="AQ163" s="17">
        <f>IF(ISERROR(SEARCH("sconosciuto",Tabella1[[#This Row],[Cardiopatia ischemica]],1)),0,1)</f>
        <v>0</v>
      </c>
      <c r="AR163" s="11" t="s">
        <v>25</v>
      </c>
      <c r="AS163" s="22">
        <f>IF(ISERROR(SEARCH("nega",Tabella1[[#This Row],[Artimie]],1)),0,1)</f>
        <v>1</v>
      </c>
      <c r="AT163" s="11" t="s">
        <v>25</v>
      </c>
      <c r="AU163" s="22">
        <f>IF(ISERROR(SEARCH("nega",Tabella1[[#This Row],[Ipercolesterolemia]],1)),0,1)</f>
        <v>1</v>
      </c>
      <c r="AV163" s="22">
        <f>IF(ISERROR(SEARCH("boh",Tabella1[[#This Row],[Ipercolesterolemia]],1)),0,1)</f>
        <v>0</v>
      </c>
      <c r="AW163" s="11" t="s">
        <v>8</v>
      </c>
      <c r="AX163" s="22">
        <f>IF(ISERROR(SEARCH("Intolleranza",Tabella1[[#This Row],[Diabete]],1)),0,1)</f>
        <v>0</v>
      </c>
      <c r="AY163" s="22">
        <f>IF(ISERROR(SEARCH("si",Tabella1[[#This Row],[Diabete]],1)),0,1)</f>
        <v>0</v>
      </c>
      <c r="AZ163" s="7" t="s">
        <v>5477</v>
      </c>
      <c r="BA163" s="17">
        <f>IF(ISERROR(SEARCH("NDD",Tabella1[[#This Row],[Patologia Tiroidea]],1)),0,1)</f>
        <v>1</v>
      </c>
      <c r="BB163" s="22">
        <f>IF(ISERROR(SEARCH("TIROIDITE",Tabella1[[#This Row],[Patologia Tiroidea]],1)),0,1)</f>
        <v>0</v>
      </c>
      <c r="BC163" s="22">
        <f>IF(ISERROR(SEARCH("HASHIMOTO",Tabella1[[#This Row],[Patologia Tiroidea]],1)),0,1)</f>
        <v>0</v>
      </c>
      <c r="BD163" s="22">
        <f>IF(ISERROR(SEARCH("BASEDOW",Tabella1[[#This Row],[Patologia Tiroidea]],1)),0,1)</f>
        <v>0</v>
      </c>
      <c r="BE163" s="22">
        <f>IF(ISERROR(SEARCH("NOD",Tabella1[[#This Row],[Patologia Tiroidea]],1)),0,1)</f>
        <v>0</v>
      </c>
      <c r="BF163" s="22">
        <f>IF(ISERROR(SEARCH("GOZ",Tabella1[[#This Row],[Patologia Tiroidea]],1)),0,1)</f>
        <v>0</v>
      </c>
      <c r="BG163" s="11" t="s">
        <v>1783</v>
      </c>
      <c r="BH163" s="18">
        <f>IF(Tabella1[[#This Row],[Obesità]]="no",0,1)</f>
        <v>1</v>
      </c>
      <c r="BI163" s="11" t="s">
        <v>25</v>
      </c>
      <c r="BJ163" s="22">
        <f>IF(ISERROR(SEARCH("nega",Tabella1[[#This Row],[Reflusso gastroesofageo]],1)),1,0)</f>
        <v>0</v>
      </c>
      <c r="BK163" s="7" t="s">
        <v>5477</v>
      </c>
      <c r="BL163" s="17">
        <f>IF(ISERROR(SEARCH("NDD",Tabella1[[#This Row],[Patologia respiratoria]],1)),0,1)</f>
        <v>1</v>
      </c>
      <c r="BM163" s="18">
        <f>IF(ISERROR(SEARCH("asma",Tabella1[[#This Row],[Patologia respiratoria]],1)),0,1)</f>
        <v>0</v>
      </c>
      <c r="BN163" s="18">
        <f>IF(ISERROR(SEARCH("BPCO",Tabella1[[#This Row],[Patologia respiratoria]],1)),0,1)</f>
        <v>0</v>
      </c>
      <c r="BO163" s="18">
        <f>IF(ISERROR(SEARCH("BRONCOPOLMONITE",Tabella1[[#This Row],[Patologia respiratoria]],1)),0,1)</f>
        <v>0</v>
      </c>
      <c r="BP163" s="18">
        <f>IF(ISERROR(SEARCH("ASMA, OSAS",Tabella1[[#This Row],[Patologia respiratoria]],1)),0,1)</f>
        <v>0</v>
      </c>
      <c r="BQ163" s="18">
        <f>IF(ISERROR(SEARCH("OSAS e BPCO",Tabella1[[#This Row],[Patologia respiratoria]],1)),0,1)</f>
        <v>0</v>
      </c>
      <c r="BR163" s="18">
        <f>IF(ISERROR(SEARCH("OSAS",Tabella1[[#This Row],[Patologia respiratoria]],1)),0,1)</f>
        <v>0</v>
      </c>
      <c r="BS163" s="11"/>
      <c r="BT163" s="11" t="s">
        <v>1784</v>
      </c>
      <c r="BU163" s="11" t="s">
        <v>8</v>
      </c>
      <c r="BV163" s="18">
        <f>IF(ISERROR(SEARCH("ndd",Tabella1[[#This Row],[O2 terapia]],1)),0,1)</f>
        <v>0</v>
      </c>
      <c r="BW163" s="17">
        <v>0</v>
      </c>
      <c r="BX163" s="11"/>
      <c r="BY163" s="11" t="s">
        <v>1785</v>
      </c>
      <c r="BZ163" s="17">
        <v>1</v>
      </c>
      <c r="CA163" s="11" t="s">
        <v>28</v>
      </c>
      <c r="CB163" s="17">
        <v>1</v>
      </c>
      <c r="CC163" s="11" t="s">
        <v>28</v>
      </c>
      <c r="CD163" s="17">
        <v>1</v>
      </c>
      <c r="CE163" s="11" t="s">
        <v>8</v>
      </c>
      <c r="CF163" s="18">
        <v>0</v>
      </c>
      <c r="CG163" s="11" t="s">
        <v>1786</v>
      </c>
      <c r="CH163" s="17">
        <v>1</v>
      </c>
      <c r="CI163" s="7" t="s">
        <v>5477</v>
      </c>
      <c r="CJ163" s="18"/>
      <c r="CK163" s="11" t="s">
        <v>1787</v>
      </c>
      <c r="CL163" s="17">
        <v>1</v>
      </c>
      <c r="CM163" s="11" t="s">
        <v>28</v>
      </c>
      <c r="CN163" s="17">
        <v>1</v>
      </c>
      <c r="CO163" s="11" t="s">
        <v>8</v>
      </c>
      <c r="CP163" s="18">
        <v>0</v>
      </c>
      <c r="CQ163" s="11" t="s">
        <v>1788</v>
      </c>
      <c r="CR163" s="11" t="s">
        <v>203</v>
      </c>
      <c r="CS163" s="11" t="s">
        <v>37</v>
      </c>
      <c r="CT163" s="11" t="s">
        <v>1789</v>
      </c>
      <c r="CU163" s="11"/>
      <c r="CV163" s="12"/>
    </row>
    <row r="164" spans="1:100" ht="28.5">
      <c r="A164" s="1">
        <f t="shared" si="2"/>
        <v>163</v>
      </c>
      <c r="B164" s="5">
        <v>977</v>
      </c>
      <c r="C164" s="6">
        <v>45118</v>
      </c>
      <c r="D164" s="7" t="s">
        <v>1790</v>
      </c>
      <c r="E164" s="6">
        <v>28665</v>
      </c>
      <c r="F164" s="29">
        <f ca="1">_xlfn.DAYS(NOW(),Tabella1[[#This Row],[Data di Nascita]])/365.25</f>
        <v>47.112936344969199</v>
      </c>
      <c r="G164" s="7" t="s">
        <v>1791</v>
      </c>
      <c r="H164" s="7" t="s">
        <v>1792</v>
      </c>
      <c r="I164" s="7" t="s">
        <v>1793</v>
      </c>
      <c r="J164" s="7" t="s">
        <v>1794</v>
      </c>
      <c r="K164" s="7" t="s">
        <v>1795</v>
      </c>
      <c r="L164" s="17">
        <f>IF(ISERROR(SEARCH("EX",Tabella1[[#This Row],[Attività lavorativa]],1)),0,1)</f>
        <v>0</v>
      </c>
      <c r="M164" s="17"/>
      <c r="N164" s="17">
        <v>1</v>
      </c>
      <c r="O164" s="17"/>
      <c r="P164" s="17"/>
      <c r="Q164" s="17"/>
      <c r="R164" s="17"/>
      <c r="S164" s="17"/>
      <c r="T164" s="17">
        <f>IF(ISERROR(SEARCH("NDD",Tabella1[[#This Row],[Attività lavorativa]],1)),0,1)</f>
        <v>0</v>
      </c>
      <c r="U164" s="7" t="s">
        <v>1796</v>
      </c>
      <c r="V164" s="22">
        <v>20</v>
      </c>
      <c r="W164" s="22">
        <f>IF(ISERROR(SEARCH("ex",Tabella1[[#This Row],[Fumo]],1)),0,1)</f>
        <v>1</v>
      </c>
      <c r="X164" s="22">
        <f>IF(ISERROR(SEARCH("no",Tabella1[[#This Row],[Fumo]],1)),0,1)</f>
        <v>0</v>
      </c>
      <c r="Y164" s="7" t="s">
        <v>26</v>
      </c>
      <c r="Z164" s="17">
        <f>IF(ISERROR(SEARCH("NDD",Tabella1[[#This Row],[Bevitore alcolici]],1)),0,1)</f>
        <v>0</v>
      </c>
      <c r="AA164" s="17">
        <f>IF(ISERROR(SEARCH("raro",Tabella1[[#This Row],[Bevitore alcolici]],1)),0,1)</f>
        <v>0</v>
      </c>
      <c r="AB164" s="17">
        <f>IF(ISERROR(SEARCH("saltuariamente",Tabella1[[#This Row],[Bevitore alcolici]],1)),0,1)</f>
        <v>1</v>
      </c>
      <c r="AC164" s="17">
        <f>IF(ISERROR(SEARCH("nega",Tabella1[[#This Row],[Bevitore alcolici]],1)),0,1)</f>
        <v>0</v>
      </c>
      <c r="AD164" s="17">
        <f>IF(ISERROR(SEARCH("potus",Tabella1[[#This Row],[Bevitore alcolici]],1)),0,1)</f>
        <v>0</v>
      </c>
      <c r="AE164" s="7" t="s">
        <v>5647</v>
      </c>
      <c r="AF164" s="17"/>
      <c r="AG164" s="17"/>
      <c r="AH164" s="17"/>
      <c r="AI164" s="17"/>
      <c r="AJ164" s="17"/>
      <c r="AK164" s="7" t="s">
        <v>28</v>
      </c>
      <c r="AL164" s="17">
        <f>IF(ISERROR(SEARCH("si",Tabella1[[#This Row],[Patente di guida]],1)),0,1)</f>
        <v>1</v>
      </c>
      <c r="AM164" s="7" t="s">
        <v>28</v>
      </c>
      <c r="AN164" s="17">
        <f>IF(ISERROR(SEARCH("no",Tabella1[[#This Row],[Ipertensione]],1)),0,1)</f>
        <v>0</v>
      </c>
      <c r="AO164" s="7" t="s">
        <v>382</v>
      </c>
      <c r="AP164" s="18">
        <f>IF(ISERROR(SEARCH("NO",Tabella1[[#This Row],[Cardiopatia ischemica]],1)),1,0)</f>
        <v>0</v>
      </c>
      <c r="AQ164" s="17">
        <f>IF(ISERROR(SEARCH("sconosciuto",Tabella1[[#This Row],[Cardiopatia ischemica]],1)),0,1)</f>
        <v>0</v>
      </c>
      <c r="AR164" s="7" t="s">
        <v>25</v>
      </c>
      <c r="AS164" s="22">
        <f>IF(ISERROR(SEARCH("nega",Tabella1[[#This Row],[Artimie]],1)),0,1)</f>
        <v>1</v>
      </c>
      <c r="AT164" s="7" t="s">
        <v>25</v>
      </c>
      <c r="AU164" s="22">
        <f>IF(ISERROR(SEARCH("nega",Tabella1[[#This Row],[Ipercolesterolemia]],1)),0,1)</f>
        <v>1</v>
      </c>
      <c r="AV164" s="22">
        <f>IF(ISERROR(SEARCH("boh",Tabella1[[#This Row],[Ipercolesterolemia]],1)),0,1)</f>
        <v>0</v>
      </c>
      <c r="AW164" s="7" t="s">
        <v>8</v>
      </c>
      <c r="AX164" s="22">
        <f>IF(ISERROR(SEARCH("Intolleranza",Tabella1[[#This Row],[Diabete]],1)),0,1)</f>
        <v>0</v>
      </c>
      <c r="AY164" s="22">
        <f>IF(ISERROR(SEARCH("si",Tabella1[[#This Row],[Diabete]],1)),0,1)</f>
        <v>0</v>
      </c>
      <c r="AZ164" s="7" t="s">
        <v>8</v>
      </c>
      <c r="BA164" s="17">
        <f>IF(ISERROR(SEARCH("NDD",Tabella1[[#This Row],[Patologia Tiroidea]],1)),0,1)</f>
        <v>0</v>
      </c>
      <c r="BB164" s="22">
        <f>IF(ISERROR(SEARCH("TIROIDITE",Tabella1[[#This Row],[Patologia Tiroidea]],1)),0,1)</f>
        <v>0</v>
      </c>
      <c r="BC164" s="22">
        <f>IF(ISERROR(SEARCH("HASHIMOTO",Tabella1[[#This Row],[Patologia Tiroidea]],1)),0,1)</f>
        <v>0</v>
      </c>
      <c r="BD164" s="22">
        <f>IF(ISERROR(SEARCH("BASEDOW",Tabella1[[#This Row],[Patologia Tiroidea]],1)),0,1)</f>
        <v>0</v>
      </c>
      <c r="BE164" s="22">
        <f>IF(ISERROR(SEARCH("NOD",Tabella1[[#This Row],[Patologia Tiroidea]],1)),0,1)</f>
        <v>0</v>
      </c>
      <c r="BF164" s="22">
        <f>IF(ISERROR(SEARCH("GOZ",Tabella1[[#This Row],[Patologia Tiroidea]],1)),0,1)</f>
        <v>0</v>
      </c>
      <c r="BG164" s="7" t="s">
        <v>28</v>
      </c>
      <c r="BH164" s="17">
        <f>IF(Tabella1[[#This Row],[Obesità]]="no",0,1)</f>
        <v>1</v>
      </c>
      <c r="BI164" s="7" t="s">
        <v>28</v>
      </c>
      <c r="BJ164" s="22">
        <f>IF(ISERROR(SEARCH("nega",Tabella1[[#This Row],[Reflusso gastroesofageo]],1)),1,0)</f>
        <v>1</v>
      </c>
      <c r="BK164" s="7" t="s">
        <v>5477</v>
      </c>
      <c r="BL164" s="17">
        <f>IF(ISERROR(SEARCH("NDD",Tabella1[[#This Row],[Patologia respiratoria]],1)),0,1)</f>
        <v>1</v>
      </c>
      <c r="BM164" s="17">
        <f>IF(ISERROR(SEARCH("asma",Tabella1[[#This Row],[Patologia respiratoria]],1)),0,1)</f>
        <v>0</v>
      </c>
      <c r="BN164" s="17">
        <f>IF(ISERROR(SEARCH("BPCO",Tabella1[[#This Row],[Patologia respiratoria]],1)),0,1)</f>
        <v>0</v>
      </c>
      <c r="BO164" s="17">
        <f>IF(ISERROR(SEARCH("BRONCOPOLMONITE",Tabella1[[#This Row],[Patologia respiratoria]],1)),0,1)</f>
        <v>0</v>
      </c>
      <c r="BP164" s="17">
        <f>IF(ISERROR(SEARCH("ASMA, OSAS",Tabella1[[#This Row],[Patologia respiratoria]],1)),0,1)</f>
        <v>0</v>
      </c>
      <c r="BQ164" s="17">
        <f>IF(ISERROR(SEARCH("OSAS e BPCO",Tabella1[[#This Row],[Patologia respiratoria]],1)),0,1)</f>
        <v>0</v>
      </c>
      <c r="BR164" s="17">
        <f>IF(ISERROR(SEARCH("OSAS",Tabella1[[#This Row],[Patologia respiratoria]],1)),0,1)</f>
        <v>0</v>
      </c>
      <c r="BS164" s="7" t="s">
        <v>1797</v>
      </c>
      <c r="BT164" s="7" t="s">
        <v>1798</v>
      </c>
      <c r="BU164" s="7" t="s">
        <v>8</v>
      </c>
      <c r="BV164" s="17">
        <f>IF(ISERROR(SEARCH("ndd",Tabella1[[#This Row],[O2 terapia]],1)),0,1)</f>
        <v>0</v>
      </c>
      <c r="BW164" s="17">
        <v>0</v>
      </c>
      <c r="BX164" s="7"/>
      <c r="BY164" s="7" t="s">
        <v>8</v>
      </c>
      <c r="BZ164" s="18">
        <v>0</v>
      </c>
      <c r="CA164" s="7" t="s">
        <v>8</v>
      </c>
      <c r="CB164" s="17">
        <v>0</v>
      </c>
      <c r="CC164" s="7" t="s">
        <v>8</v>
      </c>
      <c r="CD164" s="18">
        <v>0</v>
      </c>
      <c r="CE164" s="7" t="s">
        <v>8</v>
      </c>
      <c r="CF164" s="18">
        <v>0</v>
      </c>
      <c r="CG164" s="7" t="s">
        <v>8</v>
      </c>
      <c r="CH164" s="17">
        <v>0</v>
      </c>
      <c r="CI164" s="7" t="s">
        <v>8</v>
      </c>
      <c r="CJ164" s="18">
        <v>0</v>
      </c>
      <c r="CK164" s="7" t="s">
        <v>8</v>
      </c>
      <c r="CL164" s="17">
        <v>0</v>
      </c>
      <c r="CM164" s="7" t="s">
        <v>8</v>
      </c>
      <c r="CN164" s="17">
        <v>0</v>
      </c>
      <c r="CO164" s="7" t="s">
        <v>8</v>
      </c>
      <c r="CP164" s="18">
        <v>0</v>
      </c>
      <c r="CQ164" s="7" t="s">
        <v>103</v>
      </c>
      <c r="CR164" s="7" t="s">
        <v>1799</v>
      </c>
      <c r="CS164" s="7" t="s">
        <v>71</v>
      </c>
      <c r="CT164" s="7" t="s">
        <v>262</v>
      </c>
      <c r="CU164" s="7"/>
      <c r="CV164" s="8"/>
    </row>
    <row r="165" spans="1:100" ht="213.75">
      <c r="A165" s="1">
        <f t="shared" si="2"/>
        <v>164</v>
      </c>
      <c r="B165" s="9">
        <v>978</v>
      </c>
      <c r="C165" s="10">
        <v>45118</v>
      </c>
      <c r="D165" s="11" t="s">
        <v>1800</v>
      </c>
      <c r="E165" s="10">
        <v>26588</v>
      </c>
      <c r="F165" s="29">
        <f ca="1">_xlfn.DAYS(NOW(),Tabella1[[#This Row],[Data di Nascita]])/365.25</f>
        <v>52.799452429842574</v>
      </c>
      <c r="G165" s="11" t="s">
        <v>1801</v>
      </c>
      <c r="H165" s="11" t="s">
        <v>1802</v>
      </c>
      <c r="I165" s="11" t="s">
        <v>1803</v>
      </c>
      <c r="J165" s="11" t="s">
        <v>1779</v>
      </c>
      <c r="K165" s="11" t="s">
        <v>1804</v>
      </c>
      <c r="L165" s="18">
        <f>IF(ISERROR(SEARCH("EX",Tabella1[[#This Row],[Attività lavorativa]],1)),0,1)</f>
        <v>0</v>
      </c>
      <c r="M165" s="18"/>
      <c r="N165" s="17">
        <v>1</v>
      </c>
      <c r="O165" s="18"/>
      <c r="P165" s="18"/>
      <c r="Q165" s="18"/>
      <c r="R165" s="18"/>
      <c r="S165" s="18"/>
      <c r="T165" s="17">
        <f>IF(ISERROR(SEARCH("NDD",Tabella1[[#This Row],[Attività lavorativa]],1)),0,1)</f>
        <v>0</v>
      </c>
      <c r="U165" s="11" t="s">
        <v>566</v>
      </c>
      <c r="V165" s="22"/>
      <c r="W165" s="22">
        <f>IF(ISERROR(SEARCH("ex",Tabella1[[#This Row],[Fumo]],1)),0,1)</f>
        <v>0</v>
      </c>
      <c r="X165" s="22">
        <f>IF(ISERROR(SEARCH("no",Tabella1[[#This Row],[Fumo]],1)),0,1)</f>
        <v>0</v>
      </c>
      <c r="Y165" s="11" t="s">
        <v>26</v>
      </c>
      <c r="Z165" s="18">
        <f>IF(ISERROR(SEARCH("NDD",Tabella1[[#This Row],[Bevitore alcolici]],1)),0,1)</f>
        <v>0</v>
      </c>
      <c r="AA165" s="17">
        <f>IF(ISERROR(SEARCH("raro",Tabella1[[#This Row],[Bevitore alcolici]],1)),0,1)</f>
        <v>0</v>
      </c>
      <c r="AB165" s="17">
        <f>IF(ISERROR(SEARCH("saltuariamente",Tabella1[[#This Row],[Bevitore alcolici]],1)),0,1)</f>
        <v>1</v>
      </c>
      <c r="AC165" s="17">
        <f>IF(ISERROR(SEARCH("nega",Tabella1[[#This Row],[Bevitore alcolici]],1)),0,1)</f>
        <v>0</v>
      </c>
      <c r="AD165" s="17">
        <f>IF(ISERROR(SEARCH("potus",Tabella1[[#This Row],[Bevitore alcolici]],1)),0,1)</f>
        <v>0</v>
      </c>
      <c r="AE165" s="11" t="s">
        <v>5647</v>
      </c>
      <c r="AF165" s="18"/>
      <c r="AG165" s="18"/>
      <c r="AH165" s="18"/>
      <c r="AI165" s="18"/>
      <c r="AJ165" s="18"/>
      <c r="AK165" s="11" t="s">
        <v>28</v>
      </c>
      <c r="AL165" s="18">
        <f>IF(ISERROR(SEARCH("si",Tabella1[[#This Row],[Patente di guida]],1)),0,1)</f>
        <v>1</v>
      </c>
      <c r="AM165" s="11" t="s">
        <v>28</v>
      </c>
      <c r="AN165" s="18">
        <f>IF(ISERROR(SEARCH("no",Tabella1[[#This Row],[Ipertensione]],1)),0,1)</f>
        <v>0</v>
      </c>
      <c r="AO165" s="11" t="s">
        <v>382</v>
      </c>
      <c r="AP165" s="18">
        <f>IF(ISERROR(SEARCH("NO",Tabella1[[#This Row],[Cardiopatia ischemica]],1)),1,0)</f>
        <v>0</v>
      </c>
      <c r="AQ165" s="17">
        <f>IF(ISERROR(SEARCH("sconosciuto",Tabella1[[#This Row],[Cardiopatia ischemica]],1)),0,1)</f>
        <v>0</v>
      </c>
      <c r="AR165" s="11" t="s">
        <v>25</v>
      </c>
      <c r="AS165" s="22">
        <f>IF(ISERROR(SEARCH("nega",Tabella1[[#This Row],[Artimie]],1)),0,1)</f>
        <v>1</v>
      </c>
      <c r="AT165" s="11" t="s">
        <v>28</v>
      </c>
      <c r="AU165" s="22">
        <f>IF(ISERROR(SEARCH("nega",Tabella1[[#This Row],[Ipercolesterolemia]],1)),0,1)</f>
        <v>0</v>
      </c>
      <c r="AV165" s="22">
        <f>IF(ISERROR(SEARCH("boh",Tabella1[[#This Row],[Ipercolesterolemia]],1)),0,1)</f>
        <v>0</v>
      </c>
      <c r="AW165" s="11" t="s">
        <v>8</v>
      </c>
      <c r="AX165" s="22">
        <f>IF(ISERROR(SEARCH("Intolleranza",Tabella1[[#This Row],[Diabete]],1)),0,1)</f>
        <v>0</v>
      </c>
      <c r="AY165" s="22">
        <f>IF(ISERROR(SEARCH("si",Tabella1[[#This Row],[Diabete]],1)),0,1)</f>
        <v>0</v>
      </c>
      <c r="AZ165" s="7" t="s">
        <v>5477</v>
      </c>
      <c r="BA165" s="17">
        <f>IF(ISERROR(SEARCH("NDD",Tabella1[[#This Row],[Patologia Tiroidea]],1)),0,1)</f>
        <v>1</v>
      </c>
      <c r="BB165" s="22">
        <f>IF(ISERROR(SEARCH("TIROIDITE",Tabella1[[#This Row],[Patologia Tiroidea]],1)),0,1)</f>
        <v>0</v>
      </c>
      <c r="BC165" s="22">
        <f>IF(ISERROR(SEARCH("HASHIMOTO",Tabella1[[#This Row],[Patologia Tiroidea]],1)),0,1)</f>
        <v>0</v>
      </c>
      <c r="BD165" s="22">
        <f>IF(ISERROR(SEARCH("BASEDOW",Tabella1[[#This Row],[Patologia Tiroidea]],1)),0,1)</f>
        <v>0</v>
      </c>
      <c r="BE165" s="22">
        <f>IF(ISERROR(SEARCH("NOD",Tabella1[[#This Row],[Patologia Tiroidea]],1)),0,1)</f>
        <v>0</v>
      </c>
      <c r="BF165" s="22">
        <f>IF(ISERROR(SEARCH("GOZ",Tabella1[[#This Row],[Patologia Tiroidea]],1)),0,1)</f>
        <v>0</v>
      </c>
      <c r="BG165" s="11" t="s">
        <v>1805</v>
      </c>
      <c r="BH165" s="18">
        <f>IF(Tabella1[[#This Row],[Obesità]]="no",0,1)</f>
        <v>1</v>
      </c>
      <c r="BI165" s="11" t="s">
        <v>25</v>
      </c>
      <c r="BJ165" s="22">
        <f>IF(ISERROR(SEARCH("nega",Tabella1[[#This Row],[Reflusso gastroesofageo]],1)),1,0)</f>
        <v>0</v>
      </c>
      <c r="BK165" s="7" t="s">
        <v>5477</v>
      </c>
      <c r="BL165" s="17">
        <f>IF(ISERROR(SEARCH("NDD",Tabella1[[#This Row],[Patologia respiratoria]],1)),0,1)</f>
        <v>1</v>
      </c>
      <c r="BM165" s="18">
        <f>IF(ISERROR(SEARCH("asma",Tabella1[[#This Row],[Patologia respiratoria]],1)),0,1)</f>
        <v>0</v>
      </c>
      <c r="BN165" s="18">
        <f>IF(ISERROR(SEARCH("BPCO",Tabella1[[#This Row],[Patologia respiratoria]],1)),0,1)</f>
        <v>0</v>
      </c>
      <c r="BO165" s="18">
        <f>IF(ISERROR(SEARCH("BRONCOPOLMONITE",Tabella1[[#This Row],[Patologia respiratoria]],1)),0,1)</f>
        <v>0</v>
      </c>
      <c r="BP165" s="18">
        <f>IF(ISERROR(SEARCH("ASMA, OSAS",Tabella1[[#This Row],[Patologia respiratoria]],1)),0,1)</f>
        <v>0</v>
      </c>
      <c r="BQ165" s="18">
        <f>IF(ISERROR(SEARCH("OSAS e BPCO",Tabella1[[#This Row],[Patologia respiratoria]],1)),0,1)</f>
        <v>0</v>
      </c>
      <c r="BR165" s="18">
        <f>IF(ISERROR(SEARCH("OSAS",Tabella1[[#This Row],[Patologia respiratoria]],1)),0,1)</f>
        <v>0</v>
      </c>
      <c r="BS165" s="11"/>
      <c r="BT165" s="11" t="s">
        <v>1806</v>
      </c>
      <c r="BU165" s="11" t="s">
        <v>8</v>
      </c>
      <c r="BV165" s="18">
        <f>IF(ISERROR(SEARCH("ndd",Tabella1[[#This Row],[O2 terapia]],1)),0,1)</f>
        <v>0</v>
      </c>
      <c r="BW165" s="17">
        <v>0</v>
      </c>
      <c r="BX165" s="11"/>
      <c r="BY165" s="11" t="s">
        <v>8</v>
      </c>
      <c r="BZ165" s="18">
        <v>0</v>
      </c>
      <c r="CA165" s="11" t="s">
        <v>28</v>
      </c>
      <c r="CB165" s="17">
        <v>1</v>
      </c>
      <c r="CC165" s="11" t="s">
        <v>1807</v>
      </c>
      <c r="CD165" s="17">
        <v>1</v>
      </c>
      <c r="CE165" s="11" t="s">
        <v>8</v>
      </c>
      <c r="CF165" s="18">
        <v>0</v>
      </c>
      <c r="CG165" s="7" t="s">
        <v>5477</v>
      </c>
      <c r="CH165" s="18"/>
      <c r="CI165" s="7" t="s">
        <v>5477</v>
      </c>
      <c r="CJ165" s="18"/>
      <c r="CK165" s="11" t="s">
        <v>1787</v>
      </c>
      <c r="CL165" s="17">
        <v>1</v>
      </c>
      <c r="CM165" s="11" t="s">
        <v>28</v>
      </c>
      <c r="CN165" s="17">
        <v>1</v>
      </c>
      <c r="CO165" s="11" t="s">
        <v>8</v>
      </c>
      <c r="CP165" s="18">
        <v>0</v>
      </c>
      <c r="CQ165" s="11" t="s">
        <v>1808</v>
      </c>
      <c r="CR165" s="11" t="s">
        <v>495</v>
      </c>
      <c r="CS165" s="11" t="s">
        <v>105</v>
      </c>
      <c r="CT165" s="11" t="s">
        <v>184</v>
      </c>
      <c r="CU165" s="11" t="s">
        <v>1809</v>
      </c>
      <c r="CV165" s="12" t="s">
        <v>1810</v>
      </c>
    </row>
    <row r="166" spans="1:100" ht="28.5">
      <c r="A166" s="1">
        <f t="shared" si="2"/>
        <v>165</v>
      </c>
      <c r="B166" s="5">
        <v>982</v>
      </c>
      <c r="C166" s="6">
        <v>45120</v>
      </c>
      <c r="D166" s="7" t="s">
        <v>1811</v>
      </c>
      <c r="E166" s="6">
        <v>15849</v>
      </c>
      <c r="F166" s="29">
        <f ca="1">_xlfn.DAYS(NOW(),Tabella1[[#This Row],[Data di Nascita]])/365.25</f>
        <v>82.201232032854207</v>
      </c>
      <c r="G166" s="7" t="s">
        <v>1812</v>
      </c>
      <c r="H166" s="7" t="s">
        <v>1813</v>
      </c>
      <c r="I166" s="7" t="s">
        <v>1814</v>
      </c>
      <c r="J166" s="7" t="s">
        <v>427</v>
      </c>
      <c r="K166" s="7" t="s">
        <v>1815</v>
      </c>
      <c r="L166" s="17">
        <f>IF(ISERROR(SEARCH("EX",Tabella1[[#This Row],[Attività lavorativa]],1)),0,1)</f>
        <v>1</v>
      </c>
      <c r="M166" s="17"/>
      <c r="N166" s="17"/>
      <c r="O166" s="17"/>
      <c r="P166" s="17"/>
      <c r="Q166" s="17"/>
      <c r="R166" s="17"/>
      <c r="S166" s="17"/>
      <c r="T166" s="17">
        <f>IF(ISERROR(SEARCH("NDD",Tabella1[[#This Row],[Attività lavorativa]],1)),0,1)</f>
        <v>0</v>
      </c>
      <c r="U166" s="7" t="s">
        <v>1046</v>
      </c>
      <c r="V166" s="22"/>
      <c r="W166" s="22">
        <f>IF(ISERROR(SEARCH("ex",Tabella1[[#This Row],[Fumo]],1)),0,1)</f>
        <v>1</v>
      </c>
      <c r="X166" s="22">
        <f>IF(ISERROR(SEARCH("no",Tabella1[[#This Row],[Fumo]],1)),0,1)</f>
        <v>0</v>
      </c>
      <c r="Y166" s="7" t="s">
        <v>25</v>
      </c>
      <c r="Z166" s="17">
        <f>IF(ISERROR(SEARCH("NDD",Tabella1[[#This Row],[Bevitore alcolici]],1)),0,1)</f>
        <v>0</v>
      </c>
      <c r="AA166" s="17">
        <f>IF(ISERROR(SEARCH("raro",Tabella1[[#This Row],[Bevitore alcolici]],1)),0,1)</f>
        <v>0</v>
      </c>
      <c r="AB166" s="17">
        <f>IF(ISERROR(SEARCH("saltuariamente",Tabella1[[#This Row],[Bevitore alcolici]],1)),0,1)</f>
        <v>0</v>
      </c>
      <c r="AC166" s="17">
        <f>IF(ISERROR(SEARCH("nega",Tabella1[[#This Row],[Bevitore alcolici]],1)),0,1)</f>
        <v>1</v>
      </c>
      <c r="AD166" s="17">
        <f>IF(ISERROR(SEARCH("potus",Tabella1[[#This Row],[Bevitore alcolici]],1)),0,1)</f>
        <v>0</v>
      </c>
      <c r="AE166" s="7" t="s">
        <v>657</v>
      </c>
      <c r="AF166" s="17"/>
      <c r="AG166" s="17"/>
      <c r="AH166" s="17"/>
      <c r="AI166" s="17"/>
      <c r="AJ166" s="17"/>
      <c r="AK166" s="7" t="s">
        <v>28</v>
      </c>
      <c r="AL166" s="17">
        <f>IF(ISERROR(SEARCH("si",Tabella1[[#This Row],[Patente di guida]],1)),0,1)</f>
        <v>1</v>
      </c>
      <c r="AM166" s="7" t="s">
        <v>8</v>
      </c>
      <c r="AN166" s="17">
        <f>IF(ISERROR(SEARCH("no",Tabella1[[#This Row],[Ipertensione]],1)),0,1)</f>
        <v>1</v>
      </c>
      <c r="AO166" s="7" t="s">
        <v>382</v>
      </c>
      <c r="AP166" s="18">
        <f>IF(ISERROR(SEARCH("NO",Tabella1[[#This Row],[Cardiopatia ischemica]],1)),1,0)</f>
        <v>0</v>
      </c>
      <c r="AQ166" s="17">
        <f>IF(ISERROR(SEARCH("sconosciuto",Tabella1[[#This Row],[Cardiopatia ischemica]],1)),0,1)</f>
        <v>0</v>
      </c>
      <c r="AR166" s="7" t="s">
        <v>859</v>
      </c>
      <c r="AS166" s="22">
        <f>IF(ISERROR(SEARCH("nega",Tabella1[[#This Row],[Artimie]],1)),0,1)</f>
        <v>0</v>
      </c>
      <c r="AT166" s="7" t="s">
        <v>28</v>
      </c>
      <c r="AU166" s="22">
        <f>IF(ISERROR(SEARCH("nega",Tabella1[[#This Row],[Ipercolesterolemia]],1)),0,1)</f>
        <v>0</v>
      </c>
      <c r="AV166" s="22">
        <f>IF(ISERROR(SEARCH("boh",Tabella1[[#This Row],[Ipercolesterolemia]],1)),0,1)</f>
        <v>0</v>
      </c>
      <c r="AW166" s="7" t="s">
        <v>8</v>
      </c>
      <c r="AX166" s="22">
        <f>IF(ISERROR(SEARCH("Intolleranza",Tabella1[[#This Row],[Diabete]],1)),0,1)</f>
        <v>0</v>
      </c>
      <c r="AY166" s="22">
        <f>IF(ISERROR(SEARCH("si",Tabella1[[#This Row],[Diabete]],1)),0,1)</f>
        <v>0</v>
      </c>
      <c r="AZ166" s="7" t="s">
        <v>8</v>
      </c>
      <c r="BA166" s="17">
        <f>IF(ISERROR(SEARCH("NDD",Tabella1[[#This Row],[Patologia Tiroidea]],1)),0,1)</f>
        <v>0</v>
      </c>
      <c r="BB166" s="22">
        <f>IF(ISERROR(SEARCH("TIROIDITE",Tabella1[[#This Row],[Patologia Tiroidea]],1)),0,1)</f>
        <v>0</v>
      </c>
      <c r="BC166" s="22">
        <f>IF(ISERROR(SEARCH("HASHIMOTO",Tabella1[[#This Row],[Patologia Tiroidea]],1)),0,1)</f>
        <v>0</v>
      </c>
      <c r="BD166" s="22">
        <f>IF(ISERROR(SEARCH("BASEDOW",Tabella1[[#This Row],[Patologia Tiroidea]],1)),0,1)</f>
        <v>0</v>
      </c>
      <c r="BE166" s="22">
        <f>IF(ISERROR(SEARCH("NOD",Tabella1[[#This Row],[Patologia Tiroidea]],1)),0,1)</f>
        <v>0</v>
      </c>
      <c r="BF166" s="22">
        <f>IF(ISERROR(SEARCH("GOZ",Tabella1[[#This Row],[Patologia Tiroidea]],1)),0,1)</f>
        <v>0</v>
      </c>
      <c r="BG166" s="7" t="s">
        <v>8</v>
      </c>
      <c r="BH166" s="17">
        <f>IF(Tabella1[[#This Row],[Obesità]]="no",0,1)</f>
        <v>0</v>
      </c>
      <c r="BI166" s="7" t="s">
        <v>28</v>
      </c>
      <c r="BJ166" s="22">
        <f>IF(ISERROR(SEARCH("nega",Tabella1[[#This Row],[Reflusso gastroesofageo]],1)),1,0)</f>
        <v>1</v>
      </c>
      <c r="BK166" s="7" t="s">
        <v>5477</v>
      </c>
      <c r="BL166" s="17">
        <f>IF(ISERROR(SEARCH("NDD",Tabella1[[#This Row],[Patologia respiratoria]],1)),0,1)</f>
        <v>1</v>
      </c>
      <c r="BM166" s="17">
        <f>IF(ISERROR(SEARCH("asma",Tabella1[[#This Row],[Patologia respiratoria]],1)),0,1)</f>
        <v>0</v>
      </c>
      <c r="BN166" s="17">
        <f>IF(ISERROR(SEARCH("BPCO",Tabella1[[#This Row],[Patologia respiratoria]],1)),0,1)</f>
        <v>0</v>
      </c>
      <c r="BO166" s="17">
        <f>IF(ISERROR(SEARCH("BRONCOPOLMONITE",Tabella1[[#This Row],[Patologia respiratoria]],1)),0,1)</f>
        <v>0</v>
      </c>
      <c r="BP166" s="17">
        <f>IF(ISERROR(SEARCH("ASMA, OSAS",Tabella1[[#This Row],[Patologia respiratoria]],1)),0,1)</f>
        <v>0</v>
      </c>
      <c r="BQ166" s="17">
        <f>IF(ISERROR(SEARCH("OSAS e BPCO",Tabella1[[#This Row],[Patologia respiratoria]],1)),0,1)</f>
        <v>0</v>
      </c>
      <c r="BR166" s="17">
        <f>IF(ISERROR(SEARCH("OSAS",Tabella1[[#This Row],[Patologia respiratoria]],1)),0,1)</f>
        <v>0</v>
      </c>
      <c r="BS166" s="7" t="s">
        <v>1816</v>
      </c>
      <c r="BT166" s="7" t="s">
        <v>1817</v>
      </c>
      <c r="BU166" s="7" t="s">
        <v>8</v>
      </c>
      <c r="BV166" s="17">
        <f>IF(ISERROR(SEARCH("ndd",Tabella1[[#This Row],[O2 terapia]],1)),0,1)</f>
        <v>0</v>
      </c>
      <c r="BW166" s="17">
        <v>0</v>
      </c>
      <c r="BX166" s="7"/>
      <c r="BY166" s="7" t="s">
        <v>8</v>
      </c>
      <c r="BZ166" s="18">
        <v>0</v>
      </c>
      <c r="CA166" s="7" t="s">
        <v>8</v>
      </c>
      <c r="CB166" s="17">
        <v>0</v>
      </c>
      <c r="CC166" s="7" t="s">
        <v>8</v>
      </c>
      <c r="CD166" s="18">
        <v>0</v>
      </c>
      <c r="CE166" s="7" t="s">
        <v>8</v>
      </c>
      <c r="CF166" s="18">
        <v>0</v>
      </c>
      <c r="CG166" s="7" t="s">
        <v>8</v>
      </c>
      <c r="CH166" s="17">
        <v>0</v>
      </c>
      <c r="CI166" s="7" t="s">
        <v>8</v>
      </c>
      <c r="CJ166" s="18">
        <v>0</v>
      </c>
      <c r="CK166" s="7" t="s">
        <v>28</v>
      </c>
      <c r="CL166" s="17">
        <v>1</v>
      </c>
      <c r="CM166" s="7" t="s">
        <v>8</v>
      </c>
      <c r="CN166" s="17">
        <v>0</v>
      </c>
      <c r="CO166" s="7" t="s">
        <v>8</v>
      </c>
      <c r="CP166" s="18">
        <v>0</v>
      </c>
      <c r="CQ166" s="7" t="s">
        <v>368</v>
      </c>
      <c r="CR166" s="7" t="s">
        <v>135</v>
      </c>
      <c r="CS166" s="7" t="s">
        <v>71</v>
      </c>
      <c r="CT166" s="7" t="s">
        <v>38</v>
      </c>
      <c r="CU166" s="7"/>
      <c r="CV166" s="8"/>
    </row>
    <row r="167" spans="1:100" ht="42.75">
      <c r="A167" s="1">
        <f t="shared" si="2"/>
        <v>166</v>
      </c>
      <c r="B167" s="9">
        <v>988</v>
      </c>
      <c r="C167" s="10">
        <v>45124</v>
      </c>
      <c r="D167" s="11" t="s">
        <v>1818</v>
      </c>
      <c r="E167" s="10">
        <v>20952</v>
      </c>
      <c r="F167" s="29">
        <f ca="1">_xlfn.DAYS(NOW(),Tabella1[[#This Row],[Data di Nascita]])/365.25</f>
        <v>68.22997946611909</v>
      </c>
      <c r="G167" s="11" t="s">
        <v>1819</v>
      </c>
      <c r="H167" s="11" t="s">
        <v>1820</v>
      </c>
      <c r="I167" s="11" t="s">
        <v>1492</v>
      </c>
      <c r="J167" s="11" t="s">
        <v>1346</v>
      </c>
      <c r="K167" s="11" t="s">
        <v>241</v>
      </c>
      <c r="L167" s="18">
        <f>IF(ISERROR(SEARCH("EX",Tabella1[[#This Row],[Attività lavorativa]],1)),0,1)</f>
        <v>0</v>
      </c>
      <c r="M167" s="18"/>
      <c r="N167" s="18"/>
      <c r="O167" s="18"/>
      <c r="P167" s="18">
        <v>1</v>
      </c>
      <c r="Q167" s="18"/>
      <c r="R167" s="18"/>
      <c r="S167" s="18"/>
      <c r="T167" s="17">
        <f>IF(ISERROR(SEARCH("NDD",Tabella1[[#This Row],[Attività lavorativa]],1)),0,1)</f>
        <v>0</v>
      </c>
      <c r="U167" s="11" t="s">
        <v>1821</v>
      </c>
      <c r="V167" s="22">
        <v>52</v>
      </c>
      <c r="W167" s="22">
        <f>IF(ISERROR(SEARCH("ex",Tabella1[[#This Row],[Fumo]],1)),0,1)</f>
        <v>0</v>
      </c>
      <c r="X167" s="22">
        <f>IF(ISERROR(SEARCH("no",Tabella1[[#This Row],[Fumo]],1)),0,1)</f>
        <v>0</v>
      </c>
      <c r="Y167" s="11" t="s">
        <v>25</v>
      </c>
      <c r="Z167" s="18">
        <f>IF(ISERROR(SEARCH("NDD",Tabella1[[#This Row],[Bevitore alcolici]],1)),0,1)</f>
        <v>0</v>
      </c>
      <c r="AA167" s="17">
        <f>IF(ISERROR(SEARCH("raro",Tabella1[[#This Row],[Bevitore alcolici]],1)),0,1)</f>
        <v>0</v>
      </c>
      <c r="AB167" s="17">
        <f>IF(ISERROR(SEARCH("saltuariamente",Tabella1[[#This Row],[Bevitore alcolici]],1)),0,1)</f>
        <v>0</v>
      </c>
      <c r="AC167" s="17">
        <f>IF(ISERROR(SEARCH("nega",Tabella1[[#This Row],[Bevitore alcolici]],1)),0,1)</f>
        <v>1</v>
      </c>
      <c r="AD167" s="17">
        <f>IF(ISERROR(SEARCH("potus",Tabella1[[#This Row],[Bevitore alcolici]],1)),0,1)</f>
        <v>0</v>
      </c>
      <c r="AE167" s="11" t="s">
        <v>5647</v>
      </c>
      <c r="AF167" s="18"/>
      <c r="AG167" s="18"/>
      <c r="AH167" s="18"/>
      <c r="AI167" s="18"/>
      <c r="AJ167" s="18"/>
      <c r="AK167" s="11" t="s">
        <v>8</v>
      </c>
      <c r="AL167" s="18">
        <f>IF(ISERROR(SEARCH("si",Tabella1[[#This Row],[Patente di guida]],1)),0,1)</f>
        <v>0</v>
      </c>
      <c r="AM167" s="11" t="s">
        <v>28</v>
      </c>
      <c r="AN167" s="18">
        <f>IF(ISERROR(SEARCH("no",Tabella1[[#This Row],[Ipertensione]],1)),0,1)</f>
        <v>0</v>
      </c>
      <c r="AO167" s="11" t="s">
        <v>3735</v>
      </c>
      <c r="AP167" s="18">
        <f>IF(ISERROR(SEARCH("NO",Tabella1[[#This Row],[Cardiopatia ischemica]],1)),1,0)</f>
        <v>0</v>
      </c>
      <c r="AQ167" s="17">
        <f>IF(ISERROR(SEARCH("sconosciuto",Tabella1[[#This Row],[Cardiopatia ischemica]],1)),0,1)</f>
        <v>0</v>
      </c>
      <c r="AR167" s="11" t="s">
        <v>25</v>
      </c>
      <c r="AS167" s="22">
        <f>IF(ISERROR(SEARCH("nega",Tabella1[[#This Row],[Artimie]],1)),0,1)</f>
        <v>1</v>
      </c>
      <c r="AT167" s="11" t="s">
        <v>28</v>
      </c>
      <c r="AU167" s="22">
        <f>IF(ISERROR(SEARCH("nega",Tabella1[[#This Row],[Ipercolesterolemia]],1)),0,1)</f>
        <v>0</v>
      </c>
      <c r="AV167" s="22">
        <f>IF(ISERROR(SEARCH("boh",Tabella1[[#This Row],[Ipercolesterolemia]],1)),0,1)</f>
        <v>0</v>
      </c>
      <c r="AW167" s="11" t="s">
        <v>3766</v>
      </c>
      <c r="AX167" s="22">
        <f>IF(ISERROR(SEARCH("Intolleranza",Tabella1[[#This Row],[Diabete]],1)),0,1)</f>
        <v>0</v>
      </c>
      <c r="AY167" s="22">
        <f>IF(ISERROR(SEARCH("si",Tabella1[[#This Row],[Diabete]],1)),0,1)</f>
        <v>1</v>
      </c>
      <c r="AZ167" s="11" t="s">
        <v>3779</v>
      </c>
      <c r="BA167" s="18">
        <f>IF(ISERROR(SEARCH("NDD",Tabella1[[#This Row],[Patologia Tiroidea]],1)),0,1)</f>
        <v>0</v>
      </c>
      <c r="BB167" s="22">
        <f>IF(ISERROR(SEARCH("TIROIDITE",Tabella1[[#This Row],[Patologia Tiroidea]],1)),0,1)</f>
        <v>0</v>
      </c>
      <c r="BC167" s="22">
        <f>IF(ISERROR(SEARCH("HASHIMOTO",Tabella1[[#This Row],[Patologia Tiroidea]],1)),0,1)</f>
        <v>1</v>
      </c>
      <c r="BD167" s="22">
        <f>IF(ISERROR(SEARCH("BASEDOW",Tabella1[[#This Row],[Patologia Tiroidea]],1)),0,1)</f>
        <v>0</v>
      </c>
      <c r="BE167" s="22">
        <f>IF(ISERROR(SEARCH("NOD",Tabella1[[#This Row],[Patologia Tiroidea]],1)),0,1)</f>
        <v>0</v>
      </c>
      <c r="BF167" s="22">
        <f>IF(ISERROR(SEARCH("GOZ",Tabella1[[#This Row],[Patologia Tiroidea]],1)),0,1)</f>
        <v>0</v>
      </c>
      <c r="BG167" s="11" t="s">
        <v>1822</v>
      </c>
      <c r="BH167" s="18">
        <f>IF(Tabella1[[#This Row],[Obesità]]="no",0,1)</f>
        <v>1</v>
      </c>
      <c r="BI167" s="11" t="s">
        <v>28</v>
      </c>
      <c r="BJ167" s="22">
        <f>IF(ISERROR(SEARCH("nega",Tabella1[[#This Row],[Reflusso gastroesofageo]],1)),1,0)</f>
        <v>1</v>
      </c>
      <c r="BK167" s="7" t="s">
        <v>5477</v>
      </c>
      <c r="BL167" s="17">
        <f>IF(ISERROR(SEARCH("NDD",Tabella1[[#This Row],[Patologia respiratoria]],1)),0,1)</f>
        <v>1</v>
      </c>
      <c r="BM167" s="18">
        <f>IF(ISERROR(SEARCH("asma",Tabella1[[#This Row],[Patologia respiratoria]],1)),0,1)</f>
        <v>0</v>
      </c>
      <c r="BN167" s="18">
        <f>IF(ISERROR(SEARCH("BPCO",Tabella1[[#This Row],[Patologia respiratoria]],1)),0,1)</f>
        <v>0</v>
      </c>
      <c r="BO167" s="18">
        <f>IF(ISERROR(SEARCH("BRONCOPOLMONITE",Tabella1[[#This Row],[Patologia respiratoria]],1)),0,1)</f>
        <v>0</v>
      </c>
      <c r="BP167" s="18">
        <f>IF(ISERROR(SEARCH("ASMA, OSAS",Tabella1[[#This Row],[Patologia respiratoria]],1)),0,1)</f>
        <v>0</v>
      </c>
      <c r="BQ167" s="18">
        <f>IF(ISERROR(SEARCH("OSAS e BPCO",Tabella1[[#This Row],[Patologia respiratoria]],1)),0,1)</f>
        <v>0</v>
      </c>
      <c r="BR167" s="18">
        <f>IF(ISERROR(SEARCH("OSAS",Tabella1[[#This Row],[Patologia respiratoria]],1)),0,1)</f>
        <v>0</v>
      </c>
      <c r="BS167" s="11"/>
      <c r="BT167" s="11" t="s">
        <v>1823</v>
      </c>
      <c r="BU167" s="11" t="s">
        <v>8</v>
      </c>
      <c r="BV167" s="18">
        <f>IF(ISERROR(SEARCH("ndd",Tabella1[[#This Row],[O2 terapia]],1)),0,1)</f>
        <v>0</v>
      </c>
      <c r="BW167" s="17">
        <v>0</v>
      </c>
      <c r="BX167" s="11"/>
      <c r="BY167" s="11" t="s">
        <v>8</v>
      </c>
      <c r="BZ167" s="18">
        <v>0</v>
      </c>
      <c r="CA167" s="11" t="s">
        <v>28</v>
      </c>
      <c r="CB167" s="17">
        <v>1</v>
      </c>
      <c r="CC167" s="11" t="s">
        <v>1824</v>
      </c>
      <c r="CD167" s="17">
        <v>1</v>
      </c>
      <c r="CE167" s="11" t="s">
        <v>8</v>
      </c>
      <c r="CF167" s="18">
        <v>0</v>
      </c>
      <c r="CG167" s="11" t="s">
        <v>8</v>
      </c>
      <c r="CH167" s="17">
        <v>0</v>
      </c>
      <c r="CI167" s="7" t="s">
        <v>5477</v>
      </c>
      <c r="CJ167" s="18"/>
      <c r="CK167" s="11" t="s">
        <v>1825</v>
      </c>
      <c r="CL167" s="17">
        <v>1</v>
      </c>
      <c r="CM167" s="11" t="s">
        <v>1826</v>
      </c>
      <c r="CN167" s="17">
        <v>1</v>
      </c>
      <c r="CO167" s="11" t="s">
        <v>8</v>
      </c>
      <c r="CP167" s="18">
        <v>0</v>
      </c>
      <c r="CQ167" s="11" t="s">
        <v>54</v>
      </c>
      <c r="CR167" s="11" t="s">
        <v>1827</v>
      </c>
      <c r="CS167" s="11" t="s">
        <v>1828</v>
      </c>
      <c r="CT167" s="11" t="s">
        <v>1829</v>
      </c>
      <c r="CU167" s="11"/>
      <c r="CV167" s="12"/>
    </row>
    <row r="168" spans="1:100" ht="313.5">
      <c r="A168" s="1">
        <f t="shared" si="2"/>
        <v>167</v>
      </c>
      <c r="B168" s="5">
        <v>994</v>
      </c>
      <c r="C168" s="6">
        <v>45127</v>
      </c>
      <c r="D168" s="7" t="s">
        <v>1830</v>
      </c>
      <c r="E168" s="6">
        <v>32749</v>
      </c>
      <c r="F168" s="29">
        <f ca="1">_xlfn.DAYS(NOW(),Tabella1[[#This Row],[Data di Nascita]])/365.25</f>
        <v>35.931553730321696</v>
      </c>
      <c r="G168" s="7" t="s">
        <v>1831</v>
      </c>
      <c r="H168" s="7" t="s">
        <v>1832</v>
      </c>
      <c r="I168" s="7" t="s">
        <v>1116</v>
      </c>
      <c r="J168" s="7" t="s">
        <v>618</v>
      </c>
      <c r="K168" s="7" t="s">
        <v>1833</v>
      </c>
      <c r="L168" s="17">
        <f>IF(ISERROR(SEARCH("EX",Tabella1[[#This Row],[Attività lavorativa]],1)),0,1)</f>
        <v>0</v>
      </c>
      <c r="M168" s="17"/>
      <c r="N168" s="17"/>
      <c r="O168" s="17"/>
      <c r="P168" s="17"/>
      <c r="Q168" s="17"/>
      <c r="R168" s="17"/>
      <c r="S168" s="17"/>
      <c r="T168" s="17">
        <f>IF(ISERROR(SEARCH("NDD",Tabella1[[#This Row],[Attività lavorativa]],1)),0,1)</f>
        <v>0</v>
      </c>
      <c r="U168" s="7" t="s">
        <v>8</v>
      </c>
      <c r="V168" s="22"/>
      <c r="W168" s="22">
        <f>IF(ISERROR(SEARCH("ex",Tabella1[[#This Row],[Fumo]],1)),0,1)</f>
        <v>0</v>
      </c>
      <c r="X168" s="22">
        <f>IF(ISERROR(SEARCH("no",Tabella1[[#This Row],[Fumo]],1)),0,1)</f>
        <v>1</v>
      </c>
      <c r="Y168" s="7" t="s">
        <v>25</v>
      </c>
      <c r="Z168" s="17">
        <f>IF(ISERROR(SEARCH("NDD",Tabella1[[#This Row],[Bevitore alcolici]],1)),0,1)</f>
        <v>0</v>
      </c>
      <c r="AA168" s="17">
        <f>IF(ISERROR(SEARCH("raro",Tabella1[[#This Row],[Bevitore alcolici]],1)),0,1)</f>
        <v>0</v>
      </c>
      <c r="AB168" s="17">
        <f>IF(ISERROR(SEARCH("saltuariamente",Tabella1[[#This Row],[Bevitore alcolici]],1)),0,1)</f>
        <v>0</v>
      </c>
      <c r="AC168" s="17">
        <f>IF(ISERROR(SEARCH("nega",Tabella1[[#This Row],[Bevitore alcolici]],1)),0,1)</f>
        <v>1</v>
      </c>
      <c r="AD168" s="17">
        <f>IF(ISERROR(SEARCH("potus",Tabella1[[#This Row],[Bevitore alcolici]],1)),0,1)</f>
        <v>0</v>
      </c>
      <c r="AE168" s="7" t="s">
        <v>1834</v>
      </c>
      <c r="AF168" s="17"/>
      <c r="AG168" s="17"/>
      <c r="AH168" s="17"/>
      <c r="AI168" s="18">
        <v>1</v>
      </c>
      <c r="AJ168" s="18"/>
      <c r="AK168" s="7" t="s">
        <v>8</v>
      </c>
      <c r="AL168" s="17">
        <f>IF(ISERROR(SEARCH("si",Tabella1[[#This Row],[Patente di guida]],1)),0,1)</f>
        <v>0</v>
      </c>
      <c r="AM168" s="7" t="s">
        <v>8</v>
      </c>
      <c r="AN168" s="17">
        <f>IF(ISERROR(SEARCH("no",Tabella1[[#This Row],[Ipertensione]],1)),0,1)</f>
        <v>1</v>
      </c>
      <c r="AO168" s="7" t="s">
        <v>382</v>
      </c>
      <c r="AP168" s="18">
        <f>IF(ISERROR(SEARCH("NO",Tabella1[[#This Row],[Cardiopatia ischemica]],1)),1,0)</f>
        <v>0</v>
      </c>
      <c r="AQ168" s="17">
        <f>IF(ISERROR(SEARCH("sconosciuto",Tabella1[[#This Row],[Cardiopatia ischemica]],1)),0,1)</f>
        <v>0</v>
      </c>
      <c r="AR168" s="7" t="s">
        <v>25</v>
      </c>
      <c r="AS168" s="22">
        <f>IF(ISERROR(SEARCH("nega",Tabella1[[#This Row],[Artimie]],1)),0,1)</f>
        <v>1</v>
      </c>
      <c r="AT168" s="7" t="s">
        <v>25</v>
      </c>
      <c r="AU168" s="22">
        <f>IF(ISERROR(SEARCH("nega",Tabella1[[#This Row],[Ipercolesterolemia]],1)),0,1)</f>
        <v>1</v>
      </c>
      <c r="AV168" s="22">
        <f>IF(ISERROR(SEARCH("boh",Tabella1[[#This Row],[Ipercolesterolemia]],1)),0,1)</f>
        <v>0</v>
      </c>
      <c r="AW168" s="7" t="s">
        <v>25</v>
      </c>
      <c r="AX168" s="22">
        <f>IF(ISERROR(SEARCH("Intolleranza",Tabella1[[#This Row],[Diabete]],1)),0,1)</f>
        <v>0</v>
      </c>
      <c r="AY168" s="22">
        <f>IF(ISERROR(SEARCH("si",Tabella1[[#This Row],[Diabete]],1)),0,1)</f>
        <v>0</v>
      </c>
      <c r="AZ168" s="7" t="s">
        <v>25</v>
      </c>
      <c r="BA168" s="17">
        <f>IF(ISERROR(SEARCH("NDD",Tabella1[[#This Row],[Patologia Tiroidea]],1)),0,1)</f>
        <v>0</v>
      </c>
      <c r="BB168" s="22">
        <f>IF(ISERROR(SEARCH("TIROIDITE",Tabella1[[#This Row],[Patologia Tiroidea]],1)),0,1)</f>
        <v>0</v>
      </c>
      <c r="BC168" s="22">
        <f>IF(ISERROR(SEARCH("HASHIMOTO",Tabella1[[#This Row],[Patologia Tiroidea]],1)),0,1)</f>
        <v>0</v>
      </c>
      <c r="BD168" s="22">
        <f>IF(ISERROR(SEARCH("BASEDOW",Tabella1[[#This Row],[Patologia Tiroidea]],1)),0,1)</f>
        <v>0</v>
      </c>
      <c r="BE168" s="22">
        <f>IF(ISERROR(SEARCH("NOD",Tabella1[[#This Row],[Patologia Tiroidea]],1)),0,1)</f>
        <v>0</v>
      </c>
      <c r="BF168" s="22">
        <f>IF(ISERROR(SEARCH("GOZ",Tabella1[[#This Row],[Patologia Tiroidea]],1)),0,1)</f>
        <v>0</v>
      </c>
      <c r="BG168" s="7" t="s">
        <v>28</v>
      </c>
      <c r="BH168" s="17">
        <f>IF(Tabella1[[#This Row],[Obesità]]="no",0,1)</f>
        <v>1</v>
      </c>
      <c r="BI168" s="7" t="s">
        <v>25</v>
      </c>
      <c r="BJ168" s="22">
        <f>IF(ISERROR(SEARCH("nega",Tabella1[[#This Row],[Reflusso gastroesofageo]],1)),1,0)</f>
        <v>0</v>
      </c>
      <c r="BK168" s="7" t="s">
        <v>25</v>
      </c>
      <c r="BL168" s="17">
        <f>IF(ISERROR(SEARCH("NDD",Tabella1[[#This Row],[Patologia respiratoria]],1)),0,1)</f>
        <v>0</v>
      </c>
      <c r="BM168" s="17">
        <f>IF(ISERROR(SEARCH("asma",Tabella1[[#This Row],[Patologia respiratoria]],1)),0,1)</f>
        <v>0</v>
      </c>
      <c r="BN168" s="17">
        <f>IF(ISERROR(SEARCH("BPCO",Tabella1[[#This Row],[Patologia respiratoria]],1)),0,1)</f>
        <v>0</v>
      </c>
      <c r="BO168" s="17">
        <f>IF(ISERROR(SEARCH("BRONCOPOLMONITE",Tabella1[[#This Row],[Patologia respiratoria]],1)),0,1)</f>
        <v>0</v>
      </c>
      <c r="BP168" s="17">
        <f>IF(ISERROR(SEARCH("ASMA, OSAS",Tabella1[[#This Row],[Patologia respiratoria]],1)),0,1)</f>
        <v>0</v>
      </c>
      <c r="BQ168" s="17">
        <f>IF(ISERROR(SEARCH("OSAS e BPCO",Tabella1[[#This Row],[Patologia respiratoria]],1)),0,1)</f>
        <v>0</v>
      </c>
      <c r="BR168" s="17">
        <f>IF(ISERROR(SEARCH("OSAS",Tabella1[[#This Row],[Patologia respiratoria]],1)),0,1)</f>
        <v>0</v>
      </c>
      <c r="BS168" s="7"/>
      <c r="BT168" s="7" t="s">
        <v>1835</v>
      </c>
      <c r="BU168" s="7" t="s">
        <v>25</v>
      </c>
      <c r="BV168" s="17">
        <f>IF(ISERROR(SEARCH("ndd",Tabella1[[#This Row],[O2 terapia]],1)),0,1)</f>
        <v>0</v>
      </c>
      <c r="BW168" s="17">
        <v>0</v>
      </c>
      <c r="BX168" s="7"/>
      <c r="BY168" s="7" t="s">
        <v>26</v>
      </c>
      <c r="BZ168" s="17">
        <v>1</v>
      </c>
      <c r="CA168" s="7" t="s">
        <v>28</v>
      </c>
      <c r="CB168" s="17">
        <v>1</v>
      </c>
      <c r="CC168" s="7" t="s">
        <v>1807</v>
      </c>
      <c r="CD168" s="17">
        <v>1</v>
      </c>
      <c r="CE168" s="7" t="s">
        <v>25</v>
      </c>
      <c r="CF168" s="18">
        <v>0</v>
      </c>
      <c r="CG168" s="7" t="s">
        <v>25</v>
      </c>
      <c r="CH168" s="17">
        <v>0</v>
      </c>
      <c r="CI168" s="7" t="s">
        <v>25</v>
      </c>
      <c r="CJ168" s="18">
        <v>0</v>
      </c>
      <c r="CK168" s="7" t="s">
        <v>28</v>
      </c>
      <c r="CL168" s="17">
        <v>1</v>
      </c>
      <c r="CM168" s="7" t="s">
        <v>25</v>
      </c>
      <c r="CN168" s="17">
        <v>0</v>
      </c>
      <c r="CO168" s="7" t="s">
        <v>28</v>
      </c>
      <c r="CP168" s="17">
        <v>1</v>
      </c>
      <c r="CQ168" s="7" t="s">
        <v>54</v>
      </c>
      <c r="CR168" s="7" t="s">
        <v>1836</v>
      </c>
      <c r="CS168" s="7" t="s">
        <v>105</v>
      </c>
      <c r="CT168" s="7" t="s">
        <v>38</v>
      </c>
      <c r="CU168" s="7" t="s">
        <v>1837</v>
      </c>
      <c r="CV168" s="8" t="s">
        <v>1838</v>
      </c>
    </row>
    <row r="169" spans="1:100" ht="327.75">
      <c r="A169" s="1">
        <f t="shared" si="2"/>
        <v>168</v>
      </c>
      <c r="B169" s="9">
        <v>1003</v>
      </c>
      <c r="C169" s="10">
        <v>45135</v>
      </c>
      <c r="D169" s="11" t="s">
        <v>1839</v>
      </c>
      <c r="E169" s="10">
        <v>29665</v>
      </c>
      <c r="F169" s="29">
        <f ca="1">_xlfn.DAYS(NOW(),Tabella1[[#This Row],[Data di Nascita]])/365.25</f>
        <v>44.375085557837096</v>
      </c>
      <c r="G169" s="11" t="s">
        <v>1840</v>
      </c>
      <c r="H169" s="11" t="s">
        <v>1841</v>
      </c>
      <c r="I169" s="11" t="s">
        <v>1842</v>
      </c>
      <c r="J169" s="11" t="s">
        <v>1843</v>
      </c>
      <c r="K169" s="11" t="s">
        <v>1844</v>
      </c>
      <c r="L169" s="18">
        <f>IF(ISERROR(SEARCH("EX",Tabella1[[#This Row],[Attività lavorativa]],1)),0,1)</f>
        <v>0</v>
      </c>
      <c r="M169" s="18"/>
      <c r="N169" s="18"/>
      <c r="O169" s="18"/>
      <c r="P169" s="18"/>
      <c r="Q169" s="18"/>
      <c r="R169" s="18"/>
      <c r="S169" s="18"/>
      <c r="T169" s="17">
        <f>IF(ISERROR(SEARCH("NDD",Tabella1[[#This Row],[Attività lavorativa]],1)),0,1)</f>
        <v>0</v>
      </c>
      <c r="U169" s="11" t="s">
        <v>1845</v>
      </c>
      <c r="V169" s="22">
        <v>15</v>
      </c>
      <c r="W169" s="22">
        <f>IF(ISERROR(SEARCH("ex",Tabella1[[#This Row],[Fumo]],1)),0,1)</f>
        <v>1</v>
      </c>
      <c r="X169" s="22">
        <f>IF(ISERROR(SEARCH("no",Tabella1[[#This Row],[Fumo]],1)),0,1)</f>
        <v>0</v>
      </c>
      <c r="Y169" s="11" t="s">
        <v>25</v>
      </c>
      <c r="Z169" s="18">
        <f>IF(ISERROR(SEARCH("NDD",Tabella1[[#This Row],[Bevitore alcolici]],1)),0,1)</f>
        <v>0</v>
      </c>
      <c r="AA169" s="17">
        <f>IF(ISERROR(SEARCH("raro",Tabella1[[#This Row],[Bevitore alcolici]],1)),0,1)</f>
        <v>0</v>
      </c>
      <c r="AB169" s="17">
        <f>IF(ISERROR(SEARCH("saltuariamente",Tabella1[[#This Row],[Bevitore alcolici]],1)),0,1)</f>
        <v>0</v>
      </c>
      <c r="AC169" s="17">
        <f>IF(ISERROR(SEARCH("nega",Tabella1[[#This Row],[Bevitore alcolici]],1)),0,1)</f>
        <v>1</v>
      </c>
      <c r="AD169" s="17">
        <f>IF(ISERROR(SEARCH("potus",Tabella1[[#This Row],[Bevitore alcolici]],1)),0,1)</f>
        <v>0</v>
      </c>
      <c r="AE169" s="11" t="s">
        <v>1846</v>
      </c>
      <c r="AF169" s="18"/>
      <c r="AG169" s="18">
        <v>1</v>
      </c>
      <c r="AH169" s="18"/>
      <c r="AI169" s="18"/>
      <c r="AJ169" s="18"/>
      <c r="AK169" s="11" t="s">
        <v>8</v>
      </c>
      <c r="AL169" s="18">
        <f>IF(ISERROR(SEARCH("si",Tabella1[[#This Row],[Patente di guida]],1)),0,1)</f>
        <v>0</v>
      </c>
      <c r="AM169" s="11" t="s">
        <v>28</v>
      </c>
      <c r="AN169" s="18">
        <f>IF(ISERROR(SEARCH("no",Tabella1[[#This Row],[Ipertensione]],1)),0,1)</f>
        <v>0</v>
      </c>
      <c r="AO169" s="11" t="s">
        <v>28</v>
      </c>
      <c r="AP169" s="18">
        <f>IF(ISERROR(SEARCH("NO",Tabella1[[#This Row],[Cardiopatia ischemica]],1)),1,0)</f>
        <v>1</v>
      </c>
      <c r="AQ169" s="17">
        <f>IF(ISERROR(SEARCH("sconosciuto",Tabella1[[#This Row],[Cardiopatia ischemica]],1)),0,1)</f>
        <v>0</v>
      </c>
      <c r="AR169" s="11" t="s">
        <v>25</v>
      </c>
      <c r="AS169" s="18">
        <f>IF(ISERROR(SEARCH("nega",Tabella1[[#This Row],[Artimie]],1)),0,1)</f>
        <v>1</v>
      </c>
      <c r="AT169" s="11" t="s">
        <v>25</v>
      </c>
      <c r="AU169" s="18">
        <f>IF(ISERROR(SEARCH("nega",Tabella1[[#This Row],[Ipercolesterolemia]],1)),0,1)</f>
        <v>1</v>
      </c>
      <c r="AV169" s="18">
        <f>IF(ISERROR(SEARCH("boh",Tabella1[[#This Row],[Ipercolesterolemia]],1)),0,1)</f>
        <v>0</v>
      </c>
      <c r="AW169" s="11" t="s">
        <v>25</v>
      </c>
      <c r="AX169" s="18">
        <f>IF(ISERROR(SEARCH("Intolleranza",Tabella1[[#This Row],[Diabete]],1)),0,1)</f>
        <v>0</v>
      </c>
      <c r="AY169" s="18">
        <f>IF(ISERROR(SEARCH("si",Tabella1[[#This Row],[Diabete]],1)),0,1)</f>
        <v>0</v>
      </c>
      <c r="AZ169" s="11" t="s">
        <v>25</v>
      </c>
      <c r="BA169" s="18">
        <f>IF(ISERROR(SEARCH("NDD",Tabella1[[#This Row],[Patologia Tiroidea]],1)),0,1)</f>
        <v>0</v>
      </c>
      <c r="BB169" s="18">
        <f>IF(ISERROR(SEARCH("TIROIDITE",Tabella1[[#This Row],[Patologia Tiroidea]],1)),0,1)</f>
        <v>0</v>
      </c>
      <c r="BC169" s="18">
        <f>IF(ISERROR(SEARCH("HASHIMOTO",Tabella1[[#This Row],[Patologia Tiroidea]],1)),0,1)</f>
        <v>0</v>
      </c>
      <c r="BD169" s="18">
        <f>IF(ISERROR(SEARCH("BASEDOW",Tabella1[[#This Row],[Patologia Tiroidea]],1)),0,1)</f>
        <v>0</v>
      </c>
      <c r="BE169" s="18">
        <f>IF(ISERROR(SEARCH("NOD",Tabella1[[#This Row],[Patologia Tiroidea]],1)),0,1)</f>
        <v>0</v>
      </c>
      <c r="BF169" s="18">
        <f>IF(ISERROR(SEARCH("GOZ",Tabella1[[#This Row],[Patologia Tiroidea]],1)),0,1)</f>
        <v>0</v>
      </c>
      <c r="BG169" s="11" t="s">
        <v>28</v>
      </c>
      <c r="BH169" s="18">
        <f>IF(Tabella1[[#This Row],[Obesità]]="no",0,1)</f>
        <v>1</v>
      </c>
      <c r="BI169" s="11" t="s">
        <v>25</v>
      </c>
      <c r="BJ169" s="22">
        <f>IF(ISERROR(SEARCH("nega",Tabella1[[#This Row],[Reflusso gastroesofageo]],1)),1,0)</f>
        <v>0</v>
      </c>
      <c r="BK169" s="11" t="s">
        <v>25</v>
      </c>
      <c r="BL169" s="18">
        <f>IF(ISERROR(SEARCH("NDD",Tabella1[[#This Row],[Patologia respiratoria]],1)),0,1)</f>
        <v>0</v>
      </c>
      <c r="BM169" s="18">
        <f>IF(ISERROR(SEARCH("asma",Tabella1[[#This Row],[Patologia respiratoria]],1)),0,1)</f>
        <v>0</v>
      </c>
      <c r="BN169" s="18">
        <f>IF(ISERROR(SEARCH("BPCO",Tabella1[[#This Row],[Patologia respiratoria]],1)),0,1)</f>
        <v>0</v>
      </c>
      <c r="BO169" s="18">
        <f>IF(ISERROR(SEARCH("BRONCOPOLMONITE",Tabella1[[#This Row],[Patologia respiratoria]],1)),0,1)</f>
        <v>0</v>
      </c>
      <c r="BP169" s="18">
        <f>IF(ISERROR(SEARCH("ASMA, OSAS",Tabella1[[#This Row],[Patologia respiratoria]],1)),0,1)</f>
        <v>0</v>
      </c>
      <c r="BQ169" s="18">
        <f>IF(ISERROR(SEARCH("OSAS e BPCO",Tabella1[[#This Row],[Patologia respiratoria]],1)),0,1)</f>
        <v>0</v>
      </c>
      <c r="BR169" s="18">
        <f>IF(ISERROR(SEARCH("OSAS",Tabella1[[#This Row],[Patologia respiratoria]],1)),0,1)</f>
        <v>0</v>
      </c>
      <c r="BS169" s="11"/>
      <c r="BT169" s="11" t="s">
        <v>1847</v>
      </c>
      <c r="BU169" s="7" t="s">
        <v>5477</v>
      </c>
      <c r="BV169" s="17">
        <f>IF(ISERROR(SEARCH("ndd",Tabella1[[#This Row],[O2 terapia]],1)),0,1)</f>
        <v>1</v>
      </c>
      <c r="BW169" s="18"/>
      <c r="BX169" s="11"/>
      <c r="BY169" s="11" t="s">
        <v>1848</v>
      </c>
      <c r="BZ169" s="17">
        <v>1</v>
      </c>
      <c r="CA169" s="11" t="s">
        <v>28</v>
      </c>
      <c r="CB169" s="17">
        <v>1</v>
      </c>
      <c r="CC169" s="11" t="s">
        <v>28</v>
      </c>
      <c r="CD169" s="17">
        <v>1</v>
      </c>
      <c r="CE169" s="11" t="s">
        <v>25</v>
      </c>
      <c r="CF169" s="18">
        <v>0</v>
      </c>
      <c r="CG169" s="11" t="s">
        <v>25</v>
      </c>
      <c r="CH169" s="17">
        <v>0</v>
      </c>
      <c r="CI169" s="11" t="s">
        <v>25</v>
      </c>
      <c r="CJ169" s="18">
        <v>0</v>
      </c>
      <c r="CK169" s="11" t="s">
        <v>28</v>
      </c>
      <c r="CL169" s="17">
        <v>1</v>
      </c>
      <c r="CM169" s="11" t="s">
        <v>25</v>
      </c>
      <c r="CN169" s="17">
        <v>0</v>
      </c>
      <c r="CO169" s="11" t="s">
        <v>28</v>
      </c>
      <c r="CP169" s="17">
        <v>1</v>
      </c>
      <c r="CQ169" s="11" t="s">
        <v>69</v>
      </c>
      <c r="CR169" s="11" t="s">
        <v>1849</v>
      </c>
      <c r="CS169" s="11" t="s">
        <v>37</v>
      </c>
      <c r="CT169" s="11" t="s">
        <v>248</v>
      </c>
      <c r="CU169" s="11" t="s">
        <v>1850</v>
      </c>
      <c r="CV169" s="12" t="s">
        <v>1851</v>
      </c>
    </row>
    <row r="170" spans="1:100" ht="28.5">
      <c r="A170" s="1">
        <f t="shared" si="2"/>
        <v>169</v>
      </c>
      <c r="B170" s="5">
        <v>1009</v>
      </c>
      <c r="C170" s="6">
        <v>45138</v>
      </c>
      <c r="D170" s="7" t="s">
        <v>1852</v>
      </c>
      <c r="E170" s="6">
        <v>25148</v>
      </c>
      <c r="F170" s="29">
        <f ca="1">_xlfn.DAYS(NOW(),Tabella1[[#This Row],[Data di Nascita]])/365.25</f>
        <v>56.741957563312802</v>
      </c>
      <c r="G170" s="7" t="s">
        <v>1853</v>
      </c>
      <c r="H170" s="7" t="s">
        <v>1854</v>
      </c>
      <c r="I170" s="7" t="s">
        <v>439</v>
      </c>
      <c r="J170" s="7" t="s">
        <v>817</v>
      </c>
      <c r="K170" s="7" t="s">
        <v>1855</v>
      </c>
      <c r="L170" s="17">
        <f>IF(ISERROR(SEARCH("EX",Tabella1[[#This Row],[Attività lavorativa]],1)),0,1)</f>
        <v>0</v>
      </c>
      <c r="M170" s="17"/>
      <c r="N170" s="17"/>
      <c r="O170" s="17"/>
      <c r="P170" s="17"/>
      <c r="Q170" s="17"/>
      <c r="R170" s="17"/>
      <c r="S170" s="17">
        <v>1</v>
      </c>
      <c r="T170" s="17">
        <f>IF(ISERROR(SEARCH("NDD",Tabella1[[#This Row],[Attività lavorativa]],1)),0,1)</f>
        <v>0</v>
      </c>
      <c r="U170" s="7" t="s">
        <v>8</v>
      </c>
      <c r="V170" s="22"/>
      <c r="W170" s="22">
        <f>IF(ISERROR(SEARCH("ex",Tabella1[[#This Row],[Fumo]],1)),0,1)</f>
        <v>0</v>
      </c>
      <c r="X170" s="22">
        <f>IF(ISERROR(SEARCH("no",Tabella1[[#This Row],[Fumo]],1)),0,1)</f>
        <v>1</v>
      </c>
      <c r="Y170" s="7" t="s">
        <v>25</v>
      </c>
      <c r="Z170" s="17">
        <f>IF(ISERROR(SEARCH("NDD",Tabella1[[#This Row],[Bevitore alcolici]],1)),0,1)</f>
        <v>0</v>
      </c>
      <c r="AA170" s="17">
        <f>IF(ISERROR(SEARCH("raro",Tabella1[[#This Row],[Bevitore alcolici]],1)),0,1)</f>
        <v>0</v>
      </c>
      <c r="AB170" s="17">
        <f>IF(ISERROR(SEARCH("saltuariamente",Tabella1[[#This Row],[Bevitore alcolici]],1)),0,1)</f>
        <v>0</v>
      </c>
      <c r="AC170" s="17">
        <f>IF(ISERROR(SEARCH("nega",Tabella1[[#This Row],[Bevitore alcolici]],1)),0,1)</f>
        <v>1</v>
      </c>
      <c r="AD170" s="17">
        <f>IF(ISERROR(SEARCH("potus",Tabella1[[#This Row],[Bevitore alcolici]],1)),0,1)</f>
        <v>0</v>
      </c>
      <c r="AE170" s="7" t="s">
        <v>5649</v>
      </c>
      <c r="AF170" s="17"/>
      <c r="AG170" s="17"/>
      <c r="AH170" s="17"/>
      <c r="AI170" s="17"/>
      <c r="AJ170" s="17"/>
      <c r="AK170" s="7" t="s">
        <v>28</v>
      </c>
      <c r="AL170" s="17">
        <f>IF(ISERROR(SEARCH("si",Tabella1[[#This Row],[Patente di guida]],1)),0,1)</f>
        <v>1</v>
      </c>
      <c r="AM170" s="7" t="s">
        <v>8</v>
      </c>
      <c r="AN170" s="17">
        <f>IF(ISERROR(SEARCH("no",Tabella1[[#This Row],[Ipertensione]],1)),0,1)</f>
        <v>1</v>
      </c>
      <c r="AO170" s="7" t="s">
        <v>382</v>
      </c>
      <c r="AP170" s="18">
        <f>IF(ISERROR(SEARCH("NO",Tabella1[[#This Row],[Cardiopatia ischemica]],1)),1,0)</f>
        <v>0</v>
      </c>
      <c r="AQ170" s="17">
        <f>IF(ISERROR(SEARCH("sconosciuto",Tabella1[[#This Row],[Cardiopatia ischemica]],1)),0,1)</f>
        <v>0</v>
      </c>
      <c r="AR170" s="7" t="s">
        <v>25</v>
      </c>
      <c r="AS170" s="22">
        <f>IF(ISERROR(SEARCH("nega",Tabella1[[#This Row],[Artimie]],1)),0,1)</f>
        <v>1</v>
      </c>
      <c r="AT170" s="7" t="s">
        <v>25</v>
      </c>
      <c r="AU170" s="22">
        <f>IF(ISERROR(SEARCH("nega",Tabella1[[#This Row],[Ipercolesterolemia]],1)),0,1)</f>
        <v>1</v>
      </c>
      <c r="AV170" s="22">
        <f>IF(ISERROR(SEARCH("boh",Tabella1[[#This Row],[Ipercolesterolemia]],1)),0,1)</f>
        <v>0</v>
      </c>
      <c r="AW170" s="7" t="s">
        <v>8</v>
      </c>
      <c r="AX170" s="22">
        <f>IF(ISERROR(SEARCH("Intolleranza",Tabella1[[#This Row],[Diabete]],1)),0,1)</f>
        <v>0</v>
      </c>
      <c r="AY170" s="22">
        <f>IF(ISERROR(SEARCH("si",Tabella1[[#This Row],[Diabete]],1)),0,1)</f>
        <v>0</v>
      </c>
      <c r="AZ170" s="7" t="s">
        <v>3780</v>
      </c>
      <c r="BA170" s="17">
        <f>IF(ISERROR(SEARCH("NDD",Tabella1[[#This Row],[Patologia Tiroidea]],1)),0,1)</f>
        <v>0</v>
      </c>
      <c r="BB170" s="22">
        <f>IF(ISERROR(SEARCH("TIROIDITE",Tabella1[[#This Row],[Patologia Tiroidea]],1)),0,1)</f>
        <v>0</v>
      </c>
      <c r="BC170" s="22">
        <f>IF(ISERROR(SEARCH("HASHIMOTO",Tabella1[[#This Row],[Patologia Tiroidea]],1)),0,1)</f>
        <v>1</v>
      </c>
      <c r="BD170" s="22">
        <f>IF(ISERROR(SEARCH("BASEDOW",Tabella1[[#This Row],[Patologia Tiroidea]],1)),0,1)</f>
        <v>0</v>
      </c>
      <c r="BE170" s="22">
        <f>IF(ISERROR(SEARCH("NOD",Tabella1[[#This Row],[Patologia Tiroidea]],1)),0,1)</f>
        <v>0</v>
      </c>
      <c r="BF170" s="22">
        <f>IF(ISERROR(SEARCH("GOZ",Tabella1[[#This Row],[Patologia Tiroidea]],1)),0,1)</f>
        <v>0</v>
      </c>
      <c r="BG170" s="7" t="s">
        <v>8</v>
      </c>
      <c r="BH170" s="17">
        <f>IF(Tabella1[[#This Row],[Obesità]]="no",0,1)</f>
        <v>0</v>
      </c>
      <c r="BI170" s="7" t="s">
        <v>25</v>
      </c>
      <c r="BJ170" s="22">
        <f>IF(ISERROR(SEARCH("nega",Tabella1[[#This Row],[Reflusso gastroesofageo]],1)),1,0)</f>
        <v>0</v>
      </c>
      <c r="BK170" s="7" t="s">
        <v>8</v>
      </c>
      <c r="BL170" s="17">
        <f>IF(ISERROR(SEARCH("NDD",Tabella1[[#This Row],[Patologia respiratoria]],1)),0,1)</f>
        <v>0</v>
      </c>
      <c r="BM170" s="17">
        <f>IF(ISERROR(SEARCH("asma",Tabella1[[#This Row],[Patologia respiratoria]],1)),0,1)</f>
        <v>0</v>
      </c>
      <c r="BN170" s="17">
        <f>IF(ISERROR(SEARCH("BPCO",Tabella1[[#This Row],[Patologia respiratoria]],1)),0,1)</f>
        <v>0</v>
      </c>
      <c r="BO170" s="17">
        <f>IF(ISERROR(SEARCH("BRONCOPOLMONITE",Tabella1[[#This Row],[Patologia respiratoria]],1)),0,1)</f>
        <v>0</v>
      </c>
      <c r="BP170" s="17">
        <f>IF(ISERROR(SEARCH("ASMA, OSAS",Tabella1[[#This Row],[Patologia respiratoria]],1)),0,1)</f>
        <v>0</v>
      </c>
      <c r="BQ170" s="17">
        <f>IF(ISERROR(SEARCH("OSAS e BPCO",Tabella1[[#This Row],[Patologia respiratoria]],1)),0,1)</f>
        <v>0</v>
      </c>
      <c r="BR170" s="17">
        <f>IF(ISERROR(SEARCH("OSAS",Tabella1[[#This Row],[Patologia respiratoria]],1)),0,1)</f>
        <v>0</v>
      </c>
      <c r="BS170" s="7"/>
      <c r="BT170" s="7" t="s">
        <v>1216</v>
      </c>
      <c r="BU170" s="7" t="s">
        <v>8</v>
      </c>
      <c r="BV170" s="17">
        <f>IF(ISERROR(SEARCH("ndd",Tabella1[[#This Row],[O2 terapia]],1)),0,1)</f>
        <v>0</v>
      </c>
      <c r="BW170" s="17">
        <v>0</v>
      </c>
      <c r="BX170" s="7"/>
      <c r="BY170" s="7" t="s">
        <v>8</v>
      </c>
      <c r="BZ170" s="18">
        <v>0</v>
      </c>
      <c r="CA170" s="7" t="s">
        <v>8</v>
      </c>
      <c r="CB170" s="17">
        <v>0</v>
      </c>
      <c r="CC170" s="7" t="s">
        <v>1856</v>
      </c>
      <c r="CD170" s="17">
        <v>1</v>
      </c>
      <c r="CE170" s="7" t="s">
        <v>8</v>
      </c>
      <c r="CF170" s="18">
        <v>0</v>
      </c>
      <c r="CG170" s="7" t="s">
        <v>8</v>
      </c>
      <c r="CH170" s="17">
        <v>0</v>
      </c>
      <c r="CI170" s="7" t="s">
        <v>5477</v>
      </c>
      <c r="CJ170" s="17"/>
      <c r="CK170" s="7" t="s">
        <v>1857</v>
      </c>
      <c r="CL170" s="17">
        <v>1</v>
      </c>
      <c r="CM170" s="7" t="s">
        <v>1858</v>
      </c>
      <c r="CN170" s="17">
        <v>1</v>
      </c>
      <c r="CO170" s="7" t="s">
        <v>566</v>
      </c>
      <c r="CP170" s="17">
        <v>1</v>
      </c>
      <c r="CQ170" s="7" t="s">
        <v>1859</v>
      </c>
      <c r="CR170" s="7" t="s">
        <v>318</v>
      </c>
      <c r="CS170" s="7"/>
      <c r="CT170" s="7"/>
      <c r="CU170" s="7"/>
      <c r="CV170" s="8"/>
    </row>
    <row r="171" spans="1:100" ht="156.75">
      <c r="A171" s="1">
        <f t="shared" si="2"/>
        <v>170</v>
      </c>
      <c r="B171" s="9">
        <v>1011</v>
      </c>
      <c r="C171" s="10">
        <v>45139</v>
      </c>
      <c r="D171" s="11" t="s">
        <v>1860</v>
      </c>
      <c r="E171" s="10">
        <v>30618</v>
      </c>
      <c r="F171" s="29">
        <f ca="1">_xlfn.DAYS(NOW(),Tabella1[[#This Row],[Data di Nascita]])/365.25</f>
        <v>41.765913757700204</v>
      </c>
      <c r="G171" s="11" t="s">
        <v>1861</v>
      </c>
      <c r="H171" s="11" t="s">
        <v>1862</v>
      </c>
      <c r="I171" s="11" t="s">
        <v>1863</v>
      </c>
      <c r="J171" s="11" t="s">
        <v>1864</v>
      </c>
      <c r="K171" s="11" t="s">
        <v>1865</v>
      </c>
      <c r="L171" s="18">
        <f>IF(ISERROR(SEARCH("EX",Tabella1[[#This Row],[Attività lavorativa]],1)),0,1)</f>
        <v>0</v>
      </c>
      <c r="M171" s="18"/>
      <c r="N171" s="18"/>
      <c r="O171" s="18"/>
      <c r="P171" s="18">
        <v>1</v>
      </c>
      <c r="Q171" s="18"/>
      <c r="R171" s="18"/>
      <c r="S171" s="18"/>
      <c r="T171" s="17">
        <f>IF(ISERROR(SEARCH("NDD",Tabella1[[#This Row],[Attività lavorativa]],1)),0,1)</f>
        <v>0</v>
      </c>
      <c r="U171" s="11" t="s">
        <v>8</v>
      </c>
      <c r="V171" s="22"/>
      <c r="W171" s="22">
        <f>IF(ISERROR(SEARCH("ex",Tabella1[[#This Row],[Fumo]],1)),0,1)</f>
        <v>0</v>
      </c>
      <c r="X171" s="22">
        <f>IF(ISERROR(SEARCH("no",Tabella1[[#This Row],[Fumo]],1)),0,1)</f>
        <v>1</v>
      </c>
      <c r="Y171" s="11" t="s">
        <v>25</v>
      </c>
      <c r="Z171" s="18">
        <f>IF(ISERROR(SEARCH("NDD",Tabella1[[#This Row],[Bevitore alcolici]],1)),0,1)</f>
        <v>0</v>
      </c>
      <c r="AA171" s="17">
        <f>IF(ISERROR(SEARCH("raro",Tabella1[[#This Row],[Bevitore alcolici]],1)),0,1)</f>
        <v>0</v>
      </c>
      <c r="AB171" s="17">
        <f>IF(ISERROR(SEARCH("saltuariamente",Tabella1[[#This Row],[Bevitore alcolici]],1)),0,1)</f>
        <v>0</v>
      </c>
      <c r="AC171" s="17">
        <f>IF(ISERROR(SEARCH("nega",Tabella1[[#This Row],[Bevitore alcolici]],1)),0,1)</f>
        <v>1</v>
      </c>
      <c r="AD171" s="17">
        <f>IF(ISERROR(SEARCH("potus",Tabella1[[#This Row],[Bevitore alcolici]],1)),0,1)</f>
        <v>0</v>
      </c>
      <c r="AE171" s="11" t="s">
        <v>5688</v>
      </c>
      <c r="AF171" s="18"/>
      <c r="AG171" s="18">
        <v>1</v>
      </c>
      <c r="AH171" s="18"/>
      <c r="AI171" s="18"/>
      <c r="AJ171" s="18"/>
      <c r="AK171" s="11" t="s">
        <v>8</v>
      </c>
      <c r="AL171" s="18">
        <f>IF(ISERROR(SEARCH("si",Tabella1[[#This Row],[Patente di guida]],1)),0,1)</f>
        <v>0</v>
      </c>
      <c r="AM171" s="11" t="s">
        <v>28</v>
      </c>
      <c r="AN171" s="18">
        <f>IF(ISERROR(SEARCH("no",Tabella1[[#This Row],[Ipertensione]],1)),0,1)</f>
        <v>0</v>
      </c>
      <c r="AO171" s="11" t="s">
        <v>382</v>
      </c>
      <c r="AP171" s="18">
        <f>IF(ISERROR(SEARCH("NO",Tabella1[[#This Row],[Cardiopatia ischemica]],1)),1,0)</f>
        <v>0</v>
      </c>
      <c r="AQ171" s="17">
        <f>IF(ISERROR(SEARCH("sconosciuto",Tabella1[[#This Row],[Cardiopatia ischemica]],1)),0,1)</f>
        <v>0</v>
      </c>
      <c r="AR171" s="11" t="s">
        <v>230</v>
      </c>
      <c r="AS171" s="22">
        <f>IF(ISERROR(SEARCH("nega",Tabella1[[#This Row],[Artimie]],1)),0,1)</f>
        <v>0</v>
      </c>
      <c r="AT171" s="11" t="s">
        <v>25</v>
      </c>
      <c r="AU171" s="22">
        <f>IF(ISERROR(SEARCH("nega",Tabella1[[#This Row],[Ipercolesterolemia]],1)),0,1)</f>
        <v>1</v>
      </c>
      <c r="AV171" s="22">
        <f>IF(ISERROR(SEARCH("boh",Tabella1[[#This Row],[Ipercolesterolemia]],1)),0,1)</f>
        <v>0</v>
      </c>
      <c r="AW171" s="11" t="s">
        <v>8</v>
      </c>
      <c r="AX171" s="22">
        <f>IF(ISERROR(SEARCH("Intolleranza",Tabella1[[#This Row],[Diabete]],1)),0,1)</f>
        <v>0</v>
      </c>
      <c r="AY171" s="22">
        <f>IF(ISERROR(SEARCH("si",Tabella1[[#This Row],[Diabete]],1)),0,1)</f>
        <v>0</v>
      </c>
      <c r="AZ171" s="11" t="s">
        <v>8</v>
      </c>
      <c r="BA171" s="18">
        <f>IF(ISERROR(SEARCH("NDD",Tabella1[[#This Row],[Patologia Tiroidea]],1)),0,1)</f>
        <v>0</v>
      </c>
      <c r="BB171" s="22">
        <f>IF(ISERROR(SEARCH("TIROIDITE",Tabella1[[#This Row],[Patologia Tiroidea]],1)),0,1)</f>
        <v>0</v>
      </c>
      <c r="BC171" s="22">
        <f>IF(ISERROR(SEARCH("HASHIMOTO",Tabella1[[#This Row],[Patologia Tiroidea]],1)),0,1)</f>
        <v>0</v>
      </c>
      <c r="BD171" s="22">
        <f>IF(ISERROR(SEARCH("BASEDOW",Tabella1[[#This Row],[Patologia Tiroidea]],1)),0,1)</f>
        <v>0</v>
      </c>
      <c r="BE171" s="22">
        <f>IF(ISERROR(SEARCH("NOD",Tabella1[[#This Row],[Patologia Tiroidea]],1)),0,1)</f>
        <v>0</v>
      </c>
      <c r="BF171" s="22">
        <f>IF(ISERROR(SEARCH("GOZ",Tabella1[[#This Row],[Patologia Tiroidea]],1)),0,1)</f>
        <v>0</v>
      </c>
      <c r="BG171" s="11" t="s">
        <v>28</v>
      </c>
      <c r="BH171" s="18">
        <f>IF(Tabella1[[#This Row],[Obesità]]="no",0,1)</f>
        <v>1</v>
      </c>
      <c r="BI171" s="11" t="s">
        <v>28</v>
      </c>
      <c r="BJ171" s="22">
        <f>IF(ISERROR(SEARCH("nega",Tabella1[[#This Row],[Reflusso gastroesofageo]],1)),1,0)</f>
        <v>1</v>
      </c>
      <c r="BK171" s="7" t="s">
        <v>5477</v>
      </c>
      <c r="BL171" s="17">
        <f>IF(ISERROR(SEARCH("NDD",Tabella1[[#This Row],[Patologia respiratoria]],1)),0,1)</f>
        <v>1</v>
      </c>
      <c r="BM171" s="18">
        <f>IF(ISERROR(SEARCH("asma",Tabella1[[#This Row],[Patologia respiratoria]],1)),0,1)</f>
        <v>0</v>
      </c>
      <c r="BN171" s="18">
        <f>IF(ISERROR(SEARCH("BPCO",Tabella1[[#This Row],[Patologia respiratoria]],1)),0,1)</f>
        <v>0</v>
      </c>
      <c r="BO171" s="18">
        <f>IF(ISERROR(SEARCH("BRONCOPOLMONITE",Tabella1[[#This Row],[Patologia respiratoria]],1)),0,1)</f>
        <v>0</v>
      </c>
      <c r="BP171" s="18">
        <f>IF(ISERROR(SEARCH("ASMA, OSAS",Tabella1[[#This Row],[Patologia respiratoria]],1)),0,1)</f>
        <v>0</v>
      </c>
      <c r="BQ171" s="18">
        <f>IF(ISERROR(SEARCH("OSAS e BPCO",Tabella1[[#This Row],[Patologia respiratoria]],1)),0,1)</f>
        <v>0</v>
      </c>
      <c r="BR171" s="18">
        <f>IF(ISERROR(SEARCH("OSAS",Tabella1[[#This Row],[Patologia respiratoria]],1)),0,1)</f>
        <v>0</v>
      </c>
      <c r="BS171" s="11"/>
      <c r="BT171" s="11" t="s">
        <v>1866</v>
      </c>
      <c r="BU171" s="11" t="s">
        <v>8</v>
      </c>
      <c r="BV171" s="18">
        <f>IF(ISERROR(SEARCH("ndd",Tabella1[[#This Row],[O2 terapia]],1)),0,1)</f>
        <v>0</v>
      </c>
      <c r="BW171" s="17">
        <v>0</v>
      </c>
      <c r="BX171" s="11"/>
      <c r="BY171" s="11" t="s">
        <v>28</v>
      </c>
      <c r="BZ171" s="17">
        <v>1</v>
      </c>
      <c r="CA171" s="11" t="s">
        <v>28</v>
      </c>
      <c r="CB171" s="17">
        <v>1</v>
      </c>
      <c r="CC171" s="11" t="s">
        <v>28</v>
      </c>
      <c r="CD171" s="17">
        <v>1</v>
      </c>
      <c r="CE171" s="11" t="s">
        <v>8</v>
      </c>
      <c r="CF171" s="18">
        <v>0</v>
      </c>
      <c r="CG171" s="7" t="s">
        <v>5477</v>
      </c>
      <c r="CH171" s="18"/>
      <c r="CI171" s="7" t="s">
        <v>5477</v>
      </c>
      <c r="CJ171" s="18"/>
      <c r="CK171" s="11" t="s">
        <v>8</v>
      </c>
      <c r="CL171" s="17">
        <v>0</v>
      </c>
      <c r="CM171" s="11" t="s">
        <v>8</v>
      </c>
      <c r="CN171" s="17">
        <v>0</v>
      </c>
      <c r="CO171" s="11" t="s">
        <v>8</v>
      </c>
      <c r="CP171" s="18">
        <v>0</v>
      </c>
      <c r="CQ171" s="11" t="s">
        <v>13</v>
      </c>
      <c r="CR171" s="11" t="s">
        <v>1867</v>
      </c>
      <c r="CS171" s="11" t="s">
        <v>71</v>
      </c>
      <c r="CT171" s="11" t="s">
        <v>15</v>
      </c>
      <c r="CU171" s="11" t="s">
        <v>1868</v>
      </c>
      <c r="CV171" s="12" t="s">
        <v>1869</v>
      </c>
    </row>
    <row r="172" spans="1:100" ht="185.25">
      <c r="A172" s="1">
        <f t="shared" si="2"/>
        <v>171</v>
      </c>
      <c r="B172" s="5">
        <v>1023</v>
      </c>
      <c r="C172" s="6">
        <v>45160</v>
      </c>
      <c r="D172" s="7" t="s">
        <v>1870</v>
      </c>
      <c r="E172" s="6">
        <v>28188</v>
      </c>
      <c r="F172" s="29">
        <f ca="1">_xlfn.DAYS(NOW(),Tabella1[[#This Row],[Data di Nascita]])/365.25</f>
        <v>48.418891170431209</v>
      </c>
      <c r="G172" s="7" t="s">
        <v>1871</v>
      </c>
      <c r="H172" s="7" t="s">
        <v>1872</v>
      </c>
      <c r="I172" s="7" t="s">
        <v>1873</v>
      </c>
      <c r="J172" s="7" t="s">
        <v>1874</v>
      </c>
      <c r="K172" s="7" t="s">
        <v>1875</v>
      </c>
      <c r="L172" s="17">
        <f>IF(ISERROR(SEARCH("EX",Tabella1[[#This Row],[Attività lavorativa]],1)),0,1)</f>
        <v>0</v>
      </c>
      <c r="M172" s="17"/>
      <c r="N172" s="17"/>
      <c r="O172" s="17"/>
      <c r="P172" s="18">
        <v>1</v>
      </c>
      <c r="Q172" s="17"/>
      <c r="R172" s="17"/>
      <c r="S172" s="17"/>
      <c r="T172" s="17">
        <f>IF(ISERROR(SEARCH("NDD",Tabella1[[#This Row],[Attività lavorativa]],1)),0,1)</f>
        <v>0</v>
      </c>
      <c r="U172" s="7" t="s">
        <v>8</v>
      </c>
      <c r="V172" s="22"/>
      <c r="W172" s="22">
        <f>IF(ISERROR(SEARCH("ex",Tabella1[[#This Row],[Fumo]],1)),0,1)</f>
        <v>0</v>
      </c>
      <c r="X172" s="22">
        <f>IF(ISERROR(SEARCH("no",Tabella1[[#This Row],[Fumo]],1)),0,1)</f>
        <v>1</v>
      </c>
      <c r="Y172" s="7" t="s">
        <v>26</v>
      </c>
      <c r="Z172" s="17">
        <f>IF(ISERROR(SEARCH("NDD",Tabella1[[#This Row],[Bevitore alcolici]],1)),0,1)</f>
        <v>0</v>
      </c>
      <c r="AA172" s="17">
        <f>IF(ISERROR(SEARCH("raro",Tabella1[[#This Row],[Bevitore alcolici]],1)),0,1)</f>
        <v>0</v>
      </c>
      <c r="AB172" s="17">
        <f>IF(ISERROR(SEARCH("saltuariamente",Tabella1[[#This Row],[Bevitore alcolici]],1)),0,1)</f>
        <v>1</v>
      </c>
      <c r="AC172" s="17">
        <f>IF(ISERROR(SEARCH("nega",Tabella1[[#This Row],[Bevitore alcolici]],1)),0,1)</f>
        <v>0</v>
      </c>
      <c r="AD172" s="17">
        <f>IF(ISERROR(SEARCH("potus",Tabella1[[#This Row],[Bevitore alcolici]],1)),0,1)</f>
        <v>0</v>
      </c>
      <c r="AE172" s="7" t="s">
        <v>657</v>
      </c>
      <c r="AF172" s="17"/>
      <c r="AG172" s="17"/>
      <c r="AH172" s="17"/>
      <c r="AI172" s="17"/>
      <c r="AJ172" s="17"/>
      <c r="AK172" s="7" t="s">
        <v>3714</v>
      </c>
      <c r="AL172" s="17">
        <f>IF(ISERROR(SEARCH("si",Tabella1[[#This Row],[Patente di guida]],1)),0,1)</f>
        <v>0</v>
      </c>
      <c r="AM172" s="7" t="s">
        <v>8</v>
      </c>
      <c r="AN172" s="17">
        <f>IF(ISERROR(SEARCH("no",Tabella1[[#This Row],[Ipertensione]],1)),0,1)</f>
        <v>1</v>
      </c>
      <c r="AO172" s="7" t="s">
        <v>382</v>
      </c>
      <c r="AP172" s="18">
        <f>IF(ISERROR(SEARCH("NO",Tabella1[[#This Row],[Cardiopatia ischemica]],1)),1,0)</f>
        <v>0</v>
      </c>
      <c r="AQ172" s="17">
        <f>IF(ISERROR(SEARCH("sconosciuto",Tabella1[[#This Row],[Cardiopatia ischemica]],1)),0,1)</f>
        <v>0</v>
      </c>
      <c r="AR172" s="7" t="s">
        <v>25</v>
      </c>
      <c r="AS172" s="22">
        <f>IF(ISERROR(SEARCH("nega",Tabella1[[#This Row],[Artimie]],1)),0,1)</f>
        <v>1</v>
      </c>
      <c r="AT172" s="7" t="s">
        <v>28</v>
      </c>
      <c r="AU172" s="22">
        <f>IF(ISERROR(SEARCH("nega",Tabella1[[#This Row],[Ipercolesterolemia]],1)),0,1)</f>
        <v>0</v>
      </c>
      <c r="AV172" s="22">
        <f>IF(ISERROR(SEARCH("boh",Tabella1[[#This Row],[Ipercolesterolemia]],1)),0,1)</f>
        <v>0</v>
      </c>
      <c r="AW172" s="7" t="s">
        <v>25</v>
      </c>
      <c r="AX172" s="22">
        <f>IF(ISERROR(SEARCH("Intolleranza",Tabella1[[#This Row],[Diabete]],1)),0,1)</f>
        <v>0</v>
      </c>
      <c r="AY172" s="22">
        <f>IF(ISERROR(SEARCH("si",Tabella1[[#This Row],[Diabete]],1)),0,1)</f>
        <v>0</v>
      </c>
      <c r="AZ172" s="7" t="s">
        <v>1876</v>
      </c>
      <c r="BA172" s="17">
        <f>IF(ISERROR(SEARCH("NDD",Tabella1[[#This Row],[Patologia Tiroidea]],1)),0,1)</f>
        <v>0</v>
      </c>
      <c r="BB172" s="22">
        <f>IF(ISERROR(SEARCH("TIROIDITE",Tabella1[[#This Row],[Patologia Tiroidea]],1)),0,1)</f>
        <v>0</v>
      </c>
      <c r="BC172" s="22">
        <f>IF(ISERROR(SEARCH("HASHIMOTO",Tabella1[[#This Row],[Patologia Tiroidea]],1)),0,1)</f>
        <v>0</v>
      </c>
      <c r="BD172" s="22">
        <f>IF(ISERROR(SEARCH("BASEDOW",Tabella1[[#This Row],[Patologia Tiroidea]],1)),0,1)</f>
        <v>0</v>
      </c>
      <c r="BE172" s="22">
        <f>IF(ISERROR(SEARCH("NOD",Tabella1[[#This Row],[Patologia Tiroidea]],1)),0,1)</f>
        <v>0</v>
      </c>
      <c r="BF172" s="22">
        <f>IF(ISERROR(SEARCH("GOZ",Tabella1[[#This Row],[Patologia Tiroidea]],1)),0,1)</f>
        <v>0</v>
      </c>
      <c r="BG172" s="7" t="s">
        <v>8</v>
      </c>
      <c r="BH172" s="17">
        <f>IF(Tabella1[[#This Row],[Obesità]]="no",0,1)</f>
        <v>0</v>
      </c>
      <c r="BI172" s="7" t="s">
        <v>28</v>
      </c>
      <c r="BJ172" s="22">
        <f>IF(ISERROR(SEARCH("nega",Tabella1[[#This Row],[Reflusso gastroesofageo]],1)),1,0)</f>
        <v>1</v>
      </c>
      <c r="BK172" s="7" t="s">
        <v>3726</v>
      </c>
      <c r="BL172" s="17">
        <f>IF(ISERROR(SEARCH("NDD",Tabella1[[#This Row],[Patologia respiratoria]],1)),0,1)</f>
        <v>0</v>
      </c>
      <c r="BM172" s="17">
        <f>IF(ISERROR(SEARCH("asma",Tabella1[[#This Row],[Patologia respiratoria]],1)),0,1)</f>
        <v>0</v>
      </c>
      <c r="BN172" s="17">
        <f>IF(ISERROR(SEARCH("BPCO",Tabella1[[#This Row],[Patologia respiratoria]],1)),0,1)</f>
        <v>0</v>
      </c>
      <c r="BO172" s="17">
        <f>IF(ISERROR(SEARCH("BRONCOPOLMONITE",Tabella1[[#This Row],[Patologia respiratoria]],1)),0,1)</f>
        <v>0</v>
      </c>
      <c r="BP172" s="17">
        <f>IF(ISERROR(SEARCH("ASMA, OSAS",Tabella1[[#This Row],[Patologia respiratoria]],1)),0,1)</f>
        <v>0</v>
      </c>
      <c r="BQ172" s="17">
        <f>IF(ISERROR(SEARCH("OSAS e BPCO",Tabella1[[#This Row],[Patologia respiratoria]],1)),0,1)</f>
        <v>0</v>
      </c>
      <c r="BR172" s="17">
        <f>IF(ISERROR(SEARCH("OSAS",Tabella1[[#This Row],[Patologia respiratoria]],1)),0,1)</f>
        <v>0</v>
      </c>
      <c r="BS172" s="7" t="s">
        <v>1877</v>
      </c>
      <c r="BT172" s="7" t="s">
        <v>1878</v>
      </c>
      <c r="BU172" s="7" t="s">
        <v>8</v>
      </c>
      <c r="BV172" s="17">
        <f>IF(ISERROR(SEARCH("ndd",Tabella1[[#This Row],[O2 terapia]],1)),0,1)</f>
        <v>0</v>
      </c>
      <c r="BW172" s="17">
        <v>0</v>
      </c>
      <c r="BX172" s="7"/>
      <c r="BY172" s="7" t="s">
        <v>1879</v>
      </c>
      <c r="BZ172" s="17">
        <v>1</v>
      </c>
      <c r="CA172" s="7" t="s">
        <v>1880</v>
      </c>
      <c r="CB172" s="17">
        <v>1</v>
      </c>
      <c r="CC172" s="7" t="s">
        <v>25</v>
      </c>
      <c r="CD172" s="18">
        <v>0</v>
      </c>
      <c r="CE172" s="7" t="s">
        <v>8</v>
      </c>
      <c r="CF172" s="18">
        <v>0</v>
      </c>
      <c r="CG172" s="7" t="s">
        <v>1881</v>
      </c>
      <c r="CH172" s="17">
        <v>1</v>
      </c>
      <c r="CI172" s="7" t="s">
        <v>28</v>
      </c>
      <c r="CJ172" s="17">
        <v>1</v>
      </c>
      <c r="CK172" s="7" t="s">
        <v>1880</v>
      </c>
      <c r="CL172" s="17">
        <v>1</v>
      </c>
      <c r="CM172" s="7" t="s">
        <v>1882</v>
      </c>
      <c r="CN172" s="17">
        <v>1</v>
      </c>
      <c r="CO172" s="7" t="s">
        <v>1883</v>
      </c>
      <c r="CP172" s="17">
        <v>1</v>
      </c>
      <c r="CQ172" s="7" t="s">
        <v>202</v>
      </c>
      <c r="CR172" s="7" t="s">
        <v>1884</v>
      </c>
      <c r="CS172" s="7" t="s">
        <v>355</v>
      </c>
      <c r="CT172" s="7" t="s">
        <v>1885</v>
      </c>
      <c r="CU172" s="7" t="s">
        <v>1886</v>
      </c>
      <c r="CV172" s="8" t="s">
        <v>210</v>
      </c>
    </row>
    <row r="173" spans="1:100" ht="142.5">
      <c r="A173" s="1">
        <f t="shared" si="2"/>
        <v>172</v>
      </c>
      <c r="B173" s="9">
        <v>1024</v>
      </c>
      <c r="C173" s="10">
        <v>0.92248842592592595</v>
      </c>
      <c r="D173" s="11" t="s">
        <v>1887</v>
      </c>
      <c r="E173" s="10">
        <v>22183</v>
      </c>
      <c r="F173" s="29">
        <f ca="1">_xlfn.DAYS(NOW(),Tabella1[[#This Row],[Data di Nascita]])/365.25</f>
        <v>64.859685147159482</v>
      </c>
      <c r="G173" s="11" t="s">
        <v>1888</v>
      </c>
      <c r="H173" s="11" t="s">
        <v>1889</v>
      </c>
      <c r="I173" s="11" t="s">
        <v>1890</v>
      </c>
      <c r="J173" s="11" t="s">
        <v>1891</v>
      </c>
      <c r="K173" s="11" t="s">
        <v>1892</v>
      </c>
      <c r="L173" s="18">
        <f>IF(ISERROR(SEARCH("EX",Tabella1[[#This Row],[Attività lavorativa]],1)),0,1)</f>
        <v>1</v>
      </c>
      <c r="M173" s="18"/>
      <c r="N173" s="18"/>
      <c r="O173" s="18"/>
      <c r="P173" s="18"/>
      <c r="Q173" s="18"/>
      <c r="R173" s="18"/>
      <c r="S173" s="18"/>
      <c r="T173" s="17">
        <f>IF(ISERROR(SEARCH("NDD",Tabella1[[#This Row],[Attività lavorativa]],1)),0,1)</f>
        <v>0</v>
      </c>
      <c r="U173" s="11" t="s">
        <v>8</v>
      </c>
      <c r="V173" s="22"/>
      <c r="W173" s="22">
        <f>IF(ISERROR(SEARCH("ex",Tabella1[[#This Row],[Fumo]],1)),0,1)</f>
        <v>0</v>
      </c>
      <c r="X173" s="22">
        <f>IF(ISERROR(SEARCH("no",Tabella1[[#This Row],[Fumo]],1)),0,1)</f>
        <v>1</v>
      </c>
      <c r="Y173" s="11" t="s">
        <v>25</v>
      </c>
      <c r="Z173" s="18">
        <f>IF(ISERROR(SEARCH("NDD",Tabella1[[#This Row],[Bevitore alcolici]],1)),0,1)</f>
        <v>0</v>
      </c>
      <c r="AA173" s="17">
        <f>IF(ISERROR(SEARCH("raro",Tabella1[[#This Row],[Bevitore alcolici]],1)),0,1)</f>
        <v>0</v>
      </c>
      <c r="AB173" s="17">
        <f>IF(ISERROR(SEARCH("saltuariamente",Tabella1[[#This Row],[Bevitore alcolici]],1)),0,1)</f>
        <v>0</v>
      </c>
      <c r="AC173" s="17">
        <f>IF(ISERROR(SEARCH("nega",Tabella1[[#This Row],[Bevitore alcolici]],1)),0,1)</f>
        <v>1</v>
      </c>
      <c r="AD173" s="17">
        <f>IF(ISERROR(SEARCH("potus",Tabella1[[#This Row],[Bevitore alcolici]],1)),0,1)</f>
        <v>0</v>
      </c>
      <c r="AE173" s="11" t="s">
        <v>5686</v>
      </c>
      <c r="AF173" s="18"/>
      <c r="AG173" s="18"/>
      <c r="AH173" s="18"/>
      <c r="AI173" s="18"/>
      <c r="AJ173" s="18"/>
      <c r="AK173" s="11" t="s">
        <v>3714</v>
      </c>
      <c r="AL173" s="18">
        <f>IF(ISERROR(SEARCH("si",Tabella1[[#This Row],[Patente di guida]],1)),0,1)</f>
        <v>0</v>
      </c>
      <c r="AM173" s="11" t="s">
        <v>1893</v>
      </c>
      <c r="AN173" s="18">
        <f>IF(ISERROR(SEARCH("no",Tabella1[[#This Row],[Ipertensione]],1)),0,1)</f>
        <v>0</v>
      </c>
      <c r="AO173" s="11" t="s">
        <v>3736</v>
      </c>
      <c r="AP173" s="18">
        <f>IF(ISERROR(SEARCH("NO",Tabella1[[#This Row],[Cardiopatia ischemica]],1)),1,0)</f>
        <v>0</v>
      </c>
      <c r="AQ173" s="17">
        <f>IF(ISERROR(SEARCH("sconosciuto",Tabella1[[#This Row],[Cardiopatia ischemica]],1)),0,1)</f>
        <v>0</v>
      </c>
      <c r="AR173" s="11" t="s">
        <v>25</v>
      </c>
      <c r="AS173" s="22">
        <f>IF(ISERROR(SEARCH("nega",Tabella1[[#This Row],[Artimie]],1)),0,1)</f>
        <v>1</v>
      </c>
      <c r="AT173" s="11" t="s">
        <v>1894</v>
      </c>
      <c r="AU173" s="22">
        <f>IF(ISERROR(SEARCH("nega",Tabella1[[#This Row],[Ipercolesterolemia]],1)),0,1)</f>
        <v>0</v>
      </c>
      <c r="AV173" s="22">
        <f>IF(ISERROR(SEARCH("boh",Tabella1[[#This Row],[Ipercolesterolemia]],1)),0,1)</f>
        <v>0</v>
      </c>
      <c r="AW173" s="11" t="s">
        <v>1895</v>
      </c>
      <c r="AX173" s="22">
        <f>IF(ISERROR(SEARCH("Intolleranza",Tabella1[[#This Row],[Diabete]],1)),0,1)</f>
        <v>0</v>
      </c>
      <c r="AY173" s="22">
        <f>IF(ISERROR(SEARCH("si",Tabella1[[#This Row],[Diabete]],1)),0,1)</f>
        <v>0</v>
      </c>
      <c r="AZ173" s="11" t="s">
        <v>8</v>
      </c>
      <c r="BA173" s="18">
        <f>IF(ISERROR(SEARCH("NDD",Tabella1[[#This Row],[Patologia Tiroidea]],1)),0,1)</f>
        <v>0</v>
      </c>
      <c r="BB173" s="22">
        <f>IF(ISERROR(SEARCH("TIROIDITE",Tabella1[[#This Row],[Patologia Tiroidea]],1)),0,1)</f>
        <v>0</v>
      </c>
      <c r="BC173" s="22">
        <f>IF(ISERROR(SEARCH("HASHIMOTO",Tabella1[[#This Row],[Patologia Tiroidea]],1)),0,1)</f>
        <v>0</v>
      </c>
      <c r="BD173" s="22">
        <f>IF(ISERROR(SEARCH("BASEDOW",Tabella1[[#This Row],[Patologia Tiroidea]],1)),0,1)</f>
        <v>0</v>
      </c>
      <c r="BE173" s="22">
        <f>IF(ISERROR(SEARCH("NOD",Tabella1[[#This Row],[Patologia Tiroidea]],1)),0,1)</f>
        <v>0</v>
      </c>
      <c r="BF173" s="22">
        <f>IF(ISERROR(SEARCH("GOZ",Tabella1[[#This Row],[Patologia Tiroidea]],1)),0,1)</f>
        <v>0</v>
      </c>
      <c r="BG173" s="11" t="s">
        <v>1896</v>
      </c>
      <c r="BH173" s="18">
        <f>IF(Tabella1[[#This Row],[Obesità]]="no",0,1)</f>
        <v>1</v>
      </c>
      <c r="BI173" s="11" t="s">
        <v>1895</v>
      </c>
      <c r="BJ173" s="22">
        <f>IF(ISERROR(SEARCH("nega",Tabella1[[#This Row],[Reflusso gastroesofageo]],1)),1,0)</f>
        <v>1</v>
      </c>
      <c r="BK173" s="11" t="s">
        <v>3726</v>
      </c>
      <c r="BL173" s="18">
        <f>IF(ISERROR(SEARCH("NDD",Tabella1[[#This Row],[Patologia respiratoria]],1)),0,1)</f>
        <v>0</v>
      </c>
      <c r="BM173" s="18">
        <f>IF(ISERROR(SEARCH("asma",Tabella1[[#This Row],[Patologia respiratoria]],1)),0,1)</f>
        <v>0</v>
      </c>
      <c r="BN173" s="18">
        <f>IF(ISERROR(SEARCH("BPCO",Tabella1[[#This Row],[Patologia respiratoria]],1)),0,1)</f>
        <v>0</v>
      </c>
      <c r="BO173" s="18">
        <f>IF(ISERROR(SEARCH("BRONCOPOLMONITE",Tabella1[[#This Row],[Patologia respiratoria]],1)),0,1)</f>
        <v>0</v>
      </c>
      <c r="BP173" s="18">
        <f>IF(ISERROR(SEARCH("ASMA, OSAS",Tabella1[[#This Row],[Patologia respiratoria]],1)),0,1)</f>
        <v>0</v>
      </c>
      <c r="BQ173" s="18">
        <f>IF(ISERROR(SEARCH("OSAS e BPCO",Tabella1[[#This Row],[Patologia respiratoria]],1)),0,1)</f>
        <v>0</v>
      </c>
      <c r="BR173" s="18">
        <f>IF(ISERROR(SEARCH("OSAS",Tabella1[[#This Row],[Patologia respiratoria]],1)),0,1)</f>
        <v>0</v>
      </c>
      <c r="BS173" s="11" t="s">
        <v>1897</v>
      </c>
      <c r="BT173" s="11"/>
      <c r="BU173" s="11" t="s">
        <v>8</v>
      </c>
      <c r="BV173" s="18">
        <f>IF(ISERROR(SEARCH("ndd",Tabella1[[#This Row],[O2 terapia]],1)),0,1)</f>
        <v>0</v>
      </c>
      <c r="BW173" s="17">
        <v>0</v>
      </c>
      <c r="BX173" s="11"/>
      <c r="BY173" s="11" t="s">
        <v>1898</v>
      </c>
      <c r="BZ173" s="17">
        <v>1</v>
      </c>
      <c r="CA173" s="11" t="s">
        <v>1899</v>
      </c>
      <c r="CB173" s="17">
        <v>0</v>
      </c>
      <c r="CC173" s="11" t="s">
        <v>1900</v>
      </c>
      <c r="CD173" s="17">
        <v>1</v>
      </c>
      <c r="CE173" s="11" t="s">
        <v>8</v>
      </c>
      <c r="CF173" s="18">
        <v>0</v>
      </c>
      <c r="CG173" s="11" t="s">
        <v>8</v>
      </c>
      <c r="CH173" s="17">
        <v>0</v>
      </c>
      <c r="CI173" s="11" t="s">
        <v>25</v>
      </c>
      <c r="CJ173" s="18">
        <v>0</v>
      </c>
      <c r="CK173" s="11" t="s">
        <v>25</v>
      </c>
      <c r="CL173" s="17">
        <v>0</v>
      </c>
      <c r="CM173" s="11" t="s">
        <v>1901</v>
      </c>
      <c r="CN173" s="17">
        <v>1</v>
      </c>
      <c r="CO173" s="11" t="s">
        <v>25</v>
      </c>
      <c r="CP173" s="18">
        <v>0</v>
      </c>
      <c r="CQ173" s="11" t="s">
        <v>13</v>
      </c>
      <c r="CR173" s="11" t="s">
        <v>1902</v>
      </c>
      <c r="CS173" s="11" t="s">
        <v>105</v>
      </c>
      <c r="CT173" s="11" t="s">
        <v>569</v>
      </c>
      <c r="CU173" s="11" t="s">
        <v>1903</v>
      </c>
      <c r="CV173" s="12"/>
    </row>
    <row r="174" spans="1:100" ht="57">
      <c r="A174" s="1">
        <f t="shared" si="2"/>
        <v>173</v>
      </c>
      <c r="B174" s="5">
        <v>1026</v>
      </c>
      <c r="C174" s="6">
        <v>45161</v>
      </c>
      <c r="D174" s="7" t="s">
        <v>1904</v>
      </c>
      <c r="E174" s="6">
        <v>33393</v>
      </c>
      <c r="F174" s="29">
        <f ca="1">_xlfn.DAYS(NOW(),Tabella1[[#This Row],[Data di Nascita]])/365.25</f>
        <v>34.168377823408626</v>
      </c>
      <c r="G174" s="7" t="s">
        <v>1905</v>
      </c>
      <c r="H174" s="7" t="s">
        <v>1906</v>
      </c>
      <c r="I174" s="7" t="s">
        <v>1907</v>
      </c>
      <c r="J174" s="7" t="s">
        <v>1908</v>
      </c>
      <c r="K174" s="7" t="s">
        <v>1909</v>
      </c>
      <c r="L174" s="17">
        <f>IF(ISERROR(SEARCH("EX",Tabella1[[#This Row],[Attività lavorativa]],1)),0,1)</f>
        <v>0</v>
      </c>
      <c r="M174" s="17"/>
      <c r="N174" s="17"/>
      <c r="O174" s="17"/>
      <c r="P174" s="17"/>
      <c r="Q174" s="17"/>
      <c r="R174" s="17"/>
      <c r="S174" s="17"/>
      <c r="T174" s="17">
        <f>IF(ISERROR(SEARCH("NDD",Tabella1[[#This Row],[Attività lavorativa]],1)),0,1)</f>
        <v>0</v>
      </c>
      <c r="U174" s="7" t="s">
        <v>1910</v>
      </c>
      <c r="V174" s="22">
        <v>8</v>
      </c>
      <c r="W174" s="22">
        <f>IF(ISERROR(SEARCH("ex",Tabella1[[#This Row],[Fumo]],1)),0,1)</f>
        <v>0</v>
      </c>
      <c r="X174" s="22">
        <f>IF(ISERROR(SEARCH("no",Tabella1[[#This Row],[Fumo]],1)),0,1)</f>
        <v>0</v>
      </c>
      <c r="Y174" s="7" t="s">
        <v>25</v>
      </c>
      <c r="Z174" s="17">
        <f>IF(ISERROR(SEARCH("NDD",Tabella1[[#This Row],[Bevitore alcolici]],1)),0,1)</f>
        <v>0</v>
      </c>
      <c r="AA174" s="17">
        <f>IF(ISERROR(SEARCH("raro",Tabella1[[#This Row],[Bevitore alcolici]],1)),0,1)</f>
        <v>0</v>
      </c>
      <c r="AB174" s="17">
        <f>IF(ISERROR(SEARCH("saltuariamente",Tabella1[[#This Row],[Bevitore alcolici]],1)),0,1)</f>
        <v>0</v>
      </c>
      <c r="AC174" s="17">
        <f>IF(ISERROR(SEARCH("nega",Tabella1[[#This Row],[Bevitore alcolici]],1)),0,1)</f>
        <v>1</v>
      </c>
      <c r="AD174" s="17">
        <f>IF(ISERROR(SEARCH("potus",Tabella1[[#This Row],[Bevitore alcolici]],1)),0,1)</f>
        <v>0</v>
      </c>
      <c r="AE174" s="7" t="s">
        <v>1911</v>
      </c>
      <c r="AF174" s="17"/>
      <c r="AG174" s="17"/>
      <c r="AH174" s="18">
        <v>1</v>
      </c>
      <c r="AI174" s="18">
        <v>1</v>
      </c>
      <c r="AJ174" s="18"/>
      <c r="AK174" s="7" t="s">
        <v>3715</v>
      </c>
      <c r="AL174" s="17">
        <f>IF(ISERROR(SEARCH("si",Tabella1[[#This Row],[Patente di guida]],1)),0,1)</f>
        <v>0</v>
      </c>
      <c r="AM174" s="7" t="s">
        <v>8</v>
      </c>
      <c r="AN174" s="17">
        <f>IF(ISERROR(SEARCH("no",Tabella1[[#This Row],[Ipertensione]],1)),0,1)</f>
        <v>1</v>
      </c>
      <c r="AO174" s="7" t="s">
        <v>3726</v>
      </c>
      <c r="AP174" s="18">
        <f>IF(ISERROR(SEARCH("NO",Tabella1[[#This Row],[Cardiopatia ischemica]],1)),1,0)</f>
        <v>0</v>
      </c>
      <c r="AQ174" s="17">
        <f>IF(ISERROR(SEARCH("sconosciuto",Tabella1[[#This Row],[Cardiopatia ischemica]],1)),0,1)</f>
        <v>1</v>
      </c>
      <c r="AR174" s="7" t="s">
        <v>1912</v>
      </c>
      <c r="AS174" s="22">
        <f>IF(ISERROR(SEARCH("nega",Tabella1[[#This Row],[Artimie]],1)),0,1)</f>
        <v>0</v>
      </c>
      <c r="AT174" s="7" t="s">
        <v>25</v>
      </c>
      <c r="AU174" s="22">
        <f>IF(ISERROR(SEARCH("nega",Tabella1[[#This Row],[Ipercolesterolemia]],1)),0,1)</f>
        <v>1</v>
      </c>
      <c r="AV174" s="22">
        <f>IF(ISERROR(SEARCH("boh",Tabella1[[#This Row],[Ipercolesterolemia]],1)),0,1)</f>
        <v>0</v>
      </c>
      <c r="AW174" s="7" t="s">
        <v>8</v>
      </c>
      <c r="AX174" s="22">
        <f>IF(ISERROR(SEARCH("Intolleranza",Tabella1[[#This Row],[Diabete]],1)),0,1)</f>
        <v>0</v>
      </c>
      <c r="AY174" s="22">
        <f>IF(ISERROR(SEARCH("si",Tabella1[[#This Row],[Diabete]],1)),0,1)</f>
        <v>0</v>
      </c>
      <c r="AZ174" s="7" t="s">
        <v>3726</v>
      </c>
      <c r="BA174" s="17">
        <f>IF(ISERROR(SEARCH("NDD",Tabella1[[#This Row],[Patologia Tiroidea]],1)),0,1)</f>
        <v>0</v>
      </c>
      <c r="BB174" s="22">
        <f>IF(ISERROR(SEARCH("TIROIDITE",Tabella1[[#This Row],[Patologia Tiroidea]],1)),0,1)</f>
        <v>0</v>
      </c>
      <c r="BC174" s="22">
        <f>IF(ISERROR(SEARCH("HASHIMOTO",Tabella1[[#This Row],[Patologia Tiroidea]],1)),0,1)</f>
        <v>0</v>
      </c>
      <c r="BD174" s="22">
        <f>IF(ISERROR(SEARCH("BASEDOW",Tabella1[[#This Row],[Patologia Tiroidea]],1)),0,1)</f>
        <v>0</v>
      </c>
      <c r="BE174" s="22">
        <f>IF(ISERROR(SEARCH("NOD",Tabella1[[#This Row],[Patologia Tiroidea]],1)),0,1)</f>
        <v>0</v>
      </c>
      <c r="BF174" s="22">
        <f>IF(ISERROR(SEARCH("GOZ",Tabella1[[#This Row],[Patologia Tiroidea]],1)),0,1)</f>
        <v>0</v>
      </c>
      <c r="BG174" s="7" t="s">
        <v>1822</v>
      </c>
      <c r="BH174" s="17">
        <f>IF(Tabella1[[#This Row],[Obesità]]="no",0,1)</f>
        <v>1</v>
      </c>
      <c r="BI174" s="7" t="s">
        <v>1913</v>
      </c>
      <c r="BJ174" s="22">
        <f>IF(ISERROR(SEARCH("nega",Tabella1[[#This Row],[Reflusso gastroesofageo]],1)),1,0)</f>
        <v>1</v>
      </c>
      <c r="BK174" s="7" t="s">
        <v>1914</v>
      </c>
      <c r="BL174" s="17">
        <f>IF(ISERROR(SEARCH("NDD",Tabella1[[#This Row],[Patologia respiratoria]],1)),0,1)</f>
        <v>0</v>
      </c>
      <c r="BM174" s="17">
        <f>IF(ISERROR(SEARCH("asma",Tabella1[[#This Row],[Patologia respiratoria]],1)),0,1)</f>
        <v>0</v>
      </c>
      <c r="BN174" s="17">
        <f>IF(ISERROR(SEARCH("BPCO",Tabella1[[#This Row],[Patologia respiratoria]],1)),0,1)</f>
        <v>0</v>
      </c>
      <c r="BO174" s="17">
        <f>IF(ISERROR(SEARCH("BRONCOPOLMONITE",Tabella1[[#This Row],[Patologia respiratoria]],1)),0,1)</f>
        <v>0</v>
      </c>
      <c r="BP174" s="17">
        <f>IF(ISERROR(SEARCH("ASMA, OSAS",Tabella1[[#This Row],[Patologia respiratoria]],1)),0,1)</f>
        <v>0</v>
      </c>
      <c r="BQ174" s="17">
        <f>IF(ISERROR(SEARCH("OSAS e BPCO",Tabella1[[#This Row],[Patologia respiratoria]],1)),0,1)</f>
        <v>0</v>
      </c>
      <c r="BR174" s="17">
        <f>IF(ISERROR(SEARCH("OSAS",Tabella1[[#This Row],[Patologia respiratoria]],1)),0,1)</f>
        <v>0</v>
      </c>
      <c r="BS174" s="7"/>
      <c r="BT174" s="7"/>
      <c r="BU174" s="7" t="s">
        <v>8</v>
      </c>
      <c r="BV174" s="17">
        <f>IF(ISERROR(SEARCH("ndd",Tabella1[[#This Row],[O2 terapia]],1)),0,1)</f>
        <v>0</v>
      </c>
      <c r="BW174" s="17">
        <v>0</v>
      </c>
      <c r="BX174" s="7"/>
      <c r="BY174" s="7" t="s">
        <v>25</v>
      </c>
      <c r="BZ174" s="18">
        <v>0</v>
      </c>
      <c r="CA174" s="7" t="s">
        <v>1915</v>
      </c>
      <c r="CB174" s="17">
        <v>1</v>
      </c>
      <c r="CC174" s="7" t="s">
        <v>1075</v>
      </c>
      <c r="CD174" s="17">
        <v>1</v>
      </c>
      <c r="CE174" s="7" t="s">
        <v>8</v>
      </c>
      <c r="CF174" s="18">
        <v>0</v>
      </c>
      <c r="CG174" s="7" t="s">
        <v>5477</v>
      </c>
      <c r="CH174" s="17"/>
      <c r="CI174" s="7" t="s">
        <v>5477</v>
      </c>
      <c r="CJ174" s="17"/>
      <c r="CK174" s="7" t="s">
        <v>5705</v>
      </c>
      <c r="CL174" s="17"/>
      <c r="CM174" s="7" t="s">
        <v>5705</v>
      </c>
      <c r="CN174" s="17"/>
      <c r="CO174" s="7" t="s">
        <v>1916</v>
      </c>
      <c r="CP174" s="17">
        <v>1</v>
      </c>
      <c r="CQ174" s="7" t="s">
        <v>85</v>
      </c>
      <c r="CR174" s="7" t="s">
        <v>1917</v>
      </c>
      <c r="CS174" s="7" t="s">
        <v>219</v>
      </c>
      <c r="CT174" s="7" t="s">
        <v>121</v>
      </c>
      <c r="CU174" s="7"/>
      <c r="CV174" s="8"/>
    </row>
    <row r="175" spans="1:100" ht="171">
      <c r="A175" s="1">
        <f t="shared" si="2"/>
        <v>174</v>
      </c>
      <c r="B175" s="9">
        <v>1059</v>
      </c>
      <c r="C175" s="10">
        <v>45188</v>
      </c>
      <c r="D175" s="11" t="s">
        <v>1918</v>
      </c>
      <c r="E175" s="10">
        <v>27345</v>
      </c>
      <c r="F175" s="29">
        <f ca="1">_xlfn.DAYS(NOW(),Tabella1[[#This Row],[Data di Nascita]])/365.25</f>
        <v>50.726899383983572</v>
      </c>
      <c r="G175" s="11" t="s">
        <v>1919</v>
      </c>
      <c r="H175" s="11" t="s">
        <v>1920</v>
      </c>
      <c r="I175" s="11" t="s">
        <v>880</v>
      </c>
      <c r="J175" s="11" t="s">
        <v>742</v>
      </c>
      <c r="K175" s="11" t="s">
        <v>1576</v>
      </c>
      <c r="L175" s="18">
        <f>IF(ISERROR(SEARCH("EX",Tabella1[[#This Row],[Attività lavorativa]],1)),0,1)</f>
        <v>0</v>
      </c>
      <c r="M175" s="18"/>
      <c r="N175" s="17">
        <v>1</v>
      </c>
      <c r="O175" s="18"/>
      <c r="P175" s="18"/>
      <c r="Q175" s="18"/>
      <c r="R175" s="18"/>
      <c r="S175" s="18"/>
      <c r="T175" s="17">
        <f>IF(ISERROR(SEARCH("NDD",Tabella1[[#This Row],[Attività lavorativa]],1)),0,1)</f>
        <v>0</v>
      </c>
      <c r="U175" s="11" t="s">
        <v>8</v>
      </c>
      <c r="V175" s="22"/>
      <c r="W175" s="22">
        <f>IF(ISERROR(SEARCH("ex",Tabella1[[#This Row],[Fumo]],1)),0,1)</f>
        <v>0</v>
      </c>
      <c r="X175" s="22">
        <f>IF(ISERROR(SEARCH("no",Tabella1[[#This Row],[Fumo]],1)),0,1)</f>
        <v>1</v>
      </c>
      <c r="Y175" s="11" t="s">
        <v>26</v>
      </c>
      <c r="Z175" s="18">
        <f>IF(ISERROR(SEARCH("NDD",Tabella1[[#This Row],[Bevitore alcolici]],1)),0,1)</f>
        <v>0</v>
      </c>
      <c r="AA175" s="17">
        <f>IF(ISERROR(SEARCH("raro",Tabella1[[#This Row],[Bevitore alcolici]],1)),0,1)</f>
        <v>0</v>
      </c>
      <c r="AB175" s="17">
        <f>IF(ISERROR(SEARCH("saltuariamente",Tabella1[[#This Row],[Bevitore alcolici]],1)),0,1)</f>
        <v>1</v>
      </c>
      <c r="AC175" s="17">
        <f>IF(ISERROR(SEARCH("nega",Tabella1[[#This Row],[Bevitore alcolici]],1)),0,1)</f>
        <v>0</v>
      </c>
      <c r="AD175" s="17">
        <f>IF(ISERROR(SEARCH("potus",Tabella1[[#This Row],[Bevitore alcolici]],1)),0,1)</f>
        <v>0</v>
      </c>
      <c r="AE175" s="11" t="s">
        <v>657</v>
      </c>
      <c r="AF175" s="18"/>
      <c r="AG175" s="18"/>
      <c r="AH175" s="18"/>
      <c r="AI175" s="18"/>
      <c r="AJ175" s="18"/>
      <c r="AK175" s="11" t="s">
        <v>28</v>
      </c>
      <c r="AL175" s="18">
        <f>IF(ISERROR(SEARCH("si",Tabella1[[#This Row],[Patente di guida]],1)),0,1)</f>
        <v>1</v>
      </c>
      <c r="AM175" s="11" t="s">
        <v>1921</v>
      </c>
      <c r="AN175" s="18">
        <f>IF(ISERROR(SEARCH("no",Tabella1[[#This Row],[Ipertensione]],1)),0,1)</f>
        <v>0</v>
      </c>
      <c r="AO175" s="11" t="s">
        <v>382</v>
      </c>
      <c r="AP175" s="18">
        <f>IF(ISERROR(SEARCH("NO",Tabella1[[#This Row],[Cardiopatia ischemica]],1)),1,0)</f>
        <v>0</v>
      </c>
      <c r="AQ175" s="17">
        <f>IF(ISERROR(SEARCH("sconosciuto",Tabella1[[#This Row],[Cardiopatia ischemica]],1)),0,1)</f>
        <v>0</v>
      </c>
      <c r="AR175" s="11" t="s">
        <v>25</v>
      </c>
      <c r="AS175" s="22">
        <f>IF(ISERROR(SEARCH("nega",Tabella1[[#This Row],[Artimie]],1)),0,1)</f>
        <v>1</v>
      </c>
      <c r="AT175" s="11" t="s">
        <v>25</v>
      </c>
      <c r="AU175" s="22">
        <f>IF(ISERROR(SEARCH("nega",Tabella1[[#This Row],[Ipercolesterolemia]],1)),0,1)</f>
        <v>1</v>
      </c>
      <c r="AV175" s="22">
        <f>IF(ISERROR(SEARCH("boh",Tabella1[[#This Row],[Ipercolesterolemia]],1)),0,1)</f>
        <v>0</v>
      </c>
      <c r="AW175" s="11" t="s">
        <v>8</v>
      </c>
      <c r="AX175" s="22">
        <f>IF(ISERROR(SEARCH("Intolleranza",Tabella1[[#This Row],[Diabete]],1)),0,1)</f>
        <v>0</v>
      </c>
      <c r="AY175" s="22">
        <f>IF(ISERROR(SEARCH("si",Tabella1[[#This Row],[Diabete]],1)),0,1)</f>
        <v>0</v>
      </c>
      <c r="AZ175" s="11" t="s">
        <v>8</v>
      </c>
      <c r="BA175" s="18">
        <f>IF(ISERROR(SEARCH("NDD",Tabella1[[#This Row],[Patologia Tiroidea]],1)),0,1)</f>
        <v>0</v>
      </c>
      <c r="BB175" s="22">
        <f>IF(ISERROR(SEARCH("TIROIDITE",Tabella1[[#This Row],[Patologia Tiroidea]],1)),0,1)</f>
        <v>0</v>
      </c>
      <c r="BC175" s="22">
        <f>IF(ISERROR(SEARCH("HASHIMOTO",Tabella1[[#This Row],[Patologia Tiroidea]],1)),0,1)</f>
        <v>0</v>
      </c>
      <c r="BD175" s="22">
        <f>IF(ISERROR(SEARCH("BASEDOW",Tabella1[[#This Row],[Patologia Tiroidea]],1)),0,1)</f>
        <v>0</v>
      </c>
      <c r="BE175" s="22">
        <f>IF(ISERROR(SEARCH("NOD",Tabella1[[#This Row],[Patologia Tiroidea]],1)),0,1)</f>
        <v>0</v>
      </c>
      <c r="BF175" s="22">
        <f>IF(ISERROR(SEARCH("GOZ",Tabella1[[#This Row],[Patologia Tiroidea]],1)),0,1)</f>
        <v>0</v>
      </c>
      <c r="BG175" s="11" t="s">
        <v>8</v>
      </c>
      <c r="BH175" s="18">
        <f>IF(Tabella1[[#This Row],[Obesità]]="no",0,1)</f>
        <v>0</v>
      </c>
      <c r="BI175" s="11" t="s">
        <v>26</v>
      </c>
      <c r="BJ175" s="22">
        <f>IF(ISERROR(SEARCH("nega",Tabella1[[#This Row],[Reflusso gastroesofageo]],1)),1,0)</f>
        <v>1</v>
      </c>
      <c r="BK175" s="11" t="s">
        <v>8</v>
      </c>
      <c r="BL175" s="18">
        <f>IF(ISERROR(SEARCH("NDD",Tabella1[[#This Row],[Patologia respiratoria]],1)),0,1)</f>
        <v>0</v>
      </c>
      <c r="BM175" s="18">
        <f>IF(ISERROR(SEARCH("asma",Tabella1[[#This Row],[Patologia respiratoria]],1)),0,1)</f>
        <v>0</v>
      </c>
      <c r="BN175" s="18">
        <f>IF(ISERROR(SEARCH("BPCO",Tabella1[[#This Row],[Patologia respiratoria]],1)),0,1)</f>
        <v>0</v>
      </c>
      <c r="BO175" s="18">
        <f>IF(ISERROR(SEARCH("BRONCOPOLMONITE",Tabella1[[#This Row],[Patologia respiratoria]],1)),0,1)</f>
        <v>0</v>
      </c>
      <c r="BP175" s="18">
        <f>IF(ISERROR(SEARCH("ASMA, OSAS",Tabella1[[#This Row],[Patologia respiratoria]],1)),0,1)</f>
        <v>0</v>
      </c>
      <c r="BQ175" s="18">
        <f>IF(ISERROR(SEARCH("OSAS e BPCO",Tabella1[[#This Row],[Patologia respiratoria]],1)),0,1)</f>
        <v>0</v>
      </c>
      <c r="BR175" s="18">
        <f>IF(ISERROR(SEARCH("OSAS",Tabella1[[#This Row],[Patologia respiratoria]],1)),0,1)</f>
        <v>0</v>
      </c>
      <c r="BS175" s="11"/>
      <c r="BT175" s="11" t="s">
        <v>132</v>
      </c>
      <c r="BU175" s="11" t="s">
        <v>8</v>
      </c>
      <c r="BV175" s="18">
        <f>IF(ISERROR(SEARCH("ndd",Tabella1[[#This Row],[O2 terapia]],1)),0,1)</f>
        <v>0</v>
      </c>
      <c r="BW175" s="17">
        <v>0</v>
      </c>
      <c r="BX175" s="11"/>
      <c r="BY175" s="11" t="s">
        <v>28</v>
      </c>
      <c r="BZ175" s="17">
        <v>1</v>
      </c>
      <c r="CA175" s="11" t="s">
        <v>28</v>
      </c>
      <c r="CB175" s="17">
        <v>1</v>
      </c>
      <c r="CC175" s="11" t="s">
        <v>8</v>
      </c>
      <c r="CD175" s="18">
        <v>0</v>
      </c>
      <c r="CE175" s="11" t="s">
        <v>28</v>
      </c>
      <c r="CF175" s="17">
        <v>1</v>
      </c>
      <c r="CG175" s="11" t="s">
        <v>28</v>
      </c>
      <c r="CH175" s="17">
        <v>1</v>
      </c>
      <c r="CI175" s="11" t="s">
        <v>8</v>
      </c>
      <c r="CJ175" s="18">
        <v>0</v>
      </c>
      <c r="CK175" s="11" t="s">
        <v>28</v>
      </c>
      <c r="CL175" s="17">
        <v>1</v>
      </c>
      <c r="CM175" s="11" t="s">
        <v>28</v>
      </c>
      <c r="CN175" s="17">
        <v>1</v>
      </c>
      <c r="CO175" s="11" t="s">
        <v>28</v>
      </c>
      <c r="CP175" s="17">
        <v>1</v>
      </c>
      <c r="CQ175" s="11" t="s">
        <v>69</v>
      </c>
      <c r="CR175" s="11" t="s">
        <v>1272</v>
      </c>
      <c r="CS175" s="11" t="s">
        <v>355</v>
      </c>
      <c r="CT175" s="11" t="s">
        <v>1922</v>
      </c>
      <c r="CU175" s="11" t="s">
        <v>1923</v>
      </c>
      <c r="CV175" s="12" t="s">
        <v>1924</v>
      </c>
    </row>
    <row r="176" spans="1:100" ht="185.25">
      <c r="A176" s="1">
        <f t="shared" si="2"/>
        <v>175</v>
      </c>
      <c r="B176" s="5">
        <v>1061</v>
      </c>
      <c r="C176" s="6">
        <v>45189</v>
      </c>
      <c r="D176" s="7" t="s">
        <v>1925</v>
      </c>
      <c r="E176" s="6">
        <v>29664</v>
      </c>
      <c r="F176" s="29">
        <f ca="1">_xlfn.DAYS(NOW(),Tabella1[[#This Row],[Data di Nascita]])/365.25</f>
        <v>44.377823408624231</v>
      </c>
      <c r="G176" s="7" t="s">
        <v>1926</v>
      </c>
      <c r="H176" s="7" t="s">
        <v>1927</v>
      </c>
      <c r="I176" s="7" t="s">
        <v>1928</v>
      </c>
      <c r="J176" s="7" t="s">
        <v>742</v>
      </c>
      <c r="K176" s="7" t="s">
        <v>1865</v>
      </c>
      <c r="L176" s="17">
        <f>IF(ISERROR(SEARCH("EX",Tabella1[[#This Row],[Attività lavorativa]],1)),0,1)</f>
        <v>0</v>
      </c>
      <c r="M176" s="17"/>
      <c r="N176" s="17"/>
      <c r="O176" s="17"/>
      <c r="P176" s="18">
        <v>1</v>
      </c>
      <c r="Q176" s="17"/>
      <c r="R176" s="17"/>
      <c r="S176" s="17"/>
      <c r="T176" s="17">
        <f>IF(ISERROR(SEARCH("NDD",Tabella1[[#This Row],[Attività lavorativa]],1)),0,1)</f>
        <v>0</v>
      </c>
      <c r="U176" s="7" t="s">
        <v>8</v>
      </c>
      <c r="V176" s="22"/>
      <c r="W176" s="22">
        <f>IF(ISERROR(SEARCH("ex",Tabella1[[#This Row],[Fumo]],1)),0,1)</f>
        <v>0</v>
      </c>
      <c r="X176" s="22">
        <f>IF(ISERROR(SEARCH("no",Tabella1[[#This Row],[Fumo]],1)),0,1)</f>
        <v>1</v>
      </c>
      <c r="Y176" s="7" t="s">
        <v>25</v>
      </c>
      <c r="Z176" s="17">
        <f>IF(ISERROR(SEARCH("NDD",Tabella1[[#This Row],[Bevitore alcolici]],1)),0,1)</f>
        <v>0</v>
      </c>
      <c r="AA176" s="17">
        <f>IF(ISERROR(SEARCH("raro",Tabella1[[#This Row],[Bevitore alcolici]],1)),0,1)</f>
        <v>0</v>
      </c>
      <c r="AB176" s="17">
        <f>IF(ISERROR(SEARCH("saltuariamente",Tabella1[[#This Row],[Bevitore alcolici]],1)),0,1)</f>
        <v>0</v>
      </c>
      <c r="AC176" s="17">
        <f>IF(ISERROR(SEARCH("nega",Tabella1[[#This Row],[Bevitore alcolici]],1)),0,1)</f>
        <v>1</v>
      </c>
      <c r="AD176" s="17">
        <f>IF(ISERROR(SEARCH("potus",Tabella1[[#This Row],[Bevitore alcolici]],1)),0,1)</f>
        <v>0</v>
      </c>
      <c r="AE176" s="7" t="s">
        <v>657</v>
      </c>
      <c r="AF176" s="17"/>
      <c r="AG176" s="17"/>
      <c r="AH176" s="17"/>
      <c r="AI176" s="17"/>
      <c r="AJ176" s="17"/>
      <c r="AK176" s="7" t="s">
        <v>8</v>
      </c>
      <c r="AL176" s="17">
        <f>IF(ISERROR(SEARCH("si",Tabella1[[#This Row],[Patente di guida]],1)),0,1)</f>
        <v>0</v>
      </c>
      <c r="AM176" s="7" t="s">
        <v>8</v>
      </c>
      <c r="AN176" s="17">
        <f>IF(ISERROR(SEARCH("no",Tabella1[[#This Row],[Ipertensione]],1)),0,1)</f>
        <v>1</v>
      </c>
      <c r="AO176" s="7" t="s">
        <v>382</v>
      </c>
      <c r="AP176" s="18">
        <f>IF(ISERROR(SEARCH("NO",Tabella1[[#This Row],[Cardiopatia ischemica]],1)),1,0)</f>
        <v>0</v>
      </c>
      <c r="AQ176" s="17">
        <f>IF(ISERROR(SEARCH("sconosciuto",Tabella1[[#This Row],[Cardiopatia ischemica]],1)),0,1)</f>
        <v>0</v>
      </c>
      <c r="AR176" s="7" t="s">
        <v>25</v>
      </c>
      <c r="AS176" s="22">
        <f>IF(ISERROR(SEARCH("nega",Tabella1[[#This Row],[Artimie]],1)),0,1)</f>
        <v>1</v>
      </c>
      <c r="AT176" s="7" t="s">
        <v>25</v>
      </c>
      <c r="AU176" s="22">
        <f>IF(ISERROR(SEARCH("nega",Tabella1[[#This Row],[Ipercolesterolemia]],1)),0,1)</f>
        <v>1</v>
      </c>
      <c r="AV176" s="22">
        <f>IF(ISERROR(SEARCH("boh",Tabella1[[#This Row],[Ipercolesterolemia]],1)),0,1)</f>
        <v>0</v>
      </c>
      <c r="AW176" s="7" t="s">
        <v>8</v>
      </c>
      <c r="AX176" s="22">
        <f>IF(ISERROR(SEARCH("Intolleranza",Tabella1[[#This Row],[Diabete]],1)),0,1)</f>
        <v>0</v>
      </c>
      <c r="AY176" s="22">
        <f>IF(ISERROR(SEARCH("si",Tabella1[[#This Row],[Diabete]],1)),0,1)</f>
        <v>0</v>
      </c>
      <c r="AZ176" s="7" t="s">
        <v>8</v>
      </c>
      <c r="BA176" s="17">
        <f>IF(ISERROR(SEARCH("NDD",Tabella1[[#This Row],[Patologia Tiroidea]],1)),0,1)</f>
        <v>0</v>
      </c>
      <c r="BB176" s="22">
        <f>IF(ISERROR(SEARCH("TIROIDITE",Tabella1[[#This Row],[Patologia Tiroidea]],1)),0,1)</f>
        <v>0</v>
      </c>
      <c r="BC176" s="22">
        <f>IF(ISERROR(SEARCH("HASHIMOTO",Tabella1[[#This Row],[Patologia Tiroidea]],1)),0,1)</f>
        <v>0</v>
      </c>
      <c r="BD176" s="22">
        <f>IF(ISERROR(SEARCH("BASEDOW",Tabella1[[#This Row],[Patologia Tiroidea]],1)),0,1)</f>
        <v>0</v>
      </c>
      <c r="BE176" s="22">
        <f>IF(ISERROR(SEARCH("NOD",Tabella1[[#This Row],[Patologia Tiroidea]],1)),0,1)</f>
        <v>0</v>
      </c>
      <c r="BF176" s="22">
        <f>IF(ISERROR(SEARCH("GOZ",Tabella1[[#This Row],[Patologia Tiroidea]],1)),0,1)</f>
        <v>0</v>
      </c>
      <c r="BG176" s="7" t="s">
        <v>28</v>
      </c>
      <c r="BH176" s="17">
        <f>IF(Tabella1[[#This Row],[Obesità]]="no",0,1)</f>
        <v>1</v>
      </c>
      <c r="BI176" s="7" t="s">
        <v>28</v>
      </c>
      <c r="BJ176" s="22">
        <f>IF(ISERROR(SEARCH("nega",Tabella1[[#This Row],[Reflusso gastroesofageo]],1)),1,0)</f>
        <v>1</v>
      </c>
      <c r="BK176" s="7" t="s">
        <v>8</v>
      </c>
      <c r="BL176" s="17">
        <f>IF(ISERROR(SEARCH("NDD",Tabella1[[#This Row],[Patologia respiratoria]],1)),0,1)</f>
        <v>0</v>
      </c>
      <c r="BM176" s="17">
        <f>IF(ISERROR(SEARCH("asma",Tabella1[[#This Row],[Patologia respiratoria]],1)),0,1)</f>
        <v>0</v>
      </c>
      <c r="BN176" s="17">
        <f>IF(ISERROR(SEARCH("BPCO",Tabella1[[#This Row],[Patologia respiratoria]],1)),0,1)</f>
        <v>0</v>
      </c>
      <c r="BO176" s="17">
        <f>IF(ISERROR(SEARCH("BRONCOPOLMONITE",Tabella1[[#This Row],[Patologia respiratoria]],1)),0,1)</f>
        <v>0</v>
      </c>
      <c r="BP176" s="17">
        <f>IF(ISERROR(SEARCH("ASMA, OSAS",Tabella1[[#This Row],[Patologia respiratoria]],1)),0,1)</f>
        <v>0</v>
      </c>
      <c r="BQ176" s="17">
        <f>IF(ISERROR(SEARCH("OSAS e BPCO",Tabella1[[#This Row],[Patologia respiratoria]],1)),0,1)</f>
        <v>0</v>
      </c>
      <c r="BR176" s="17">
        <f>IF(ISERROR(SEARCH("OSAS",Tabella1[[#This Row],[Patologia respiratoria]],1)),0,1)</f>
        <v>0</v>
      </c>
      <c r="BS176" s="7"/>
      <c r="BT176" s="7" t="s">
        <v>1929</v>
      </c>
      <c r="BU176" s="7" t="s">
        <v>8</v>
      </c>
      <c r="BV176" s="17">
        <f>IF(ISERROR(SEARCH("ndd",Tabella1[[#This Row],[O2 terapia]],1)),0,1)</f>
        <v>0</v>
      </c>
      <c r="BW176" s="17">
        <v>0</v>
      </c>
      <c r="BX176" s="7"/>
      <c r="BY176" s="7" t="s">
        <v>8</v>
      </c>
      <c r="BZ176" s="18">
        <v>0</v>
      </c>
      <c r="CA176" s="7" t="s">
        <v>28</v>
      </c>
      <c r="CB176" s="17">
        <v>1</v>
      </c>
      <c r="CC176" s="7" t="s">
        <v>8</v>
      </c>
      <c r="CD176" s="18">
        <v>0</v>
      </c>
      <c r="CE176" s="7" t="s">
        <v>28</v>
      </c>
      <c r="CF176" s="17">
        <v>1</v>
      </c>
      <c r="CG176" s="7" t="s">
        <v>8</v>
      </c>
      <c r="CH176" s="17">
        <v>0</v>
      </c>
      <c r="CI176" s="7" t="s">
        <v>8</v>
      </c>
      <c r="CJ176" s="18">
        <v>0</v>
      </c>
      <c r="CK176" s="7" t="s">
        <v>28</v>
      </c>
      <c r="CL176" s="17">
        <v>1</v>
      </c>
      <c r="CM176" s="7" t="s">
        <v>28</v>
      </c>
      <c r="CN176" s="17">
        <v>1</v>
      </c>
      <c r="CO176" s="7" t="s">
        <v>28</v>
      </c>
      <c r="CP176" s="17">
        <v>1</v>
      </c>
      <c r="CQ176" s="7" t="s">
        <v>368</v>
      </c>
      <c r="CR176" s="7" t="s">
        <v>538</v>
      </c>
      <c r="CS176" s="7" t="s">
        <v>219</v>
      </c>
      <c r="CT176" s="7" t="s">
        <v>154</v>
      </c>
      <c r="CU176" s="7" t="s">
        <v>1930</v>
      </c>
      <c r="CV176" s="8" t="s">
        <v>1931</v>
      </c>
    </row>
    <row r="177" spans="1:100" ht="42.75">
      <c r="A177" s="1">
        <f t="shared" si="2"/>
        <v>176</v>
      </c>
      <c r="B177" s="9">
        <v>1071</v>
      </c>
      <c r="C177" s="10">
        <v>45196</v>
      </c>
      <c r="D177" s="11" t="s">
        <v>1932</v>
      </c>
      <c r="E177" s="10">
        <v>24719</v>
      </c>
      <c r="F177" s="29">
        <f ca="1">_xlfn.DAYS(NOW(),Tabella1[[#This Row],[Data di Nascita]])/365.25</f>
        <v>57.916495550992472</v>
      </c>
      <c r="G177" s="11" t="s">
        <v>1933</v>
      </c>
      <c r="H177" s="11" t="s">
        <v>1934</v>
      </c>
      <c r="I177" s="11" t="s">
        <v>1935</v>
      </c>
      <c r="J177" s="11" t="s">
        <v>1346</v>
      </c>
      <c r="K177" s="11" t="s">
        <v>241</v>
      </c>
      <c r="L177" s="18">
        <f>IF(ISERROR(SEARCH("EX",Tabella1[[#This Row],[Attività lavorativa]],1)),0,1)</f>
        <v>0</v>
      </c>
      <c r="M177" s="18"/>
      <c r="N177" s="18"/>
      <c r="O177" s="18"/>
      <c r="P177" s="18">
        <v>1</v>
      </c>
      <c r="Q177" s="18"/>
      <c r="R177" s="18"/>
      <c r="S177" s="18"/>
      <c r="T177" s="17">
        <f>IF(ISERROR(SEARCH("NDD",Tabella1[[#This Row],[Attività lavorativa]],1)),0,1)</f>
        <v>0</v>
      </c>
      <c r="U177" s="11" t="s">
        <v>8</v>
      </c>
      <c r="V177" s="22"/>
      <c r="W177" s="22">
        <f>IF(ISERROR(SEARCH("ex",Tabella1[[#This Row],[Fumo]],1)),0,1)</f>
        <v>0</v>
      </c>
      <c r="X177" s="22">
        <f>IF(ISERROR(SEARCH("no",Tabella1[[#This Row],[Fumo]],1)),0,1)</f>
        <v>1</v>
      </c>
      <c r="Y177" s="11" t="s">
        <v>25</v>
      </c>
      <c r="Z177" s="18">
        <f>IF(ISERROR(SEARCH("NDD",Tabella1[[#This Row],[Bevitore alcolici]],1)),0,1)</f>
        <v>0</v>
      </c>
      <c r="AA177" s="17">
        <f>IF(ISERROR(SEARCH("raro",Tabella1[[#This Row],[Bevitore alcolici]],1)),0,1)</f>
        <v>0</v>
      </c>
      <c r="AB177" s="17">
        <f>IF(ISERROR(SEARCH("saltuariamente",Tabella1[[#This Row],[Bevitore alcolici]],1)),0,1)</f>
        <v>0</v>
      </c>
      <c r="AC177" s="17">
        <f>IF(ISERROR(SEARCH("nega",Tabella1[[#This Row],[Bevitore alcolici]],1)),0,1)</f>
        <v>1</v>
      </c>
      <c r="AD177" s="17">
        <f>IF(ISERROR(SEARCH("potus",Tabella1[[#This Row],[Bevitore alcolici]],1)),0,1)</f>
        <v>0</v>
      </c>
      <c r="AE177" s="11" t="s">
        <v>657</v>
      </c>
      <c r="AF177" s="18"/>
      <c r="AG177" s="18"/>
      <c r="AH177" s="18"/>
      <c r="AI177" s="18"/>
      <c r="AJ177" s="18"/>
      <c r="AK177" s="11" t="s">
        <v>28</v>
      </c>
      <c r="AL177" s="18">
        <f>IF(ISERROR(SEARCH("si",Tabella1[[#This Row],[Patente di guida]],1)),0,1)</f>
        <v>1</v>
      </c>
      <c r="AM177" s="11" t="s">
        <v>1936</v>
      </c>
      <c r="AN177" s="18">
        <f>IF(ISERROR(SEARCH("no",Tabella1[[#This Row],[Ipertensione]],1)),0,1)</f>
        <v>0</v>
      </c>
      <c r="AO177" s="7" t="s">
        <v>3726</v>
      </c>
      <c r="AP177" s="18">
        <f>IF(ISERROR(SEARCH("NO",Tabella1[[#This Row],[Cardiopatia ischemica]],1)),1,0)</f>
        <v>0</v>
      </c>
      <c r="AQ177" s="17">
        <f>IF(ISERROR(SEARCH("sconosciuto",Tabella1[[#This Row],[Cardiopatia ischemica]],1)),0,1)</f>
        <v>1</v>
      </c>
      <c r="AR177" s="11" t="s">
        <v>1937</v>
      </c>
      <c r="AS177" s="22">
        <f>IF(ISERROR(SEARCH("nega",Tabella1[[#This Row],[Artimie]],1)),0,1)</f>
        <v>0</v>
      </c>
      <c r="AT177" s="11" t="s">
        <v>1936</v>
      </c>
      <c r="AU177" s="22">
        <f>IF(ISERROR(SEARCH("nega",Tabella1[[#This Row],[Ipercolesterolemia]],1)),0,1)</f>
        <v>0</v>
      </c>
      <c r="AV177" s="22">
        <f>IF(ISERROR(SEARCH("boh",Tabella1[[#This Row],[Ipercolesterolemia]],1)),0,1)</f>
        <v>0</v>
      </c>
      <c r="AW177" s="11" t="s">
        <v>28</v>
      </c>
      <c r="AX177" s="22">
        <f>IF(ISERROR(SEARCH("Intolleranza",Tabella1[[#This Row],[Diabete]],1)),0,1)</f>
        <v>0</v>
      </c>
      <c r="AY177" s="22">
        <f>IF(ISERROR(SEARCH("si",Tabella1[[#This Row],[Diabete]],1)),0,1)</f>
        <v>1</v>
      </c>
      <c r="AZ177" s="11" t="s">
        <v>3791</v>
      </c>
      <c r="BA177" s="18">
        <f>IF(ISERROR(SEARCH("NDD",Tabella1[[#This Row],[Patologia Tiroidea]],1)),0,1)</f>
        <v>0</v>
      </c>
      <c r="BB177" s="22">
        <f>IF(ISERROR(SEARCH("TIROIDITE",Tabella1[[#This Row],[Patologia Tiroidea]],1)),0,1)</f>
        <v>0</v>
      </c>
      <c r="BC177" s="22">
        <f>IF(ISERROR(SEARCH("HASHIMOTO",Tabella1[[#This Row],[Patologia Tiroidea]],1)),0,1)</f>
        <v>0</v>
      </c>
      <c r="BD177" s="22">
        <f>IF(ISERROR(SEARCH("BASEDOW",Tabella1[[#This Row],[Patologia Tiroidea]],1)),0,1)</f>
        <v>0</v>
      </c>
      <c r="BE177" s="22">
        <f>IF(ISERROR(SEARCH("NOD",Tabella1[[#This Row],[Patologia Tiroidea]],1)),0,1)</f>
        <v>1</v>
      </c>
      <c r="BF177" s="22">
        <f>IF(ISERROR(SEARCH("GOZ",Tabella1[[#This Row],[Patologia Tiroidea]],1)),0,1)</f>
        <v>0</v>
      </c>
      <c r="BG177" s="11" t="s">
        <v>1938</v>
      </c>
      <c r="BH177" s="18">
        <f>IF(Tabella1[[#This Row],[Obesità]]="no",0,1)</f>
        <v>1</v>
      </c>
      <c r="BI177" s="11" t="s">
        <v>28</v>
      </c>
      <c r="BJ177" s="22">
        <f>IF(ISERROR(SEARCH("nega",Tabella1[[#This Row],[Reflusso gastroesofageo]],1)),1,0)</f>
        <v>1</v>
      </c>
      <c r="BK177" s="11" t="s">
        <v>8</v>
      </c>
      <c r="BL177" s="18">
        <f>IF(ISERROR(SEARCH("NDD",Tabella1[[#This Row],[Patologia respiratoria]],1)),0,1)</f>
        <v>0</v>
      </c>
      <c r="BM177" s="18">
        <f>IF(ISERROR(SEARCH("asma",Tabella1[[#This Row],[Patologia respiratoria]],1)),0,1)</f>
        <v>0</v>
      </c>
      <c r="BN177" s="18">
        <f>IF(ISERROR(SEARCH("BPCO",Tabella1[[#This Row],[Patologia respiratoria]],1)),0,1)</f>
        <v>0</v>
      </c>
      <c r="BO177" s="18">
        <f>IF(ISERROR(SEARCH("BRONCOPOLMONITE",Tabella1[[#This Row],[Patologia respiratoria]],1)),0,1)</f>
        <v>0</v>
      </c>
      <c r="BP177" s="18">
        <f>IF(ISERROR(SEARCH("ASMA, OSAS",Tabella1[[#This Row],[Patologia respiratoria]],1)),0,1)</f>
        <v>0</v>
      </c>
      <c r="BQ177" s="18">
        <f>IF(ISERROR(SEARCH("OSAS e BPCO",Tabella1[[#This Row],[Patologia respiratoria]],1)),0,1)</f>
        <v>0</v>
      </c>
      <c r="BR177" s="18">
        <f>IF(ISERROR(SEARCH("OSAS",Tabella1[[#This Row],[Patologia respiratoria]],1)),0,1)</f>
        <v>0</v>
      </c>
      <c r="BS177" s="11" t="s">
        <v>1939</v>
      </c>
      <c r="BT177" s="11"/>
      <c r="BU177" s="11" t="s">
        <v>8</v>
      </c>
      <c r="BV177" s="18">
        <f>IF(ISERROR(SEARCH("ndd",Tabella1[[#This Row],[O2 terapia]],1)),0,1)</f>
        <v>0</v>
      </c>
      <c r="BW177" s="17">
        <v>0</v>
      </c>
      <c r="BX177" s="11"/>
      <c r="BY177" s="11" t="s">
        <v>1940</v>
      </c>
      <c r="BZ177" s="18">
        <v>0</v>
      </c>
      <c r="CA177" s="11" t="s">
        <v>351</v>
      </c>
      <c r="CB177" s="17">
        <v>1</v>
      </c>
      <c r="CC177" s="11" t="s">
        <v>1941</v>
      </c>
      <c r="CD177" s="17">
        <v>1</v>
      </c>
      <c r="CE177" s="11" t="s">
        <v>1942</v>
      </c>
      <c r="CF177" s="17">
        <v>1</v>
      </c>
      <c r="CG177" s="11" t="s">
        <v>1943</v>
      </c>
      <c r="CH177" s="17">
        <v>1</v>
      </c>
      <c r="CI177" s="7" t="s">
        <v>5477</v>
      </c>
      <c r="CJ177" s="18"/>
      <c r="CK177" s="11" t="s">
        <v>1944</v>
      </c>
      <c r="CL177" s="17">
        <v>1</v>
      </c>
      <c r="CM177" s="11" t="s">
        <v>47</v>
      </c>
      <c r="CN177" s="17">
        <v>1</v>
      </c>
      <c r="CO177" s="11" t="s">
        <v>28</v>
      </c>
      <c r="CP177" s="17">
        <v>1</v>
      </c>
      <c r="CQ177" s="11" t="s">
        <v>103</v>
      </c>
      <c r="CR177" s="11" t="s">
        <v>507</v>
      </c>
      <c r="CS177" s="11" t="s">
        <v>355</v>
      </c>
      <c r="CT177" s="11" t="s">
        <v>539</v>
      </c>
      <c r="CU177" s="11"/>
      <c r="CV177" s="12" t="s">
        <v>1945</v>
      </c>
    </row>
    <row r="178" spans="1:100" ht="185.25">
      <c r="A178" s="1">
        <f t="shared" si="2"/>
        <v>177</v>
      </c>
      <c r="B178" s="5">
        <v>1083</v>
      </c>
      <c r="C178" s="6">
        <v>45208</v>
      </c>
      <c r="D178" s="7" t="s">
        <v>1946</v>
      </c>
      <c r="E178" s="6">
        <v>21601</v>
      </c>
      <c r="F178" s="29">
        <f ca="1">_xlfn.DAYS(NOW(),Tabella1[[#This Row],[Data di Nascita]])/365.25</f>
        <v>66.453114305270361</v>
      </c>
      <c r="G178" s="7" t="s">
        <v>1947</v>
      </c>
      <c r="H178" s="7" t="s">
        <v>1948</v>
      </c>
      <c r="I178" s="7" t="s">
        <v>1949</v>
      </c>
      <c r="J178" s="7" t="s">
        <v>1950</v>
      </c>
      <c r="K178" s="7" t="s">
        <v>1833</v>
      </c>
      <c r="L178" s="17">
        <f>IF(ISERROR(SEARCH("EX",Tabella1[[#This Row],[Attività lavorativa]],1)),0,1)</f>
        <v>0</v>
      </c>
      <c r="M178" s="17"/>
      <c r="N178" s="17"/>
      <c r="O178" s="17"/>
      <c r="P178" s="17"/>
      <c r="Q178" s="17"/>
      <c r="R178" s="17"/>
      <c r="S178" s="17"/>
      <c r="T178" s="17">
        <f>IF(ISERROR(SEARCH("NDD",Tabella1[[#This Row],[Attività lavorativa]],1)),0,1)</f>
        <v>0</v>
      </c>
      <c r="U178" s="7" t="s">
        <v>8</v>
      </c>
      <c r="V178" s="22"/>
      <c r="W178" s="22">
        <f>IF(ISERROR(SEARCH("ex",Tabella1[[#This Row],[Fumo]],1)),0,1)</f>
        <v>0</v>
      </c>
      <c r="X178" s="22">
        <f>IF(ISERROR(SEARCH("no",Tabella1[[#This Row],[Fumo]],1)),0,1)</f>
        <v>1</v>
      </c>
      <c r="Y178" s="7" t="s">
        <v>25</v>
      </c>
      <c r="Z178" s="17">
        <f>IF(ISERROR(SEARCH("NDD",Tabella1[[#This Row],[Bevitore alcolici]],1)),0,1)</f>
        <v>0</v>
      </c>
      <c r="AA178" s="17">
        <f>IF(ISERROR(SEARCH("raro",Tabella1[[#This Row],[Bevitore alcolici]],1)),0,1)</f>
        <v>0</v>
      </c>
      <c r="AB178" s="17">
        <f>IF(ISERROR(SEARCH("saltuariamente",Tabella1[[#This Row],[Bevitore alcolici]],1)),0,1)</f>
        <v>0</v>
      </c>
      <c r="AC178" s="17">
        <f>IF(ISERROR(SEARCH("nega",Tabella1[[#This Row],[Bevitore alcolici]],1)),0,1)</f>
        <v>1</v>
      </c>
      <c r="AD178" s="17">
        <f>IF(ISERROR(SEARCH("potus",Tabella1[[#This Row],[Bevitore alcolici]],1)),0,1)</f>
        <v>0</v>
      </c>
      <c r="AE178" s="7" t="s">
        <v>657</v>
      </c>
      <c r="AF178" s="17"/>
      <c r="AG178" s="17"/>
      <c r="AH178" s="17"/>
      <c r="AI178" s="17"/>
      <c r="AJ178" s="17"/>
      <c r="AK178" s="7" t="s">
        <v>8</v>
      </c>
      <c r="AL178" s="17">
        <f>IF(ISERROR(SEARCH("si",Tabella1[[#This Row],[Patente di guida]],1)),0,1)</f>
        <v>0</v>
      </c>
      <c r="AM178" s="7" t="s">
        <v>28</v>
      </c>
      <c r="AN178" s="17">
        <f>IF(ISERROR(SEARCH("no",Tabella1[[#This Row],[Ipertensione]],1)),0,1)</f>
        <v>0</v>
      </c>
      <c r="AO178" s="7" t="s">
        <v>382</v>
      </c>
      <c r="AP178" s="18">
        <f>IF(ISERROR(SEARCH("NO",Tabella1[[#This Row],[Cardiopatia ischemica]],1)),1,0)</f>
        <v>0</v>
      </c>
      <c r="AQ178" s="17">
        <f>IF(ISERROR(SEARCH("sconosciuto",Tabella1[[#This Row],[Cardiopatia ischemica]],1)),0,1)</f>
        <v>0</v>
      </c>
      <c r="AR178" s="7" t="s">
        <v>25</v>
      </c>
      <c r="AS178" s="22">
        <f>IF(ISERROR(SEARCH("nega",Tabella1[[#This Row],[Artimie]],1)),0,1)</f>
        <v>1</v>
      </c>
      <c r="AT178" s="7" t="s">
        <v>25</v>
      </c>
      <c r="AU178" s="22">
        <f>IF(ISERROR(SEARCH("nega",Tabella1[[#This Row],[Ipercolesterolemia]],1)),0,1)</f>
        <v>1</v>
      </c>
      <c r="AV178" s="22">
        <f>IF(ISERROR(SEARCH("boh",Tabella1[[#This Row],[Ipercolesterolemia]],1)),0,1)</f>
        <v>0</v>
      </c>
      <c r="AW178" s="7" t="s">
        <v>8</v>
      </c>
      <c r="AX178" s="22">
        <f>IF(ISERROR(SEARCH("Intolleranza",Tabella1[[#This Row],[Diabete]],1)),0,1)</f>
        <v>0</v>
      </c>
      <c r="AY178" s="22">
        <f>IF(ISERROR(SEARCH("si",Tabella1[[#This Row],[Diabete]],1)),0,1)</f>
        <v>0</v>
      </c>
      <c r="AZ178" s="7" t="s">
        <v>8</v>
      </c>
      <c r="BA178" s="17">
        <f>IF(ISERROR(SEARCH("NDD",Tabella1[[#This Row],[Patologia Tiroidea]],1)),0,1)</f>
        <v>0</v>
      </c>
      <c r="BB178" s="22">
        <f>IF(ISERROR(SEARCH("TIROIDITE",Tabella1[[#This Row],[Patologia Tiroidea]],1)),0,1)</f>
        <v>0</v>
      </c>
      <c r="BC178" s="22">
        <f>IF(ISERROR(SEARCH("HASHIMOTO",Tabella1[[#This Row],[Patologia Tiroidea]],1)),0,1)</f>
        <v>0</v>
      </c>
      <c r="BD178" s="22">
        <f>IF(ISERROR(SEARCH("BASEDOW",Tabella1[[#This Row],[Patologia Tiroidea]],1)),0,1)</f>
        <v>0</v>
      </c>
      <c r="BE178" s="22">
        <f>IF(ISERROR(SEARCH("NOD",Tabella1[[#This Row],[Patologia Tiroidea]],1)),0,1)</f>
        <v>0</v>
      </c>
      <c r="BF178" s="22">
        <f>IF(ISERROR(SEARCH("GOZ",Tabella1[[#This Row],[Patologia Tiroidea]],1)),0,1)</f>
        <v>0</v>
      </c>
      <c r="BG178" s="7" t="s">
        <v>28</v>
      </c>
      <c r="BH178" s="17">
        <f>IF(Tabella1[[#This Row],[Obesità]]="no",0,1)</f>
        <v>1</v>
      </c>
      <c r="BI178" s="7" t="s">
        <v>28</v>
      </c>
      <c r="BJ178" s="22">
        <f>IF(ISERROR(SEARCH("nega",Tabella1[[#This Row],[Reflusso gastroesofageo]],1)),1,0)</f>
        <v>1</v>
      </c>
      <c r="BK178" s="7" t="s">
        <v>8</v>
      </c>
      <c r="BL178" s="17">
        <f>IF(ISERROR(SEARCH("NDD",Tabella1[[#This Row],[Patologia respiratoria]],1)),0,1)</f>
        <v>0</v>
      </c>
      <c r="BM178" s="17">
        <f>IF(ISERROR(SEARCH("asma",Tabella1[[#This Row],[Patologia respiratoria]],1)),0,1)</f>
        <v>0</v>
      </c>
      <c r="BN178" s="17">
        <f>IF(ISERROR(SEARCH("BPCO",Tabella1[[#This Row],[Patologia respiratoria]],1)),0,1)</f>
        <v>0</v>
      </c>
      <c r="BO178" s="17">
        <f>IF(ISERROR(SEARCH("BRONCOPOLMONITE",Tabella1[[#This Row],[Patologia respiratoria]],1)),0,1)</f>
        <v>0</v>
      </c>
      <c r="BP178" s="17">
        <f>IF(ISERROR(SEARCH("ASMA, OSAS",Tabella1[[#This Row],[Patologia respiratoria]],1)),0,1)</f>
        <v>0</v>
      </c>
      <c r="BQ178" s="17">
        <f>IF(ISERROR(SEARCH("OSAS e BPCO",Tabella1[[#This Row],[Patologia respiratoria]],1)),0,1)</f>
        <v>0</v>
      </c>
      <c r="BR178" s="17">
        <f>IF(ISERROR(SEARCH("OSAS",Tabella1[[#This Row],[Patologia respiratoria]],1)),0,1)</f>
        <v>0</v>
      </c>
      <c r="BS178" s="7" t="s">
        <v>1951</v>
      </c>
      <c r="BT178" s="7" t="s">
        <v>1952</v>
      </c>
      <c r="BU178" s="7" t="s">
        <v>8</v>
      </c>
      <c r="BV178" s="17">
        <f>IF(ISERROR(SEARCH("ndd",Tabella1[[#This Row],[O2 terapia]],1)),0,1)</f>
        <v>0</v>
      </c>
      <c r="BW178" s="17">
        <v>0</v>
      </c>
      <c r="BX178" s="7"/>
      <c r="BY178" s="7" t="s">
        <v>28</v>
      </c>
      <c r="BZ178" s="17">
        <v>1</v>
      </c>
      <c r="CA178" s="7" t="s">
        <v>8</v>
      </c>
      <c r="CB178" s="17">
        <v>0</v>
      </c>
      <c r="CC178" s="7" t="s">
        <v>28</v>
      </c>
      <c r="CD178" s="17">
        <v>1</v>
      </c>
      <c r="CE178" s="7" t="s">
        <v>28</v>
      </c>
      <c r="CF178" s="17">
        <v>1</v>
      </c>
      <c r="CG178" s="7" t="s">
        <v>8</v>
      </c>
      <c r="CH178" s="17">
        <v>0</v>
      </c>
      <c r="CI178" s="7" t="s">
        <v>8</v>
      </c>
      <c r="CJ178" s="18">
        <v>0</v>
      </c>
      <c r="CK178" s="7" t="s">
        <v>28</v>
      </c>
      <c r="CL178" s="17">
        <v>1</v>
      </c>
      <c r="CM178" s="7" t="s">
        <v>28</v>
      </c>
      <c r="CN178" s="17">
        <v>1</v>
      </c>
      <c r="CO178" s="7" t="s">
        <v>28</v>
      </c>
      <c r="CP178" s="17">
        <v>1</v>
      </c>
      <c r="CQ178" s="7" t="s">
        <v>54</v>
      </c>
      <c r="CR178" s="7" t="s">
        <v>976</v>
      </c>
      <c r="CS178" s="7" t="s">
        <v>355</v>
      </c>
      <c r="CT178" s="7" t="s">
        <v>56</v>
      </c>
      <c r="CU178" s="7" t="s">
        <v>1953</v>
      </c>
      <c r="CV178" s="8" t="s">
        <v>1954</v>
      </c>
    </row>
    <row r="179" spans="1:100" ht="213.75">
      <c r="A179" s="1">
        <f t="shared" si="2"/>
        <v>178</v>
      </c>
      <c r="B179" s="9">
        <v>1088</v>
      </c>
      <c r="C179" s="10">
        <v>45210</v>
      </c>
      <c r="D179" s="11" t="s">
        <v>1955</v>
      </c>
      <c r="E179" s="10">
        <v>24955</v>
      </c>
      <c r="F179" s="29">
        <f ca="1">_xlfn.DAYS(NOW(),Tabella1[[#This Row],[Data di Nascita]])/365.25</f>
        <v>57.270362765229294</v>
      </c>
      <c r="G179" s="11" t="s">
        <v>1956</v>
      </c>
      <c r="H179" s="11" t="s">
        <v>1957</v>
      </c>
      <c r="I179" s="11" t="s">
        <v>955</v>
      </c>
      <c r="J179" s="11" t="s">
        <v>618</v>
      </c>
      <c r="K179" s="11" t="s">
        <v>1958</v>
      </c>
      <c r="L179" s="18">
        <f>IF(ISERROR(SEARCH("EX",Tabella1[[#This Row],[Attività lavorativa]],1)),0,1)</f>
        <v>0</v>
      </c>
      <c r="M179" s="18"/>
      <c r="N179" s="18"/>
      <c r="O179" s="18"/>
      <c r="P179" s="18"/>
      <c r="Q179" s="18">
        <v>1</v>
      </c>
      <c r="R179" s="18"/>
      <c r="S179" s="18"/>
      <c r="T179" s="17">
        <f>IF(ISERROR(SEARCH("NDD",Tabella1[[#This Row],[Attività lavorativa]],1)),0,1)</f>
        <v>0</v>
      </c>
      <c r="U179" s="11" t="s">
        <v>1959</v>
      </c>
      <c r="V179" s="22"/>
      <c r="W179" s="22">
        <f>IF(ISERROR(SEARCH("ex",Tabella1[[#This Row],[Fumo]],1)),0,1)</f>
        <v>1</v>
      </c>
      <c r="X179" s="22">
        <f>IF(ISERROR(SEARCH("no",Tabella1[[#This Row],[Fumo]],1)),0,1)</f>
        <v>0</v>
      </c>
      <c r="Y179" s="11" t="s">
        <v>25</v>
      </c>
      <c r="Z179" s="18">
        <f>IF(ISERROR(SEARCH("NDD",Tabella1[[#This Row],[Bevitore alcolici]],1)),0,1)</f>
        <v>0</v>
      </c>
      <c r="AA179" s="17">
        <f>IF(ISERROR(SEARCH("raro",Tabella1[[#This Row],[Bevitore alcolici]],1)),0,1)</f>
        <v>0</v>
      </c>
      <c r="AB179" s="17">
        <f>IF(ISERROR(SEARCH("saltuariamente",Tabella1[[#This Row],[Bevitore alcolici]],1)),0,1)</f>
        <v>0</v>
      </c>
      <c r="AC179" s="17">
        <f>IF(ISERROR(SEARCH("nega",Tabella1[[#This Row],[Bevitore alcolici]],1)),0,1)</f>
        <v>1</v>
      </c>
      <c r="AD179" s="17">
        <f>IF(ISERROR(SEARCH("potus",Tabella1[[#This Row],[Bevitore alcolici]],1)),0,1)</f>
        <v>0</v>
      </c>
      <c r="AE179" s="11" t="s">
        <v>1960</v>
      </c>
      <c r="AF179" s="18"/>
      <c r="AG179" s="18">
        <v>1</v>
      </c>
      <c r="AH179" s="18">
        <v>1</v>
      </c>
      <c r="AI179" s="18"/>
      <c r="AJ179" s="18"/>
      <c r="AK179" s="11" t="s">
        <v>28</v>
      </c>
      <c r="AL179" s="18">
        <f>IF(ISERROR(SEARCH("si",Tabella1[[#This Row],[Patente di guida]],1)),0,1)</f>
        <v>1</v>
      </c>
      <c r="AM179" s="11" t="s">
        <v>8</v>
      </c>
      <c r="AN179" s="18">
        <f>IF(ISERROR(SEARCH("no",Tabella1[[#This Row],[Ipertensione]],1)),0,1)</f>
        <v>1</v>
      </c>
      <c r="AO179" s="11" t="s">
        <v>382</v>
      </c>
      <c r="AP179" s="18">
        <f>IF(ISERROR(SEARCH("NO",Tabella1[[#This Row],[Cardiopatia ischemica]],1)),1,0)</f>
        <v>0</v>
      </c>
      <c r="AQ179" s="17">
        <f>IF(ISERROR(SEARCH("sconosciuto",Tabella1[[#This Row],[Cardiopatia ischemica]],1)),0,1)</f>
        <v>0</v>
      </c>
      <c r="AR179" s="11" t="s">
        <v>25</v>
      </c>
      <c r="AS179" s="22">
        <f>IF(ISERROR(SEARCH("nega",Tabella1[[#This Row],[Artimie]],1)),0,1)</f>
        <v>1</v>
      </c>
      <c r="AT179" s="11" t="s">
        <v>1961</v>
      </c>
      <c r="AU179" s="22">
        <f>IF(ISERROR(SEARCH("nega",Tabella1[[#This Row],[Ipercolesterolemia]],1)),0,1)</f>
        <v>0</v>
      </c>
      <c r="AV179" s="22">
        <f>IF(ISERROR(SEARCH("boh",Tabella1[[#This Row],[Ipercolesterolemia]],1)),0,1)</f>
        <v>0</v>
      </c>
      <c r="AW179" s="11" t="s">
        <v>25</v>
      </c>
      <c r="AX179" s="22">
        <f>IF(ISERROR(SEARCH("Intolleranza",Tabella1[[#This Row],[Diabete]],1)),0,1)</f>
        <v>0</v>
      </c>
      <c r="AY179" s="22">
        <f>IF(ISERROR(SEARCH("si",Tabella1[[#This Row],[Diabete]],1)),0,1)</f>
        <v>0</v>
      </c>
      <c r="AZ179" s="11" t="s">
        <v>25</v>
      </c>
      <c r="BA179" s="18">
        <f>IF(ISERROR(SEARCH("NDD",Tabella1[[#This Row],[Patologia Tiroidea]],1)),0,1)</f>
        <v>0</v>
      </c>
      <c r="BB179" s="22">
        <f>IF(ISERROR(SEARCH("TIROIDITE",Tabella1[[#This Row],[Patologia Tiroidea]],1)),0,1)</f>
        <v>0</v>
      </c>
      <c r="BC179" s="22">
        <f>IF(ISERROR(SEARCH("HASHIMOTO",Tabella1[[#This Row],[Patologia Tiroidea]],1)),0,1)</f>
        <v>0</v>
      </c>
      <c r="BD179" s="22">
        <f>IF(ISERROR(SEARCH("BASEDOW",Tabella1[[#This Row],[Patologia Tiroidea]],1)),0,1)</f>
        <v>0</v>
      </c>
      <c r="BE179" s="22">
        <f>IF(ISERROR(SEARCH("NOD",Tabella1[[#This Row],[Patologia Tiroidea]],1)),0,1)</f>
        <v>0</v>
      </c>
      <c r="BF179" s="22">
        <f>IF(ISERROR(SEARCH("GOZ",Tabella1[[#This Row],[Patologia Tiroidea]],1)),0,1)</f>
        <v>0</v>
      </c>
      <c r="BG179" s="11" t="s">
        <v>8</v>
      </c>
      <c r="BH179" s="18">
        <f>IF(Tabella1[[#This Row],[Obesità]]="no",0,1)</f>
        <v>0</v>
      </c>
      <c r="BI179" s="11" t="s">
        <v>28</v>
      </c>
      <c r="BJ179" s="22">
        <f>IF(ISERROR(SEARCH("nega",Tabella1[[#This Row],[Reflusso gastroesofageo]],1)),1,0)</f>
        <v>1</v>
      </c>
      <c r="BK179" s="7" t="s">
        <v>5477</v>
      </c>
      <c r="BL179" s="17">
        <f>IF(ISERROR(SEARCH("NDD",Tabella1[[#This Row],[Patologia respiratoria]],1)),0,1)</f>
        <v>1</v>
      </c>
      <c r="BM179" s="18">
        <f>IF(ISERROR(SEARCH("asma",Tabella1[[#This Row],[Patologia respiratoria]],1)),0,1)</f>
        <v>0</v>
      </c>
      <c r="BN179" s="18">
        <f>IF(ISERROR(SEARCH("BPCO",Tabella1[[#This Row],[Patologia respiratoria]],1)),0,1)</f>
        <v>0</v>
      </c>
      <c r="BO179" s="18">
        <f>IF(ISERROR(SEARCH("BRONCOPOLMONITE",Tabella1[[#This Row],[Patologia respiratoria]],1)),0,1)</f>
        <v>0</v>
      </c>
      <c r="BP179" s="18">
        <f>IF(ISERROR(SEARCH("ASMA, OSAS",Tabella1[[#This Row],[Patologia respiratoria]],1)),0,1)</f>
        <v>0</v>
      </c>
      <c r="BQ179" s="18">
        <f>IF(ISERROR(SEARCH("OSAS e BPCO",Tabella1[[#This Row],[Patologia respiratoria]],1)),0,1)</f>
        <v>0</v>
      </c>
      <c r="BR179" s="18">
        <f>IF(ISERROR(SEARCH("OSAS",Tabella1[[#This Row],[Patologia respiratoria]],1)),0,1)</f>
        <v>0</v>
      </c>
      <c r="BS179" s="11"/>
      <c r="BT179" s="11"/>
      <c r="BU179" s="11" t="s">
        <v>1962</v>
      </c>
      <c r="BV179" s="18">
        <f>IF(ISERROR(SEARCH("ndd",Tabella1[[#This Row],[O2 terapia]],1)),0,1)</f>
        <v>0</v>
      </c>
      <c r="BW179" s="17">
        <v>0</v>
      </c>
      <c r="BX179" s="11" t="s">
        <v>1963</v>
      </c>
      <c r="BY179" s="11" t="s">
        <v>25</v>
      </c>
      <c r="BZ179" s="18">
        <v>0</v>
      </c>
      <c r="CA179" s="11" t="s">
        <v>1964</v>
      </c>
      <c r="CB179" s="17">
        <v>1</v>
      </c>
      <c r="CC179" s="11" t="s">
        <v>25</v>
      </c>
      <c r="CD179" s="18">
        <v>0</v>
      </c>
      <c r="CE179" s="11" t="s">
        <v>25</v>
      </c>
      <c r="CF179" s="18">
        <v>0</v>
      </c>
      <c r="CG179" s="11" t="s">
        <v>1965</v>
      </c>
      <c r="CH179" s="17">
        <v>1</v>
      </c>
      <c r="CI179" s="7" t="s">
        <v>5477</v>
      </c>
      <c r="CJ179" s="18"/>
      <c r="CK179" s="11" t="s">
        <v>1036</v>
      </c>
      <c r="CL179" s="17">
        <v>1</v>
      </c>
      <c r="CM179" s="11" t="s">
        <v>28</v>
      </c>
      <c r="CN179" s="17">
        <v>1</v>
      </c>
      <c r="CO179" s="11" t="s">
        <v>28</v>
      </c>
      <c r="CP179" s="17">
        <v>1</v>
      </c>
      <c r="CQ179" s="11" t="s">
        <v>54</v>
      </c>
      <c r="CR179" s="11" t="s">
        <v>135</v>
      </c>
      <c r="CS179" s="11" t="s">
        <v>37</v>
      </c>
      <c r="CT179" s="11" t="s">
        <v>122</v>
      </c>
      <c r="CU179" s="11" t="s">
        <v>1966</v>
      </c>
      <c r="CV179" s="12" t="s">
        <v>1967</v>
      </c>
    </row>
    <row r="180" spans="1:100" ht="185.25">
      <c r="A180" s="1">
        <f t="shared" si="2"/>
        <v>179</v>
      </c>
      <c r="B180" s="5">
        <v>1091</v>
      </c>
      <c r="C180" s="6">
        <v>45211</v>
      </c>
      <c r="D180" s="7" t="s">
        <v>1968</v>
      </c>
      <c r="E180" s="6">
        <v>33338</v>
      </c>
      <c r="F180" s="29">
        <f ca="1">_xlfn.DAYS(NOW(),Tabella1[[#This Row],[Data di Nascita]])/365.25</f>
        <v>34.318959616700887</v>
      </c>
      <c r="G180" s="7" t="s">
        <v>1969</v>
      </c>
      <c r="H180" s="7" t="s">
        <v>1970</v>
      </c>
      <c r="I180" s="7" t="s">
        <v>880</v>
      </c>
      <c r="J180" s="7" t="s">
        <v>1971</v>
      </c>
      <c r="K180" s="7" t="s">
        <v>1972</v>
      </c>
      <c r="L180" s="17">
        <f>IF(ISERROR(SEARCH("EX",Tabella1[[#This Row],[Attività lavorativa]],1)),0,1)</f>
        <v>0</v>
      </c>
      <c r="M180" s="17"/>
      <c r="N180" s="17">
        <v>1</v>
      </c>
      <c r="O180" s="17"/>
      <c r="P180" s="17"/>
      <c r="Q180" s="17"/>
      <c r="R180" s="17"/>
      <c r="S180" s="17"/>
      <c r="T180" s="17">
        <f>IF(ISERROR(SEARCH("NDD",Tabella1[[#This Row],[Attività lavorativa]],1)),0,1)</f>
        <v>0</v>
      </c>
      <c r="U180" s="7" t="s">
        <v>1973</v>
      </c>
      <c r="V180" s="22">
        <v>25</v>
      </c>
      <c r="W180" s="22">
        <f>IF(ISERROR(SEARCH("ex",Tabella1[[#This Row],[Fumo]],1)),0,1)</f>
        <v>0</v>
      </c>
      <c r="X180" s="22">
        <f>IF(ISERROR(SEARCH("no",Tabella1[[#This Row],[Fumo]],1)),0,1)</f>
        <v>0</v>
      </c>
      <c r="Y180" s="7" t="s">
        <v>26</v>
      </c>
      <c r="Z180" s="17">
        <f>IF(ISERROR(SEARCH("NDD",Tabella1[[#This Row],[Bevitore alcolici]],1)),0,1)</f>
        <v>0</v>
      </c>
      <c r="AA180" s="17">
        <f>IF(ISERROR(SEARCH("raro",Tabella1[[#This Row],[Bevitore alcolici]],1)),0,1)</f>
        <v>0</v>
      </c>
      <c r="AB180" s="17">
        <f>IF(ISERROR(SEARCH("saltuariamente",Tabella1[[#This Row],[Bevitore alcolici]],1)),0,1)</f>
        <v>1</v>
      </c>
      <c r="AC180" s="17">
        <f>IF(ISERROR(SEARCH("nega",Tabella1[[#This Row],[Bevitore alcolici]],1)),0,1)</f>
        <v>0</v>
      </c>
      <c r="AD180" s="17">
        <f>IF(ISERROR(SEARCH("potus",Tabella1[[#This Row],[Bevitore alcolici]],1)),0,1)</f>
        <v>0</v>
      </c>
      <c r="AE180" s="7" t="s">
        <v>1974</v>
      </c>
      <c r="AF180" s="17"/>
      <c r="AG180" s="17"/>
      <c r="AH180" s="17"/>
      <c r="AI180" s="17"/>
      <c r="AJ180" s="17"/>
      <c r="AK180" s="7" t="s">
        <v>28</v>
      </c>
      <c r="AL180" s="17">
        <f>IF(ISERROR(SEARCH("si",Tabella1[[#This Row],[Patente di guida]],1)),0,1)</f>
        <v>1</v>
      </c>
      <c r="AM180" s="7" t="s">
        <v>8</v>
      </c>
      <c r="AN180" s="17">
        <f>IF(ISERROR(SEARCH("no",Tabella1[[#This Row],[Ipertensione]],1)),0,1)</f>
        <v>1</v>
      </c>
      <c r="AO180" s="7" t="s">
        <v>382</v>
      </c>
      <c r="AP180" s="18">
        <f>IF(ISERROR(SEARCH("NO",Tabella1[[#This Row],[Cardiopatia ischemica]],1)),1,0)</f>
        <v>0</v>
      </c>
      <c r="AQ180" s="17">
        <f>IF(ISERROR(SEARCH("sconosciuto",Tabella1[[#This Row],[Cardiopatia ischemica]],1)),0,1)</f>
        <v>0</v>
      </c>
      <c r="AR180" s="7" t="s">
        <v>25</v>
      </c>
      <c r="AS180" s="22">
        <f>IF(ISERROR(SEARCH("nega",Tabella1[[#This Row],[Artimie]],1)),0,1)</f>
        <v>1</v>
      </c>
      <c r="AT180" s="7" t="s">
        <v>25</v>
      </c>
      <c r="AU180" s="22">
        <f>IF(ISERROR(SEARCH("nega",Tabella1[[#This Row],[Ipercolesterolemia]],1)),0,1)</f>
        <v>1</v>
      </c>
      <c r="AV180" s="22">
        <f>IF(ISERROR(SEARCH("boh",Tabella1[[#This Row],[Ipercolesterolemia]],1)),0,1)</f>
        <v>0</v>
      </c>
      <c r="AW180" s="7" t="s">
        <v>8</v>
      </c>
      <c r="AX180" s="22">
        <f>IF(ISERROR(SEARCH("Intolleranza",Tabella1[[#This Row],[Diabete]],1)),0,1)</f>
        <v>0</v>
      </c>
      <c r="AY180" s="22">
        <f>IF(ISERROR(SEARCH("si",Tabella1[[#This Row],[Diabete]],1)),0,1)</f>
        <v>0</v>
      </c>
      <c r="AZ180" s="7" t="s">
        <v>8</v>
      </c>
      <c r="BA180" s="17">
        <f>IF(ISERROR(SEARCH("NDD",Tabella1[[#This Row],[Patologia Tiroidea]],1)),0,1)</f>
        <v>0</v>
      </c>
      <c r="BB180" s="22">
        <f>IF(ISERROR(SEARCH("TIROIDITE",Tabella1[[#This Row],[Patologia Tiroidea]],1)),0,1)</f>
        <v>0</v>
      </c>
      <c r="BC180" s="22">
        <f>IF(ISERROR(SEARCH("HASHIMOTO",Tabella1[[#This Row],[Patologia Tiroidea]],1)),0,1)</f>
        <v>0</v>
      </c>
      <c r="BD180" s="22">
        <f>IF(ISERROR(SEARCH("BASEDOW",Tabella1[[#This Row],[Patologia Tiroidea]],1)),0,1)</f>
        <v>0</v>
      </c>
      <c r="BE180" s="22">
        <f>IF(ISERROR(SEARCH("NOD",Tabella1[[#This Row],[Patologia Tiroidea]],1)),0,1)</f>
        <v>0</v>
      </c>
      <c r="BF180" s="22">
        <f>IF(ISERROR(SEARCH("GOZ",Tabella1[[#This Row],[Patologia Tiroidea]],1)),0,1)</f>
        <v>0</v>
      </c>
      <c r="BG180" s="7" t="s">
        <v>8</v>
      </c>
      <c r="BH180" s="17">
        <f>IF(Tabella1[[#This Row],[Obesità]]="no",0,1)</f>
        <v>0</v>
      </c>
      <c r="BI180" s="7" t="s">
        <v>28</v>
      </c>
      <c r="BJ180" s="22">
        <f>IF(ISERROR(SEARCH("nega",Tabella1[[#This Row],[Reflusso gastroesofageo]],1)),1,0)</f>
        <v>1</v>
      </c>
      <c r="BK180" s="7" t="s">
        <v>8</v>
      </c>
      <c r="BL180" s="17">
        <f>IF(ISERROR(SEARCH("NDD",Tabella1[[#This Row],[Patologia respiratoria]],1)),0,1)</f>
        <v>0</v>
      </c>
      <c r="BM180" s="17">
        <f>IF(ISERROR(SEARCH("asma",Tabella1[[#This Row],[Patologia respiratoria]],1)),0,1)</f>
        <v>0</v>
      </c>
      <c r="BN180" s="17">
        <f>IF(ISERROR(SEARCH("BPCO",Tabella1[[#This Row],[Patologia respiratoria]],1)),0,1)</f>
        <v>0</v>
      </c>
      <c r="BO180" s="17">
        <f>IF(ISERROR(SEARCH("BRONCOPOLMONITE",Tabella1[[#This Row],[Patologia respiratoria]],1)),0,1)</f>
        <v>0</v>
      </c>
      <c r="BP180" s="17">
        <f>IF(ISERROR(SEARCH("ASMA, OSAS",Tabella1[[#This Row],[Patologia respiratoria]],1)),0,1)</f>
        <v>0</v>
      </c>
      <c r="BQ180" s="17">
        <f>IF(ISERROR(SEARCH("OSAS e BPCO",Tabella1[[#This Row],[Patologia respiratoria]],1)),0,1)</f>
        <v>0</v>
      </c>
      <c r="BR180" s="17">
        <f>IF(ISERROR(SEARCH("OSAS",Tabella1[[#This Row],[Patologia respiratoria]],1)),0,1)</f>
        <v>0</v>
      </c>
      <c r="BS180" s="7"/>
      <c r="BT180" s="7" t="s">
        <v>8</v>
      </c>
      <c r="BU180" s="7" t="s">
        <v>8</v>
      </c>
      <c r="BV180" s="17">
        <f>IF(ISERROR(SEARCH("ndd",Tabella1[[#This Row],[O2 terapia]],1)),0,1)</f>
        <v>0</v>
      </c>
      <c r="BW180" s="17">
        <v>0</v>
      </c>
      <c r="BX180" s="7"/>
      <c r="BY180" s="7" t="s">
        <v>1975</v>
      </c>
      <c r="BZ180" s="17">
        <v>1</v>
      </c>
      <c r="CA180" s="7" t="s">
        <v>28</v>
      </c>
      <c r="CB180" s="17">
        <v>1</v>
      </c>
      <c r="CC180" s="7" t="s">
        <v>28</v>
      </c>
      <c r="CD180" s="17">
        <v>1</v>
      </c>
      <c r="CE180" s="7" t="s">
        <v>8</v>
      </c>
      <c r="CF180" s="18">
        <v>0</v>
      </c>
      <c r="CG180" s="7" t="s">
        <v>28</v>
      </c>
      <c r="CH180" s="17">
        <v>1</v>
      </c>
      <c r="CI180" s="7" t="s">
        <v>28</v>
      </c>
      <c r="CJ180" s="17">
        <v>1</v>
      </c>
      <c r="CK180" s="7" t="s">
        <v>8</v>
      </c>
      <c r="CL180" s="17">
        <v>0</v>
      </c>
      <c r="CM180" s="7" t="s">
        <v>8</v>
      </c>
      <c r="CN180" s="17">
        <v>0</v>
      </c>
      <c r="CO180" s="7" t="s">
        <v>28</v>
      </c>
      <c r="CP180" s="17">
        <v>1</v>
      </c>
      <c r="CQ180" s="7" t="s">
        <v>85</v>
      </c>
      <c r="CR180" s="7" t="s">
        <v>135</v>
      </c>
      <c r="CS180" s="7" t="s">
        <v>355</v>
      </c>
      <c r="CT180" s="7" t="s">
        <v>450</v>
      </c>
      <c r="CU180" s="7" t="s">
        <v>1976</v>
      </c>
      <c r="CV180" s="8" t="s">
        <v>1977</v>
      </c>
    </row>
    <row r="181" spans="1:100" ht="199.5">
      <c r="A181" s="1">
        <f t="shared" si="2"/>
        <v>180</v>
      </c>
      <c r="B181" s="9">
        <v>1102</v>
      </c>
      <c r="C181" s="10">
        <v>45217</v>
      </c>
      <c r="D181" s="11" t="s">
        <v>1978</v>
      </c>
      <c r="E181" s="10">
        <v>26781</v>
      </c>
      <c r="F181" s="29">
        <f ca="1">_xlfn.DAYS(NOW(),Tabella1[[#This Row],[Data di Nascita]])/365.25</f>
        <v>52.271047227926076</v>
      </c>
      <c r="G181" s="11" t="s">
        <v>1979</v>
      </c>
      <c r="H181" s="11" t="s">
        <v>1980</v>
      </c>
      <c r="I181" s="11" t="s">
        <v>325</v>
      </c>
      <c r="J181" s="11" t="s">
        <v>1358</v>
      </c>
      <c r="K181" s="11" t="s">
        <v>1981</v>
      </c>
      <c r="L181" s="18">
        <f>IF(ISERROR(SEARCH("EX",Tabella1[[#This Row],[Attività lavorativa]],1)),0,1)</f>
        <v>0</v>
      </c>
      <c r="M181" s="18"/>
      <c r="N181" s="18"/>
      <c r="O181" s="18"/>
      <c r="P181" s="18"/>
      <c r="Q181" s="18"/>
      <c r="R181" s="18"/>
      <c r="S181" s="18"/>
      <c r="T181" s="17">
        <f>IF(ISERROR(SEARCH("NDD",Tabella1[[#This Row],[Attività lavorativa]],1)),0,1)</f>
        <v>0</v>
      </c>
      <c r="U181" s="11" t="s">
        <v>1982</v>
      </c>
      <c r="V181" s="22">
        <v>10</v>
      </c>
      <c r="W181" s="22">
        <f>IF(ISERROR(SEARCH("ex",Tabella1[[#This Row],[Fumo]],1)),0,1)</f>
        <v>1</v>
      </c>
      <c r="X181" s="22">
        <f>IF(ISERROR(SEARCH("no",Tabella1[[#This Row],[Fumo]],1)),0,1)</f>
        <v>0</v>
      </c>
      <c r="Y181" s="11" t="s">
        <v>1395</v>
      </c>
      <c r="Z181" s="18">
        <f>IF(ISERROR(SEARCH("NDD",Tabella1[[#This Row],[Bevitore alcolici]],1)),0,1)</f>
        <v>0</v>
      </c>
      <c r="AA181" s="17">
        <f>IF(ISERROR(SEARCH("raro",Tabella1[[#This Row],[Bevitore alcolici]],1)),0,1)</f>
        <v>1</v>
      </c>
      <c r="AB181" s="17">
        <f>IF(ISERROR(SEARCH("saltuariamente",Tabella1[[#This Row],[Bevitore alcolici]],1)),0,1)</f>
        <v>0</v>
      </c>
      <c r="AC181" s="17">
        <f>IF(ISERROR(SEARCH("nega",Tabella1[[#This Row],[Bevitore alcolici]],1)),0,1)</f>
        <v>0</v>
      </c>
      <c r="AD181" s="17">
        <f>IF(ISERROR(SEARCH("potus",Tabella1[[#This Row],[Bevitore alcolici]],1)),0,1)</f>
        <v>0</v>
      </c>
      <c r="AE181" s="11" t="s">
        <v>5693</v>
      </c>
      <c r="AF181" s="18"/>
      <c r="AG181" s="18"/>
      <c r="AH181" s="18">
        <v>1</v>
      </c>
      <c r="AI181" s="18">
        <v>1</v>
      </c>
      <c r="AJ181" s="18"/>
      <c r="AK181" s="11" t="s">
        <v>8</v>
      </c>
      <c r="AL181" s="18">
        <f>IF(ISERROR(SEARCH("si",Tabella1[[#This Row],[Patente di guida]],1)),0,1)</f>
        <v>0</v>
      </c>
      <c r="AM181" s="11" t="s">
        <v>28</v>
      </c>
      <c r="AN181" s="18">
        <f>IF(ISERROR(SEARCH("no",Tabella1[[#This Row],[Ipertensione]],1)),0,1)</f>
        <v>0</v>
      </c>
      <c r="AO181" s="11" t="s">
        <v>382</v>
      </c>
      <c r="AP181" s="18">
        <f>IF(ISERROR(SEARCH("NO",Tabella1[[#This Row],[Cardiopatia ischemica]],1)),1,0)</f>
        <v>0</v>
      </c>
      <c r="AQ181" s="17">
        <f>IF(ISERROR(SEARCH("sconosciuto",Tabella1[[#This Row],[Cardiopatia ischemica]],1)),0,1)</f>
        <v>0</v>
      </c>
      <c r="AR181" s="11" t="s">
        <v>25</v>
      </c>
      <c r="AS181" s="22">
        <f>IF(ISERROR(SEARCH("nega",Tabella1[[#This Row],[Artimie]],1)),0,1)</f>
        <v>1</v>
      </c>
      <c r="AT181" s="11" t="s">
        <v>25</v>
      </c>
      <c r="AU181" s="22">
        <f>IF(ISERROR(SEARCH("nega",Tabella1[[#This Row],[Ipercolesterolemia]],1)),0,1)</f>
        <v>1</v>
      </c>
      <c r="AV181" s="22">
        <f>IF(ISERROR(SEARCH("boh",Tabella1[[#This Row],[Ipercolesterolemia]],1)),0,1)</f>
        <v>0</v>
      </c>
      <c r="AW181" s="11" t="s">
        <v>8</v>
      </c>
      <c r="AX181" s="22">
        <f>IF(ISERROR(SEARCH("Intolleranza",Tabella1[[#This Row],[Diabete]],1)),0,1)</f>
        <v>0</v>
      </c>
      <c r="AY181" s="22">
        <f>IF(ISERROR(SEARCH("si",Tabella1[[#This Row],[Diabete]],1)),0,1)</f>
        <v>0</v>
      </c>
      <c r="AZ181" s="11" t="s">
        <v>8</v>
      </c>
      <c r="BA181" s="18">
        <f>IF(ISERROR(SEARCH("NDD",Tabella1[[#This Row],[Patologia Tiroidea]],1)),0,1)</f>
        <v>0</v>
      </c>
      <c r="BB181" s="22">
        <f>IF(ISERROR(SEARCH("TIROIDITE",Tabella1[[#This Row],[Patologia Tiroidea]],1)),0,1)</f>
        <v>0</v>
      </c>
      <c r="BC181" s="22">
        <f>IF(ISERROR(SEARCH("HASHIMOTO",Tabella1[[#This Row],[Patologia Tiroidea]],1)),0,1)</f>
        <v>0</v>
      </c>
      <c r="BD181" s="22">
        <f>IF(ISERROR(SEARCH("BASEDOW",Tabella1[[#This Row],[Patologia Tiroidea]],1)),0,1)</f>
        <v>0</v>
      </c>
      <c r="BE181" s="22">
        <f>IF(ISERROR(SEARCH("NOD",Tabella1[[#This Row],[Patologia Tiroidea]],1)),0,1)</f>
        <v>0</v>
      </c>
      <c r="BF181" s="22">
        <f>IF(ISERROR(SEARCH("GOZ",Tabella1[[#This Row],[Patologia Tiroidea]],1)),0,1)</f>
        <v>0</v>
      </c>
      <c r="BG181" s="11" t="s">
        <v>8</v>
      </c>
      <c r="BH181" s="18">
        <f>IF(Tabella1[[#This Row],[Obesità]]="no",0,1)</f>
        <v>0</v>
      </c>
      <c r="BI181" s="11" t="s">
        <v>28</v>
      </c>
      <c r="BJ181" s="22">
        <f>IF(ISERROR(SEARCH("nega",Tabella1[[#This Row],[Reflusso gastroesofageo]],1)),1,0)</f>
        <v>1</v>
      </c>
      <c r="BK181" s="11" t="s">
        <v>8</v>
      </c>
      <c r="BL181" s="18">
        <f>IF(ISERROR(SEARCH("NDD",Tabella1[[#This Row],[Patologia respiratoria]],1)),0,1)</f>
        <v>0</v>
      </c>
      <c r="BM181" s="18">
        <f>IF(ISERROR(SEARCH("asma",Tabella1[[#This Row],[Patologia respiratoria]],1)),0,1)</f>
        <v>0</v>
      </c>
      <c r="BN181" s="18">
        <f>IF(ISERROR(SEARCH("BPCO",Tabella1[[#This Row],[Patologia respiratoria]],1)),0,1)</f>
        <v>0</v>
      </c>
      <c r="BO181" s="18">
        <f>IF(ISERROR(SEARCH("BRONCOPOLMONITE",Tabella1[[#This Row],[Patologia respiratoria]],1)),0,1)</f>
        <v>0</v>
      </c>
      <c r="BP181" s="18">
        <f>IF(ISERROR(SEARCH("ASMA, OSAS",Tabella1[[#This Row],[Patologia respiratoria]],1)),0,1)</f>
        <v>0</v>
      </c>
      <c r="BQ181" s="18">
        <f>IF(ISERROR(SEARCH("OSAS e BPCO",Tabella1[[#This Row],[Patologia respiratoria]],1)),0,1)</f>
        <v>0</v>
      </c>
      <c r="BR181" s="18">
        <f>IF(ISERROR(SEARCH("OSAS",Tabella1[[#This Row],[Patologia respiratoria]],1)),0,1)</f>
        <v>0</v>
      </c>
      <c r="BS181" s="11" t="s">
        <v>1983</v>
      </c>
      <c r="BT181" s="11" t="s">
        <v>1984</v>
      </c>
      <c r="BU181" s="11" t="s">
        <v>8</v>
      </c>
      <c r="BV181" s="18">
        <f>IF(ISERROR(SEARCH("ndd",Tabella1[[#This Row],[O2 terapia]],1)),0,1)</f>
        <v>0</v>
      </c>
      <c r="BW181" s="17">
        <v>0</v>
      </c>
      <c r="BX181" s="11"/>
      <c r="BY181" s="11" t="s">
        <v>8</v>
      </c>
      <c r="BZ181" s="18">
        <v>0</v>
      </c>
      <c r="CA181" s="11" t="s">
        <v>28</v>
      </c>
      <c r="CB181" s="17">
        <v>1</v>
      </c>
      <c r="CC181" s="11" t="s">
        <v>28</v>
      </c>
      <c r="CD181" s="17">
        <v>1</v>
      </c>
      <c r="CE181" s="11" t="s">
        <v>8</v>
      </c>
      <c r="CF181" s="18">
        <v>0</v>
      </c>
      <c r="CG181" s="11" t="s">
        <v>8</v>
      </c>
      <c r="CH181" s="17">
        <v>0</v>
      </c>
      <c r="CI181" s="11" t="s">
        <v>28</v>
      </c>
      <c r="CJ181" s="17">
        <v>1</v>
      </c>
      <c r="CK181" s="11" t="s">
        <v>28</v>
      </c>
      <c r="CL181" s="17">
        <v>1</v>
      </c>
      <c r="CM181" s="11" t="s">
        <v>28</v>
      </c>
      <c r="CN181" s="17">
        <v>1</v>
      </c>
      <c r="CO181" s="11" t="s">
        <v>28</v>
      </c>
      <c r="CP181" s="17">
        <v>1</v>
      </c>
      <c r="CQ181" s="11" t="s">
        <v>54</v>
      </c>
      <c r="CR181" s="11" t="s">
        <v>168</v>
      </c>
      <c r="CS181" s="11" t="s">
        <v>355</v>
      </c>
      <c r="CT181" s="11" t="s">
        <v>38</v>
      </c>
      <c r="CU181" s="11" t="s">
        <v>1985</v>
      </c>
      <c r="CV181" s="12" t="s">
        <v>1977</v>
      </c>
    </row>
    <row r="182" spans="1:100" ht="213.75">
      <c r="A182" s="1">
        <f t="shared" si="2"/>
        <v>181</v>
      </c>
      <c r="B182" s="5">
        <v>1104</v>
      </c>
      <c r="C182" s="6">
        <v>45218</v>
      </c>
      <c r="D182" s="7" t="s">
        <v>1986</v>
      </c>
      <c r="E182" s="6">
        <v>23165</v>
      </c>
      <c r="F182" s="29">
        <f ca="1">_xlfn.DAYS(NOW(),Tabella1[[#This Row],[Data di Nascita]])/365.25</f>
        <v>62.171115674195754</v>
      </c>
      <c r="G182" s="7" t="s">
        <v>1987</v>
      </c>
      <c r="H182" s="7" t="s">
        <v>1988</v>
      </c>
      <c r="I182" s="7" t="s">
        <v>1989</v>
      </c>
      <c r="J182" s="7" t="s">
        <v>1971</v>
      </c>
      <c r="K182" s="7" t="s">
        <v>881</v>
      </c>
      <c r="L182" s="17">
        <f>IF(ISERROR(SEARCH("EX",Tabella1[[#This Row],[Attività lavorativa]],1)),0,1)</f>
        <v>0</v>
      </c>
      <c r="M182" s="17"/>
      <c r="N182" s="17"/>
      <c r="O182" s="17"/>
      <c r="P182" s="17"/>
      <c r="Q182" s="17"/>
      <c r="R182" s="17"/>
      <c r="S182" s="17"/>
      <c r="T182" s="17">
        <f>IF(ISERROR(SEARCH("NDD",Tabella1[[#This Row],[Attività lavorativa]],1)),0,1)</f>
        <v>0</v>
      </c>
      <c r="U182" s="7" t="s">
        <v>1990</v>
      </c>
      <c r="V182" s="22">
        <v>20</v>
      </c>
      <c r="W182" s="22">
        <f>IF(ISERROR(SEARCH("ex",Tabella1[[#This Row],[Fumo]],1)),0,1)</f>
        <v>0</v>
      </c>
      <c r="X182" s="22">
        <f>IF(ISERROR(SEARCH("no",Tabella1[[#This Row],[Fumo]],1)),0,1)</f>
        <v>0</v>
      </c>
      <c r="Y182" s="7" t="s">
        <v>486</v>
      </c>
      <c r="Z182" s="17">
        <f>IF(ISERROR(SEARCH("NDD",Tabella1[[#This Row],[Bevitore alcolici]],1)),0,1)</f>
        <v>0</v>
      </c>
      <c r="AA182" s="17">
        <f>IF(ISERROR(SEARCH("raro",Tabella1[[#This Row],[Bevitore alcolici]],1)),0,1)</f>
        <v>0</v>
      </c>
      <c r="AB182" s="17">
        <f>IF(ISERROR(SEARCH("saltuariamente",Tabella1[[#This Row],[Bevitore alcolici]],1)),0,1)</f>
        <v>0</v>
      </c>
      <c r="AC182" s="17">
        <f>IF(ISERROR(SEARCH("nega",Tabella1[[#This Row],[Bevitore alcolici]],1)),0,1)</f>
        <v>0</v>
      </c>
      <c r="AD182" s="17">
        <f>IF(ISERROR(SEARCH("potus",Tabella1[[#This Row],[Bevitore alcolici]],1)),0,1)</f>
        <v>0</v>
      </c>
      <c r="AE182" s="7" t="s">
        <v>1991</v>
      </c>
      <c r="AF182" s="17"/>
      <c r="AG182" s="18">
        <v>1</v>
      </c>
      <c r="AH182" s="18"/>
      <c r="AI182" s="18"/>
      <c r="AJ182" s="18">
        <v>1</v>
      </c>
      <c r="AK182" s="7" t="s">
        <v>28</v>
      </c>
      <c r="AL182" s="17">
        <f>IF(ISERROR(SEARCH("si",Tabella1[[#This Row],[Patente di guida]],1)),0,1)</f>
        <v>1</v>
      </c>
      <c r="AM182" s="7" t="s">
        <v>28</v>
      </c>
      <c r="AN182" s="17">
        <f>IF(ISERROR(SEARCH("no",Tabella1[[#This Row],[Ipertensione]],1)),0,1)</f>
        <v>0</v>
      </c>
      <c r="AO182" s="7" t="s">
        <v>382</v>
      </c>
      <c r="AP182" s="18">
        <f>IF(ISERROR(SEARCH("NO",Tabella1[[#This Row],[Cardiopatia ischemica]],1)),1,0)</f>
        <v>0</v>
      </c>
      <c r="AQ182" s="17">
        <f>IF(ISERROR(SEARCH("sconosciuto",Tabella1[[#This Row],[Cardiopatia ischemica]],1)),0,1)</f>
        <v>0</v>
      </c>
      <c r="AR182" s="7" t="s">
        <v>25</v>
      </c>
      <c r="AS182" s="22">
        <f>IF(ISERROR(SEARCH("nega",Tabella1[[#This Row],[Artimie]],1)),0,1)</f>
        <v>1</v>
      </c>
      <c r="AT182" s="7" t="s">
        <v>25</v>
      </c>
      <c r="AU182" s="22">
        <f>IF(ISERROR(SEARCH("nega",Tabella1[[#This Row],[Ipercolesterolemia]],1)),0,1)</f>
        <v>1</v>
      </c>
      <c r="AV182" s="22">
        <f>IF(ISERROR(SEARCH("boh",Tabella1[[#This Row],[Ipercolesterolemia]],1)),0,1)</f>
        <v>0</v>
      </c>
      <c r="AW182" s="7" t="s">
        <v>28</v>
      </c>
      <c r="AX182" s="22">
        <f>IF(ISERROR(SEARCH("Intolleranza",Tabella1[[#This Row],[Diabete]],1)),0,1)</f>
        <v>0</v>
      </c>
      <c r="AY182" s="22">
        <f>IF(ISERROR(SEARCH("si",Tabella1[[#This Row],[Diabete]],1)),0,1)</f>
        <v>1</v>
      </c>
      <c r="AZ182" s="7" t="s">
        <v>1992</v>
      </c>
      <c r="BA182" s="17">
        <f>IF(ISERROR(SEARCH("NDD",Tabella1[[#This Row],[Patologia Tiroidea]],1)),0,1)</f>
        <v>0</v>
      </c>
      <c r="BB182" s="22">
        <f>IF(ISERROR(SEARCH("TIROIDITE",Tabella1[[#This Row],[Patologia Tiroidea]],1)),0,1)</f>
        <v>0</v>
      </c>
      <c r="BC182" s="22">
        <f>IF(ISERROR(SEARCH("HASHIMOTO",Tabella1[[#This Row],[Patologia Tiroidea]],1)),0,1)</f>
        <v>0</v>
      </c>
      <c r="BD182" s="22">
        <f>IF(ISERROR(SEARCH("BASEDOW",Tabella1[[#This Row],[Patologia Tiroidea]],1)),0,1)</f>
        <v>0</v>
      </c>
      <c r="BE182" s="22">
        <f>IF(ISERROR(SEARCH("NOD",Tabella1[[#This Row],[Patologia Tiroidea]],1)),0,1)</f>
        <v>0</v>
      </c>
      <c r="BF182" s="22">
        <f>IF(ISERROR(SEARCH("GOZ",Tabella1[[#This Row],[Patologia Tiroidea]],1)),0,1)</f>
        <v>0</v>
      </c>
      <c r="BG182" s="7" t="s">
        <v>8</v>
      </c>
      <c r="BH182" s="17">
        <f>IF(Tabella1[[#This Row],[Obesità]]="no",0,1)</f>
        <v>0</v>
      </c>
      <c r="BI182" s="7" t="s">
        <v>28</v>
      </c>
      <c r="BJ182" s="22">
        <f>IF(ISERROR(SEARCH("nega",Tabella1[[#This Row],[Reflusso gastroesofageo]],1)),1,0)</f>
        <v>1</v>
      </c>
      <c r="BK182" s="7" t="s">
        <v>8</v>
      </c>
      <c r="BL182" s="17">
        <f>IF(ISERROR(SEARCH("NDD",Tabella1[[#This Row],[Patologia respiratoria]],1)),0,1)</f>
        <v>0</v>
      </c>
      <c r="BM182" s="17">
        <f>IF(ISERROR(SEARCH("asma",Tabella1[[#This Row],[Patologia respiratoria]],1)),0,1)</f>
        <v>0</v>
      </c>
      <c r="BN182" s="17">
        <f>IF(ISERROR(SEARCH("BPCO",Tabella1[[#This Row],[Patologia respiratoria]],1)),0,1)</f>
        <v>0</v>
      </c>
      <c r="BO182" s="17">
        <f>IF(ISERROR(SEARCH("BRONCOPOLMONITE",Tabella1[[#This Row],[Patologia respiratoria]],1)),0,1)</f>
        <v>0</v>
      </c>
      <c r="BP182" s="17">
        <f>IF(ISERROR(SEARCH("ASMA, OSAS",Tabella1[[#This Row],[Patologia respiratoria]],1)),0,1)</f>
        <v>0</v>
      </c>
      <c r="BQ182" s="17">
        <f>IF(ISERROR(SEARCH("OSAS e BPCO",Tabella1[[#This Row],[Patologia respiratoria]],1)),0,1)</f>
        <v>0</v>
      </c>
      <c r="BR182" s="17">
        <f>IF(ISERROR(SEARCH("OSAS",Tabella1[[#This Row],[Patologia respiratoria]],1)),0,1)</f>
        <v>0</v>
      </c>
      <c r="BS182" s="7" t="s">
        <v>1993</v>
      </c>
      <c r="BT182" s="7" t="s">
        <v>1994</v>
      </c>
      <c r="BU182" s="7" t="s">
        <v>8</v>
      </c>
      <c r="BV182" s="17">
        <f>IF(ISERROR(SEARCH("ndd",Tabella1[[#This Row],[O2 terapia]],1)),0,1)</f>
        <v>0</v>
      </c>
      <c r="BW182" s="17">
        <v>0</v>
      </c>
      <c r="BX182" s="7" t="s">
        <v>1995</v>
      </c>
      <c r="BY182" s="7" t="s">
        <v>8</v>
      </c>
      <c r="BZ182" s="18">
        <v>0</v>
      </c>
      <c r="CA182" s="7" t="s">
        <v>28</v>
      </c>
      <c r="CB182" s="17">
        <v>1</v>
      </c>
      <c r="CC182" s="7" t="s">
        <v>28</v>
      </c>
      <c r="CD182" s="17">
        <v>1</v>
      </c>
      <c r="CE182" s="7" t="s">
        <v>8</v>
      </c>
      <c r="CF182" s="18">
        <v>0</v>
      </c>
      <c r="CG182" s="7" t="s">
        <v>1996</v>
      </c>
      <c r="CH182" s="17">
        <v>0</v>
      </c>
      <c r="CI182" s="7" t="s">
        <v>28</v>
      </c>
      <c r="CJ182" s="17">
        <v>1</v>
      </c>
      <c r="CK182" s="7" t="s">
        <v>28</v>
      </c>
      <c r="CL182" s="17">
        <v>1</v>
      </c>
      <c r="CM182" s="7" t="s">
        <v>28</v>
      </c>
      <c r="CN182" s="17">
        <v>1</v>
      </c>
      <c r="CO182" s="7" t="s">
        <v>28</v>
      </c>
      <c r="CP182" s="17">
        <v>1</v>
      </c>
      <c r="CQ182" s="7" t="s">
        <v>54</v>
      </c>
      <c r="CR182" s="7" t="s">
        <v>135</v>
      </c>
      <c r="CS182" s="7" t="s">
        <v>219</v>
      </c>
      <c r="CT182" s="7" t="s">
        <v>664</v>
      </c>
      <c r="CU182" s="7" t="s">
        <v>1997</v>
      </c>
      <c r="CV182" s="8" t="s">
        <v>1998</v>
      </c>
    </row>
    <row r="183" spans="1:100" ht="71.25">
      <c r="A183" s="1">
        <f t="shared" si="2"/>
        <v>182</v>
      </c>
      <c r="B183" s="9">
        <v>1113</v>
      </c>
      <c r="C183" s="10">
        <v>45225</v>
      </c>
      <c r="D183" s="11" t="s">
        <v>1999</v>
      </c>
      <c r="E183" s="10">
        <v>21748</v>
      </c>
      <c r="F183" s="29">
        <f ca="1">_xlfn.DAYS(NOW(),Tabella1[[#This Row],[Data di Nascita]])/365.25</f>
        <v>66.050650239561946</v>
      </c>
      <c r="G183" s="11" t="s">
        <v>2000</v>
      </c>
      <c r="H183" s="11" t="s">
        <v>2001</v>
      </c>
      <c r="I183" s="11" t="s">
        <v>2002</v>
      </c>
      <c r="J183" s="11"/>
      <c r="K183" s="11" t="s">
        <v>1780</v>
      </c>
      <c r="L183" s="18">
        <f>IF(ISERROR(SEARCH("EX",Tabella1[[#This Row],[Attività lavorativa]],1)),0,1)</f>
        <v>1</v>
      </c>
      <c r="M183" s="18"/>
      <c r="N183" s="18"/>
      <c r="O183" s="18"/>
      <c r="P183" s="18"/>
      <c r="Q183" s="18"/>
      <c r="R183" s="18"/>
      <c r="S183" s="18"/>
      <c r="T183" s="17">
        <f>IF(ISERROR(SEARCH("NDD",Tabella1[[#This Row],[Attività lavorativa]],1)),0,1)</f>
        <v>0</v>
      </c>
      <c r="U183" s="11" t="s">
        <v>8</v>
      </c>
      <c r="V183" s="22"/>
      <c r="W183" s="22">
        <f>IF(ISERROR(SEARCH("ex",Tabella1[[#This Row],[Fumo]],1)),0,1)</f>
        <v>0</v>
      </c>
      <c r="X183" s="22">
        <f>IF(ISERROR(SEARCH("no",Tabella1[[#This Row],[Fumo]],1)),0,1)</f>
        <v>1</v>
      </c>
      <c r="Y183" s="11" t="s">
        <v>25</v>
      </c>
      <c r="Z183" s="18">
        <f>IF(ISERROR(SEARCH("NDD",Tabella1[[#This Row],[Bevitore alcolici]],1)),0,1)</f>
        <v>0</v>
      </c>
      <c r="AA183" s="17">
        <f>IF(ISERROR(SEARCH("raro",Tabella1[[#This Row],[Bevitore alcolici]],1)),0,1)</f>
        <v>0</v>
      </c>
      <c r="AB183" s="17">
        <f>IF(ISERROR(SEARCH("saltuariamente",Tabella1[[#This Row],[Bevitore alcolici]],1)),0,1)</f>
        <v>0</v>
      </c>
      <c r="AC183" s="17">
        <f>IF(ISERROR(SEARCH("nega",Tabella1[[#This Row],[Bevitore alcolici]],1)),0,1)</f>
        <v>1</v>
      </c>
      <c r="AD183" s="17">
        <f>IF(ISERROR(SEARCH("potus",Tabella1[[#This Row],[Bevitore alcolici]],1)),0,1)</f>
        <v>0</v>
      </c>
      <c r="AE183" s="11" t="s">
        <v>2003</v>
      </c>
      <c r="AF183" s="18"/>
      <c r="AG183" s="18">
        <v>1</v>
      </c>
      <c r="AH183" s="18"/>
      <c r="AI183" s="18"/>
      <c r="AJ183" s="18"/>
      <c r="AK183" s="11" t="s">
        <v>194</v>
      </c>
      <c r="AL183" s="18">
        <f>IF(ISERROR(SEARCH("si",Tabella1[[#This Row],[Patente di guida]],1)),0,1)</f>
        <v>1</v>
      </c>
      <c r="AM183" s="11" t="s">
        <v>8</v>
      </c>
      <c r="AN183" s="18">
        <f>IF(ISERROR(SEARCH("no",Tabella1[[#This Row],[Ipertensione]],1)),0,1)</f>
        <v>1</v>
      </c>
      <c r="AO183" s="7" t="s">
        <v>3726</v>
      </c>
      <c r="AP183" s="18">
        <f>IF(ISERROR(SEARCH("NO",Tabella1[[#This Row],[Cardiopatia ischemica]],1)),1,0)</f>
        <v>0</v>
      </c>
      <c r="AQ183" s="17">
        <f>IF(ISERROR(SEARCH("sconosciuto",Tabella1[[#This Row],[Cardiopatia ischemica]],1)),0,1)</f>
        <v>1</v>
      </c>
      <c r="AR183" s="11" t="s">
        <v>25</v>
      </c>
      <c r="AS183" s="22">
        <f>IF(ISERROR(SEARCH("nega",Tabella1[[#This Row],[Artimie]],1)),0,1)</f>
        <v>1</v>
      </c>
      <c r="AT183" s="11" t="s">
        <v>25</v>
      </c>
      <c r="AU183" s="22">
        <f>IF(ISERROR(SEARCH("nega",Tabella1[[#This Row],[Ipercolesterolemia]],1)),0,1)</f>
        <v>1</v>
      </c>
      <c r="AV183" s="22">
        <f>IF(ISERROR(SEARCH("boh",Tabella1[[#This Row],[Ipercolesterolemia]],1)),0,1)</f>
        <v>0</v>
      </c>
      <c r="AW183" s="11" t="s">
        <v>8</v>
      </c>
      <c r="AX183" s="22">
        <f>IF(ISERROR(SEARCH("Intolleranza",Tabella1[[#This Row],[Diabete]],1)),0,1)</f>
        <v>0</v>
      </c>
      <c r="AY183" s="22">
        <f>IF(ISERROR(SEARCH("si",Tabella1[[#This Row],[Diabete]],1)),0,1)</f>
        <v>0</v>
      </c>
      <c r="AZ183" s="11" t="s">
        <v>8</v>
      </c>
      <c r="BA183" s="18">
        <f>IF(ISERROR(SEARCH("NDD",Tabella1[[#This Row],[Patologia Tiroidea]],1)),0,1)</f>
        <v>0</v>
      </c>
      <c r="BB183" s="22">
        <f>IF(ISERROR(SEARCH("TIROIDITE",Tabella1[[#This Row],[Patologia Tiroidea]],1)),0,1)</f>
        <v>0</v>
      </c>
      <c r="BC183" s="22">
        <f>IF(ISERROR(SEARCH("HASHIMOTO",Tabella1[[#This Row],[Patologia Tiroidea]],1)),0,1)</f>
        <v>0</v>
      </c>
      <c r="BD183" s="22">
        <f>IF(ISERROR(SEARCH("BASEDOW",Tabella1[[#This Row],[Patologia Tiroidea]],1)),0,1)</f>
        <v>0</v>
      </c>
      <c r="BE183" s="22">
        <f>IF(ISERROR(SEARCH("NOD",Tabella1[[#This Row],[Patologia Tiroidea]],1)),0,1)</f>
        <v>0</v>
      </c>
      <c r="BF183" s="22">
        <f>IF(ISERROR(SEARCH("GOZ",Tabella1[[#This Row],[Patologia Tiroidea]],1)),0,1)</f>
        <v>0</v>
      </c>
      <c r="BG183" s="11" t="s">
        <v>8</v>
      </c>
      <c r="BH183" s="18">
        <f>IF(Tabella1[[#This Row],[Obesità]]="no",0,1)</f>
        <v>0</v>
      </c>
      <c r="BI183" s="11" t="s">
        <v>1036</v>
      </c>
      <c r="BJ183" s="22">
        <f>IF(ISERROR(SEARCH("nega",Tabella1[[#This Row],[Reflusso gastroesofageo]],1)),1,0)</f>
        <v>1</v>
      </c>
      <c r="BK183" s="11" t="s">
        <v>2004</v>
      </c>
      <c r="BL183" s="18">
        <f>IF(ISERROR(SEARCH("NDD",Tabella1[[#This Row],[Patologia respiratoria]],1)),0,1)</f>
        <v>0</v>
      </c>
      <c r="BM183" s="18">
        <f>IF(ISERROR(SEARCH("asma",Tabella1[[#This Row],[Patologia respiratoria]],1)),0,1)</f>
        <v>0</v>
      </c>
      <c r="BN183" s="18">
        <f>IF(ISERROR(SEARCH("BPCO",Tabella1[[#This Row],[Patologia respiratoria]],1)),0,1)</f>
        <v>0</v>
      </c>
      <c r="BO183" s="18">
        <f>IF(ISERROR(SEARCH("BRONCOPOLMONITE",Tabella1[[#This Row],[Patologia respiratoria]],1)),0,1)</f>
        <v>0</v>
      </c>
      <c r="BP183" s="18">
        <f>IF(ISERROR(SEARCH("ASMA, OSAS",Tabella1[[#This Row],[Patologia respiratoria]],1)),0,1)</f>
        <v>0</v>
      </c>
      <c r="BQ183" s="18">
        <f>IF(ISERROR(SEARCH("OSAS e BPCO",Tabella1[[#This Row],[Patologia respiratoria]],1)),0,1)</f>
        <v>0</v>
      </c>
      <c r="BR183" s="18">
        <f>IF(ISERROR(SEARCH("OSAS",Tabella1[[#This Row],[Patologia respiratoria]],1)),0,1)</f>
        <v>0</v>
      </c>
      <c r="BS183" s="11" t="s">
        <v>2005</v>
      </c>
      <c r="BT183" s="11" t="s">
        <v>2006</v>
      </c>
      <c r="BU183" s="11" t="s">
        <v>8</v>
      </c>
      <c r="BV183" s="18">
        <f>IF(ISERROR(SEARCH("ndd",Tabella1[[#This Row],[O2 terapia]],1)),0,1)</f>
        <v>0</v>
      </c>
      <c r="BW183" s="17">
        <v>0</v>
      </c>
      <c r="BX183" s="11" t="s">
        <v>2007</v>
      </c>
      <c r="BY183" s="11" t="s">
        <v>2008</v>
      </c>
      <c r="BZ183" s="17">
        <v>1</v>
      </c>
      <c r="CA183" s="11" t="s">
        <v>8</v>
      </c>
      <c r="CB183" s="17">
        <v>0</v>
      </c>
      <c r="CC183" s="11" t="s">
        <v>1151</v>
      </c>
      <c r="CD183" s="17">
        <v>1</v>
      </c>
      <c r="CE183" s="11" t="s">
        <v>8</v>
      </c>
      <c r="CF183" s="18">
        <v>0</v>
      </c>
      <c r="CG183" s="11" t="s">
        <v>1307</v>
      </c>
      <c r="CH183" s="17">
        <v>1</v>
      </c>
      <c r="CI183" s="7" t="s">
        <v>5477</v>
      </c>
      <c r="CJ183" s="18"/>
      <c r="CK183" s="11" t="s">
        <v>1173</v>
      </c>
      <c r="CL183" s="17">
        <v>1</v>
      </c>
      <c r="CM183" s="11" t="s">
        <v>34</v>
      </c>
      <c r="CN183" s="17">
        <v>1</v>
      </c>
      <c r="CO183" s="11" t="s">
        <v>2009</v>
      </c>
      <c r="CP183" s="17">
        <v>1</v>
      </c>
      <c r="CQ183" s="11" t="s">
        <v>69</v>
      </c>
      <c r="CR183" s="11" t="s">
        <v>135</v>
      </c>
      <c r="CS183" s="11" t="s">
        <v>71</v>
      </c>
      <c r="CT183" s="11" t="s">
        <v>595</v>
      </c>
      <c r="CU183" s="11"/>
      <c r="CV183" s="12"/>
    </row>
    <row r="184" spans="1:100" ht="185.25">
      <c r="A184" s="1">
        <f t="shared" si="2"/>
        <v>183</v>
      </c>
      <c r="B184" s="5">
        <v>1114</v>
      </c>
      <c r="C184" s="6">
        <v>45226</v>
      </c>
      <c r="D184" s="7" t="s">
        <v>2010</v>
      </c>
      <c r="E184" s="6">
        <v>23522</v>
      </c>
      <c r="F184" s="29">
        <f ca="1">_xlfn.DAYS(NOW(),Tabella1[[#This Row],[Data di Nascita]])/365.25</f>
        <v>61.193702943189599</v>
      </c>
      <c r="G184" s="7" t="s">
        <v>2011</v>
      </c>
      <c r="H184" s="7" t="s">
        <v>2012</v>
      </c>
      <c r="I184" s="7" t="s">
        <v>955</v>
      </c>
      <c r="J184" s="7" t="s">
        <v>742</v>
      </c>
      <c r="K184" s="7" t="s">
        <v>24</v>
      </c>
      <c r="L184" s="17">
        <f>IF(ISERROR(SEARCH("EX",Tabella1[[#This Row],[Attività lavorativa]],1)),0,1)</f>
        <v>0</v>
      </c>
      <c r="M184" s="17"/>
      <c r="N184" s="17"/>
      <c r="O184" s="17"/>
      <c r="P184" s="18">
        <v>1</v>
      </c>
      <c r="Q184" s="17"/>
      <c r="R184" s="17"/>
      <c r="S184" s="17"/>
      <c r="T184" s="17">
        <f>IF(ISERROR(SEARCH("NDD",Tabella1[[#This Row],[Attività lavorativa]],1)),0,1)</f>
        <v>0</v>
      </c>
      <c r="U184" s="7" t="s">
        <v>8</v>
      </c>
      <c r="V184" s="22"/>
      <c r="W184" s="22">
        <f>IF(ISERROR(SEARCH("ex",Tabella1[[#This Row],[Fumo]],1)),0,1)</f>
        <v>0</v>
      </c>
      <c r="X184" s="22">
        <f>IF(ISERROR(SEARCH("no",Tabella1[[#This Row],[Fumo]],1)),0,1)</f>
        <v>1</v>
      </c>
      <c r="Y184" s="7" t="s">
        <v>25</v>
      </c>
      <c r="Z184" s="17">
        <f>IF(ISERROR(SEARCH("NDD",Tabella1[[#This Row],[Bevitore alcolici]],1)),0,1)</f>
        <v>0</v>
      </c>
      <c r="AA184" s="17">
        <f>IF(ISERROR(SEARCH("raro",Tabella1[[#This Row],[Bevitore alcolici]],1)),0,1)</f>
        <v>0</v>
      </c>
      <c r="AB184" s="17">
        <f>IF(ISERROR(SEARCH("saltuariamente",Tabella1[[#This Row],[Bevitore alcolici]],1)),0,1)</f>
        <v>0</v>
      </c>
      <c r="AC184" s="17">
        <f>IF(ISERROR(SEARCH("nega",Tabella1[[#This Row],[Bevitore alcolici]],1)),0,1)</f>
        <v>1</v>
      </c>
      <c r="AD184" s="17">
        <f>IF(ISERROR(SEARCH("potus",Tabella1[[#This Row],[Bevitore alcolici]],1)),0,1)</f>
        <v>0</v>
      </c>
      <c r="AE184" s="7" t="s">
        <v>657</v>
      </c>
      <c r="AF184" s="17"/>
      <c r="AG184" s="17"/>
      <c r="AH184" s="17"/>
      <c r="AI184" s="17"/>
      <c r="AJ184" s="17"/>
      <c r="AK184" s="7" t="s">
        <v>8</v>
      </c>
      <c r="AL184" s="17">
        <f>IF(ISERROR(SEARCH("si",Tabella1[[#This Row],[Patente di guida]],1)),0,1)</f>
        <v>0</v>
      </c>
      <c r="AM184" s="7" t="s">
        <v>28</v>
      </c>
      <c r="AN184" s="17">
        <f>IF(ISERROR(SEARCH("no",Tabella1[[#This Row],[Ipertensione]],1)),0,1)</f>
        <v>0</v>
      </c>
      <c r="AO184" s="7" t="s">
        <v>382</v>
      </c>
      <c r="AP184" s="18">
        <f>IF(ISERROR(SEARCH("NO",Tabella1[[#This Row],[Cardiopatia ischemica]],1)),1,0)</f>
        <v>0</v>
      </c>
      <c r="AQ184" s="17">
        <f>IF(ISERROR(SEARCH("sconosciuto",Tabella1[[#This Row],[Cardiopatia ischemica]],1)),0,1)</f>
        <v>0</v>
      </c>
      <c r="AR184" s="7" t="s">
        <v>25</v>
      </c>
      <c r="AS184" s="22">
        <f>IF(ISERROR(SEARCH("nega",Tabella1[[#This Row],[Artimie]],1)),0,1)</f>
        <v>1</v>
      </c>
      <c r="AT184" s="7" t="s">
        <v>28</v>
      </c>
      <c r="AU184" s="22">
        <f>IF(ISERROR(SEARCH("nega",Tabella1[[#This Row],[Ipercolesterolemia]],1)),0,1)</f>
        <v>0</v>
      </c>
      <c r="AV184" s="22">
        <f>IF(ISERROR(SEARCH("boh",Tabella1[[#This Row],[Ipercolesterolemia]],1)),0,1)</f>
        <v>0</v>
      </c>
      <c r="AW184" s="7" t="s">
        <v>8</v>
      </c>
      <c r="AX184" s="22">
        <f>IF(ISERROR(SEARCH("Intolleranza",Tabella1[[#This Row],[Diabete]],1)),0,1)</f>
        <v>0</v>
      </c>
      <c r="AY184" s="22">
        <f>IF(ISERROR(SEARCH("si",Tabella1[[#This Row],[Diabete]],1)),0,1)</f>
        <v>0</v>
      </c>
      <c r="AZ184" s="7" t="s">
        <v>8</v>
      </c>
      <c r="BA184" s="17">
        <f>IF(ISERROR(SEARCH("NDD",Tabella1[[#This Row],[Patologia Tiroidea]],1)),0,1)</f>
        <v>0</v>
      </c>
      <c r="BB184" s="22">
        <f>IF(ISERROR(SEARCH("TIROIDITE",Tabella1[[#This Row],[Patologia Tiroidea]],1)),0,1)</f>
        <v>0</v>
      </c>
      <c r="BC184" s="22">
        <f>IF(ISERROR(SEARCH("HASHIMOTO",Tabella1[[#This Row],[Patologia Tiroidea]],1)),0,1)</f>
        <v>0</v>
      </c>
      <c r="BD184" s="22">
        <f>IF(ISERROR(SEARCH("BASEDOW",Tabella1[[#This Row],[Patologia Tiroidea]],1)),0,1)</f>
        <v>0</v>
      </c>
      <c r="BE184" s="22">
        <f>IF(ISERROR(SEARCH("NOD",Tabella1[[#This Row],[Patologia Tiroidea]],1)),0,1)</f>
        <v>0</v>
      </c>
      <c r="BF184" s="22">
        <f>IF(ISERROR(SEARCH("GOZ",Tabella1[[#This Row],[Patologia Tiroidea]],1)),0,1)</f>
        <v>0</v>
      </c>
      <c r="BG184" s="7" t="s">
        <v>28</v>
      </c>
      <c r="BH184" s="17">
        <f>IF(Tabella1[[#This Row],[Obesità]]="no",0,1)</f>
        <v>1</v>
      </c>
      <c r="BI184" s="7" t="s">
        <v>28</v>
      </c>
      <c r="BJ184" s="22">
        <f>IF(ISERROR(SEARCH("nega",Tabella1[[#This Row],[Reflusso gastroesofageo]],1)),1,0)</f>
        <v>1</v>
      </c>
      <c r="BK184" s="7" t="s">
        <v>3799</v>
      </c>
      <c r="BL184" s="17">
        <f>IF(ISERROR(SEARCH("NDD",Tabella1[[#This Row],[Patologia respiratoria]],1)),0,1)</f>
        <v>0</v>
      </c>
      <c r="BM184" s="17">
        <f>IF(ISERROR(SEARCH("asma",Tabella1[[#This Row],[Patologia respiratoria]],1)),0,1)</f>
        <v>1</v>
      </c>
      <c r="BN184" s="17">
        <f>IF(ISERROR(SEARCH("BPCO",Tabella1[[#This Row],[Patologia respiratoria]],1)),0,1)</f>
        <v>0</v>
      </c>
      <c r="BO184" s="17">
        <f>IF(ISERROR(SEARCH("BRONCOPOLMONITE",Tabella1[[#This Row],[Patologia respiratoria]],1)),0,1)</f>
        <v>0</v>
      </c>
      <c r="BP184" s="17">
        <f>IF(ISERROR(SEARCH("ASMA, OSAS",Tabella1[[#This Row],[Patologia respiratoria]],1)),0,1)</f>
        <v>0</v>
      </c>
      <c r="BQ184" s="17">
        <f>IF(ISERROR(SEARCH("OSAS e BPCO",Tabella1[[#This Row],[Patologia respiratoria]],1)),0,1)</f>
        <v>0</v>
      </c>
      <c r="BR184" s="17">
        <f>IF(ISERROR(SEARCH("OSAS",Tabella1[[#This Row],[Patologia respiratoria]],1)),0,1)</f>
        <v>0</v>
      </c>
      <c r="BS184" s="7" t="s">
        <v>2013</v>
      </c>
      <c r="BT184" s="7" t="s">
        <v>2014</v>
      </c>
      <c r="BU184" s="7" t="s">
        <v>8</v>
      </c>
      <c r="BV184" s="17">
        <f>IF(ISERROR(SEARCH("ndd",Tabella1[[#This Row],[O2 terapia]],1)),0,1)</f>
        <v>0</v>
      </c>
      <c r="BW184" s="17">
        <v>0</v>
      </c>
      <c r="BX184" s="7" t="s">
        <v>2015</v>
      </c>
      <c r="BY184" s="7" t="s">
        <v>2016</v>
      </c>
      <c r="BZ184" s="17">
        <v>1</v>
      </c>
      <c r="CA184" s="7" t="s">
        <v>28</v>
      </c>
      <c r="CB184" s="17">
        <v>1</v>
      </c>
      <c r="CC184" s="7" t="s">
        <v>28</v>
      </c>
      <c r="CD184" s="17">
        <v>1</v>
      </c>
      <c r="CE184" s="7" t="s">
        <v>8</v>
      </c>
      <c r="CF184" s="18">
        <v>0</v>
      </c>
      <c r="CG184" s="7" t="s">
        <v>8</v>
      </c>
      <c r="CH184" s="17">
        <v>0</v>
      </c>
      <c r="CI184" s="7" t="s">
        <v>28</v>
      </c>
      <c r="CJ184" s="17">
        <v>1</v>
      </c>
      <c r="CK184" s="7" t="s">
        <v>2017</v>
      </c>
      <c r="CL184" s="17">
        <v>1</v>
      </c>
      <c r="CM184" s="7" t="s">
        <v>272</v>
      </c>
      <c r="CN184" s="17">
        <v>1</v>
      </c>
      <c r="CO184" s="7" t="s">
        <v>8</v>
      </c>
      <c r="CP184" s="18">
        <v>0</v>
      </c>
      <c r="CQ184" s="7" t="s">
        <v>202</v>
      </c>
      <c r="CR184" s="7" t="s">
        <v>279</v>
      </c>
      <c r="CS184" s="7" t="s">
        <v>219</v>
      </c>
      <c r="CT184" s="7" t="s">
        <v>15</v>
      </c>
      <c r="CU184" s="7" t="s">
        <v>2018</v>
      </c>
      <c r="CV184" s="8" t="s">
        <v>2019</v>
      </c>
    </row>
    <row r="185" spans="1:100" ht="128.25">
      <c r="A185" s="1">
        <f t="shared" si="2"/>
        <v>184</v>
      </c>
      <c r="B185" s="9">
        <v>1116</v>
      </c>
      <c r="C185" s="11"/>
      <c r="D185" s="11" t="s">
        <v>2020</v>
      </c>
      <c r="E185" s="10">
        <v>16935</v>
      </c>
      <c r="F185" s="29">
        <f ca="1">_xlfn.DAYS(NOW(),Tabella1[[#This Row],[Data di Nascita]])/365.25</f>
        <v>79.227926078028744</v>
      </c>
      <c r="G185" s="11" t="s">
        <v>2021</v>
      </c>
      <c r="H185" s="11" t="s">
        <v>2022</v>
      </c>
      <c r="I185" s="11" t="s">
        <v>1492</v>
      </c>
      <c r="J185" s="11" t="s">
        <v>1700</v>
      </c>
      <c r="K185" s="11" t="s">
        <v>5611</v>
      </c>
      <c r="L185" s="18">
        <f>IF(ISERROR(SEARCH("EX",Tabella1[[#This Row],[Attività lavorativa]],1)),0,1)</f>
        <v>1</v>
      </c>
      <c r="M185" s="18"/>
      <c r="N185" s="17">
        <v>1</v>
      </c>
      <c r="O185" s="17"/>
      <c r="P185" s="17"/>
      <c r="Q185" s="17"/>
      <c r="R185" s="17"/>
      <c r="S185" s="17"/>
      <c r="T185" s="17">
        <f>IF(ISERROR(SEARCH("NDD",Tabella1[[#This Row],[Attività lavorativa]],1)),0,1)</f>
        <v>0</v>
      </c>
      <c r="U185" s="11" t="s">
        <v>2023</v>
      </c>
      <c r="V185" s="22">
        <v>30</v>
      </c>
      <c r="W185" s="22">
        <f>IF(ISERROR(SEARCH("ex",Tabella1[[#This Row],[Fumo]],1)),0,1)</f>
        <v>1</v>
      </c>
      <c r="X185" s="22">
        <f>IF(ISERROR(SEARCH("no",Tabella1[[#This Row],[Fumo]],1)),0,1)</f>
        <v>0</v>
      </c>
      <c r="Y185" s="11" t="s">
        <v>486</v>
      </c>
      <c r="Z185" s="18">
        <f>IF(ISERROR(SEARCH("NDD",Tabella1[[#This Row],[Bevitore alcolici]],1)),0,1)</f>
        <v>0</v>
      </c>
      <c r="AA185" s="17">
        <f>IF(ISERROR(SEARCH("raro",Tabella1[[#This Row],[Bevitore alcolici]],1)),0,1)</f>
        <v>0</v>
      </c>
      <c r="AB185" s="17">
        <f>IF(ISERROR(SEARCH("saltuariamente",Tabella1[[#This Row],[Bevitore alcolici]],1)),0,1)</f>
        <v>0</v>
      </c>
      <c r="AC185" s="17">
        <f>IF(ISERROR(SEARCH("nega",Tabella1[[#This Row],[Bevitore alcolici]],1)),0,1)</f>
        <v>0</v>
      </c>
      <c r="AD185" s="17">
        <f>IF(ISERROR(SEARCH("potus",Tabella1[[#This Row],[Bevitore alcolici]],1)),0,1)</f>
        <v>0</v>
      </c>
      <c r="AE185" s="11" t="s">
        <v>657</v>
      </c>
      <c r="AF185" s="18"/>
      <c r="AG185" s="18"/>
      <c r="AH185" s="18"/>
      <c r="AI185" s="18"/>
      <c r="AJ185" s="18"/>
      <c r="AK185" s="11" t="s">
        <v>28</v>
      </c>
      <c r="AL185" s="18">
        <f>IF(ISERROR(SEARCH("si",Tabella1[[#This Row],[Patente di guida]],1)),0,1)</f>
        <v>1</v>
      </c>
      <c r="AM185" s="11" t="s">
        <v>8</v>
      </c>
      <c r="AN185" s="18">
        <f>IF(ISERROR(SEARCH("no",Tabella1[[#This Row],[Ipertensione]],1)),0,1)</f>
        <v>1</v>
      </c>
      <c r="AO185" s="11" t="s">
        <v>28</v>
      </c>
      <c r="AP185" s="18">
        <f>IF(ISERROR(SEARCH("NO",Tabella1[[#This Row],[Cardiopatia ischemica]],1)),1,0)</f>
        <v>1</v>
      </c>
      <c r="AQ185" s="17">
        <f>IF(ISERROR(SEARCH("sconosciuto",Tabella1[[#This Row],[Cardiopatia ischemica]],1)),0,1)</f>
        <v>0</v>
      </c>
      <c r="AR185" s="11" t="s">
        <v>25</v>
      </c>
      <c r="AS185" s="22">
        <f>IF(ISERROR(SEARCH("nega",Tabella1[[#This Row],[Artimie]],1)),0,1)</f>
        <v>1</v>
      </c>
      <c r="AT185" s="11" t="s">
        <v>28</v>
      </c>
      <c r="AU185" s="22">
        <f>IF(ISERROR(SEARCH("nega",Tabella1[[#This Row],[Ipercolesterolemia]],1)),0,1)</f>
        <v>0</v>
      </c>
      <c r="AV185" s="22">
        <f>IF(ISERROR(SEARCH("boh",Tabella1[[#This Row],[Ipercolesterolemia]],1)),0,1)</f>
        <v>0</v>
      </c>
      <c r="AW185" s="11" t="s">
        <v>8</v>
      </c>
      <c r="AX185" s="22">
        <f>IF(ISERROR(SEARCH("Intolleranza",Tabella1[[#This Row],[Diabete]],1)),0,1)</f>
        <v>0</v>
      </c>
      <c r="AY185" s="22">
        <f>IF(ISERROR(SEARCH("si",Tabella1[[#This Row],[Diabete]],1)),0,1)</f>
        <v>0</v>
      </c>
      <c r="AZ185" s="11" t="s">
        <v>8</v>
      </c>
      <c r="BA185" s="18">
        <f>IF(ISERROR(SEARCH("NDD",Tabella1[[#This Row],[Patologia Tiroidea]],1)),0,1)</f>
        <v>0</v>
      </c>
      <c r="BB185" s="22">
        <f>IF(ISERROR(SEARCH("TIROIDITE",Tabella1[[#This Row],[Patologia Tiroidea]],1)),0,1)</f>
        <v>0</v>
      </c>
      <c r="BC185" s="22">
        <f>IF(ISERROR(SEARCH("HASHIMOTO",Tabella1[[#This Row],[Patologia Tiroidea]],1)),0,1)</f>
        <v>0</v>
      </c>
      <c r="BD185" s="22">
        <f>IF(ISERROR(SEARCH("BASEDOW",Tabella1[[#This Row],[Patologia Tiroidea]],1)),0,1)</f>
        <v>0</v>
      </c>
      <c r="BE185" s="22">
        <f>IF(ISERROR(SEARCH("NOD",Tabella1[[#This Row],[Patologia Tiroidea]],1)),0,1)</f>
        <v>0</v>
      </c>
      <c r="BF185" s="22">
        <f>IF(ISERROR(SEARCH("GOZ",Tabella1[[#This Row],[Patologia Tiroidea]],1)),0,1)</f>
        <v>0</v>
      </c>
      <c r="BG185" s="11" t="s">
        <v>8</v>
      </c>
      <c r="BH185" s="18">
        <f>IF(Tabella1[[#This Row],[Obesità]]="no",0,1)</f>
        <v>0</v>
      </c>
      <c r="BI185" s="11" t="s">
        <v>25</v>
      </c>
      <c r="BJ185" s="22">
        <f>IF(ISERROR(SEARCH("nega",Tabella1[[#This Row],[Reflusso gastroesofageo]],1)),1,0)</f>
        <v>0</v>
      </c>
      <c r="BK185" s="11" t="s">
        <v>8</v>
      </c>
      <c r="BL185" s="18">
        <f>IF(ISERROR(SEARCH("NDD",Tabella1[[#This Row],[Patologia respiratoria]],1)),0,1)</f>
        <v>0</v>
      </c>
      <c r="BM185" s="18">
        <f>IF(ISERROR(SEARCH("asma",Tabella1[[#This Row],[Patologia respiratoria]],1)),0,1)</f>
        <v>0</v>
      </c>
      <c r="BN185" s="18">
        <f>IF(ISERROR(SEARCH("BPCO",Tabella1[[#This Row],[Patologia respiratoria]],1)),0,1)</f>
        <v>0</v>
      </c>
      <c r="BO185" s="18">
        <f>IF(ISERROR(SEARCH("BRONCOPOLMONITE",Tabella1[[#This Row],[Patologia respiratoria]],1)),0,1)</f>
        <v>0</v>
      </c>
      <c r="BP185" s="18">
        <f>IF(ISERROR(SEARCH("ASMA, OSAS",Tabella1[[#This Row],[Patologia respiratoria]],1)),0,1)</f>
        <v>0</v>
      </c>
      <c r="BQ185" s="18">
        <f>IF(ISERROR(SEARCH("OSAS e BPCO",Tabella1[[#This Row],[Patologia respiratoria]],1)),0,1)</f>
        <v>0</v>
      </c>
      <c r="BR185" s="18">
        <f>IF(ISERROR(SEARCH("OSAS",Tabella1[[#This Row],[Patologia respiratoria]],1)),0,1)</f>
        <v>0</v>
      </c>
      <c r="BS185" s="11"/>
      <c r="BT185" s="11" t="s">
        <v>2024</v>
      </c>
      <c r="BU185" s="11" t="s">
        <v>8</v>
      </c>
      <c r="BV185" s="18">
        <f>IF(ISERROR(SEARCH("ndd",Tabella1[[#This Row],[O2 terapia]],1)),0,1)</f>
        <v>0</v>
      </c>
      <c r="BW185" s="17">
        <v>0</v>
      </c>
      <c r="BX185" s="11"/>
      <c r="BY185" s="11" t="s">
        <v>8</v>
      </c>
      <c r="BZ185" s="18">
        <v>0</v>
      </c>
      <c r="CA185" s="11" t="s">
        <v>8</v>
      </c>
      <c r="CB185" s="17">
        <v>0</v>
      </c>
      <c r="CC185" s="11" t="s">
        <v>8</v>
      </c>
      <c r="CD185" s="18">
        <v>0</v>
      </c>
      <c r="CE185" s="11" t="s">
        <v>8</v>
      </c>
      <c r="CF185" s="18">
        <v>0</v>
      </c>
      <c r="CG185" s="11" t="s">
        <v>8</v>
      </c>
      <c r="CH185" s="17">
        <v>0</v>
      </c>
      <c r="CI185" s="11" t="s">
        <v>8</v>
      </c>
      <c r="CJ185" s="18">
        <v>0</v>
      </c>
      <c r="CK185" s="11" t="s">
        <v>8</v>
      </c>
      <c r="CL185" s="17">
        <v>0</v>
      </c>
      <c r="CM185" s="11" t="s">
        <v>28</v>
      </c>
      <c r="CN185" s="17">
        <v>1</v>
      </c>
      <c r="CO185" s="11" t="s">
        <v>8</v>
      </c>
      <c r="CP185" s="18">
        <v>0</v>
      </c>
      <c r="CQ185" s="11" t="s">
        <v>85</v>
      </c>
      <c r="CR185" s="11" t="s">
        <v>135</v>
      </c>
      <c r="CS185" s="11" t="s">
        <v>355</v>
      </c>
      <c r="CT185" s="11" t="s">
        <v>122</v>
      </c>
      <c r="CU185" s="11" t="s">
        <v>2025</v>
      </c>
      <c r="CV185" s="12" t="s">
        <v>2026</v>
      </c>
    </row>
    <row r="186" spans="1:100" ht="185.25">
      <c r="A186" s="1">
        <f t="shared" si="2"/>
        <v>185</v>
      </c>
      <c r="B186" s="5">
        <v>1121</v>
      </c>
      <c r="C186" s="6">
        <v>45230</v>
      </c>
      <c r="D186" s="7" t="s">
        <v>2027</v>
      </c>
      <c r="E186" s="6">
        <v>19863</v>
      </c>
      <c r="F186" s="29">
        <f ca="1">_xlfn.DAYS(NOW(),Tabella1[[#This Row],[Data di Nascita]])/365.25</f>
        <v>71.21149897330595</v>
      </c>
      <c r="G186" s="7" t="s">
        <v>2028</v>
      </c>
      <c r="H186" s="7" t="s">
        <v>2029</v>
      </c>
      <c r="I186" s="7" t="s">
        <v>880</v>
      </c>
      <c r="J186" s="7" t="s">
        <v>1358</v>
      </c>
      <c r="K186" s="7" t="s">
        <v>5612</v>
      </c>
      <c r="L186" s="17">
        <f>IF(ISERROR(SEARCH("EX",Tabella1[[#This Row],[Attività lavorativa]],1)),0,1)</f>
        <v>1</v>
      </c>
      <c r="M186" s="17"/>
      <c r="N186" s="17"/>
      <c r="O186" s="18">
        <v>1</v>
      </c>
      <c r="P186" s="18"/>
      <c r="Q186" s="18"/>
      <c r="R186" s="18"/>
      <c r="S186" s="18"/>
      <c r="T186" s="17">
        <f>IF(ISERROR(SEARCH("NDD",Tabella1[[#This Row],[Attività lavorativa]],1)),0,1)</f>
        <v>0</v>
      </c>
      <c r="U186" s="7" t="s">
        <v>1982</v>
      </c>
      <c r="V186" s="22">
        <v>10</v>
      </c>
      <c r="W186" s="22">
        <f>IF(ISERROR(SEARCH("ex",Tabella1[[#This Row],[Fumo]],1)),0,1)</f>
        <v>1</v>
      </c>
      <c r="X186" s="22">
        <f>IF(ISERROR(SEARCH("no",Tabella1[[#This Row],[Fumo]],1)),0,1)</f>
        <v>0</v>
      </c>
      <c r="Y186" s="7" t="s">
        <v>25</v>
      </c>
      <c r="Z186" s="17">
        <f>IF(ISERROR(SEARCH("NDD",Tabella1[[#This Row],[Bevitore alcolici]],1)),0,1)</f>
        <v>0</v>
      </c>
      <c r="AA186" s="17">
        <f>IF(ISERROR(SEARCH("raro",Tabella1[[#This Row],[Bevitore alcolici]],1)),0,1)</f>
        <v>0</v>
      </c>
      <c r="AB186" s="17">
        <f>IF(ISERROR(SEARCH("saltuariamente",Tabella1[[#This Row],[Bevitore alcolici]],1)),0,1)</f>
        <v>0</v>
      </c>
      <c r="AC186" s="17">
        <f>IF(ISERROR(SEARCH("nega",Tabella1[[#This Row],[Bevitore alcolici]],1)),0,1)</f>
        <v>1</v>
      </c>
      <c r="AD186" s="17">
        <f>IF(ISERROR(SEARCH("potus",Tabella1[[#This Row],[Bevitore alcolici]],1)),0,1)</f>
        <v>0</v>
      </c>
      <c r="AE186" s="7" t="s">
        <v>2030</v>
      </c>
      <c r="AF186" s="17"/>
      <c r="AG186" s="17"/>
      <c r="AH186" s="18">
        <v>1</v>
      </c>
      <c r="AI186" s="18"/>
      <c r="AJ186" s="18"/>
      <c r="AK186" s="7" t="s">
        <v>28</v>
      </c>
      <c r="AL186" s="17">
        <f>IF(ISERROR(SEARCH("si",Tabella1[[#This Row],[Patente di guida]],1)),0,1)</f>
        <v>1</v>
      </c>
      <c r="AM186" s="7" t="s">
        <v>8</v>
      </c>
      <c r="AN186" s="17">
        <f>IF(ISERROR(SEARCH("no",Tabella1[[#This Row],[Ipertensione]],1)),0,1)</f>
        <v>1</v>
      </c>
      <c r="AO186" s="7" t="s">
        <v>28</v>
      </c>
      <c r="AP186" s="18">
        <f>IF(ISERROR(SEARCH("NO",Tabella1[[#This Row],[Cardiopatia ischemica]],1)),1,0)</f>
        <v>1</v>
      </c>
      <c r="AQ186" s="17">
        <f>IF(ISERROR(SEARCH("sconosciuto",Tabella1[[#This Row],[Cardiopatia ischemica]],1)),0,1)</f>
        <v>0</v>
      </c>
      <c r="AR186" s="7" t="s">
        <v>28</v>
      </c>
      <c r="AS186" s="22">
        <f>IF(ISERROR(SEARCH("nega",Tabella1[[#This Row],[Artimie]],1)),0,1)</f>
        <v>0</v>
      </c>
      <c r="AT186" s="7" t="s">
        <v>28</v>
      </c>
      <c r="AU186" s="22">
        <f>IF(ISERROR(SEARCH("nega",Tabella1[[#This Row],[Ipercolesterolemia]],1)),0,1)</f>
        <v>0</v>
      </c>
      <c r="AV186" s="22">
        <f>IF(ISERROR(SEARCH("boh",Tabella1[[#This Row],[Ipercolesterolemia]],1)),0,1)</f>
        <v>0</v>
      </c>
      <c r="AW186" s="7" t="s">
        <v>8</v>
      </c>
      <c r="AX186" s="22">
        <f>IF(ISERROR(SEARCH("Intolleranza",Tabella1[[#This Row],[Diabete]],1)),0,1)</f>
        <v>0</v>
      </c>
      <c r="AY186" s="22">
        <f>IF(ISERROR(SEARCH("si",Tabella1[[#This Row],[Diabete]],1)),0,1)</f>
        <v>0</v>
      </c>
      <c r="AZ186" s="7" t="s">
        <v>8</v>
      </c>
      <c r="BA186" s="17">
        <f>IF(ISERROR(SEARCH("NDD",Tabella1[[#This Row],[Patologia Tiroidea]],1)),0,1)</f>
        <v>0</v>
      </c>
      <c r="BB186" s="22">
        <f>IF(ISERROR(SEARCH("TIROIDITE",Tabella1[[#This Row],[Patologia Tiroidea]],1)),0,1)</f>
        <v>0</v>
      </c>
      <c r="BC186" s="22">
        <f>IF(ISERROR(SEARCH("HASHIMOTO",Tabella1[[#This Row],[Patologia Tiroidea]],1)),0,1)</f>
        <v>0</v>
      </c>
      <c r="BD186" s="22">
        <f>IF(ISERROR(SEARCH("BASEDOW",Tabella1[[#This Row],[Patologia Tiroidea]],1)),0,1)</f>
        <v>0</v>
      </c>
      <c r="BE186" s="22">
        <f>IF(ISERROR(SEARCH("NOD",Tabella1[[#This Row],[Patologia Tiroidea]],1)),0,1)</f>
        <v>0</v>
      </c>
      <c r="BF186" s="22">
        <f>IF(ISERROR(SEARCH("GOZ",Tabella1[[#This Row],[Patologia Tiroidea]],1)),0,1)</f>
        <v>0</v>
      </c>
      <c r="BG186" s="7" t="s">
        <v>8</v>
      </c>
      <c r="BH186" s="17">
        <f>IF(Tabella1[[#This Row],[Obesità]]="no",0,1)</f>
        <v>0</v>
      </c>
      <c r="BI186" s="7" t="s">
        <v>25</v>
      </c>
      <c r="BJ186" s="22">
        <f>IF(ISERROR(SEARCH("nega",Tabella1[[#This Row],[Reflusso gastroesofageo]],1)),1,0)</f>
        <v>0</v>
      </c>
      <c r="BK186" s="7" t="s">
        <v>8</v>
      </c>
      <c r="BL186" s="17">
        <f>IF(ISERROR(SEARCH("NDD",Tabella1[[#This Row],[Patologia respiratoria]],1)),0,1)</f>
        <v>0</v>
      </c>
      <c r="BM186" s="17">
        <f>IF(ISERROR(SEARCH("asma",Tabella1[[#This Row],[Patologia respiratoria]],1)),0,1)</f>
        <v>0</v>
      </c>
      <c r="BN186" s="17">
        <f>IF(ISERROR(SEARCH("BPCO",Tabella1[[#This Row],[Patologia respiratoria]],1)),0,1)</f>
        <v>0</v>
      </c>
      <c r="BO186" s="17">
        <f>IF(ISERROR(SEARCH("BRONCOPOLMONITE",Tabella1[[#This Row],[Patologia respiratoria]],1)),0,1)</f>
        <v>0</v>
      </c>
      <c r="BP186" s="17">
        <f>IF(ISERROR(SEARCH("ASMA, OSAS",Tabella1[[#This Row],[Patologia respiratoria]],1)),0,1)</f>
        <v>0</v>
      </c>
      <c r="BQ186" s="17">
        <f>IF(ISERROR(SEARCH("OSAS e BPCO",Tabella1[[#This Row],[Patologia respiratoria]],1)),0,1)</f>
        <v>0</v>
      </c>
      <c r="BR186" s="17">
        <f>IF(ISERROR(SEARCH("OSAS",Tabella1[[#This Row],[Patologia respiratoria]],1)),0,1)</f>
        <v>0</v>
      </c>
      <c r="BS186" s="7"/>
      <c r="BT186" s="7" t="s">
        <v>2031</v>
      </c>
      <c r="BU186" s="7" t="s">
        <v>8</v>
      </c>
      <c r="BV186" s="17">
        <f>IF(ISERROR(SEARCH("ndd",Tabella1[[#This Row],[O2 terapia]],1)),0,1)</f>
        <v>0</v>
      </c>
      <c r="BW186" s="17">
        <v>0</v>
      </c>
      <c r="BX186" s="7"/>
      <c r="BY186" s="7" t="s">
        <v>354</v>
      </c>
      <c r="BZ186" s="17">
        <v>1</v>
      </c>
      <c r="CA186" s="7" t="s">
        <v>8</v>
      </c>
      <c r="CB186" s="17">
        <v>0</v>
      </c>
      <c r="CC186" s="7" t="s">
        <v>28</v>
      </c>
      <c r="CD186" s="17">
        <v>1</v>
      </c>
      <c r="CE186" s="7" t="s">
        <v>8</v>
      </c>
      <c r="CF186" s="18">
        <v>0</v>
      </c>
      <c r="CG186" s="7" t="s">
        <v>28</v>
      </c>
      <c r="CH186" s="17">
        <v>1</v>
      </c>
      <c r="CI186" s="7" t="s">
        <v>8</v>
      </c>
      <c r="CJ186" s="18">
        <v>0</v>
      </c>
      <c r="CK186" s="7" t="s">
        <v>8</v>
      </c>
      <c r="CL186" s="17">
        <v>0</v>
      </c>
      <c r="CM186" s="7" t="s">
        <v>28</v>
      </c>
      <c r="CN186" s="17">
        <v>1</v>
      </c>
      <c r="CO186" s="7" t="s">
        <v>8</v>
      </c>
      <c r="CP186" s="18">
        <v>0</v>
      </c>
      <c r="CQ186" s="7" t="s">
        <v>54</v>
      </c>
      <c r="CR186" s="7" t="s">
        <v>135</v>
      </c>
      <c r="CS186" s="7" t="s">
        <v>71</v>
      </c>
      <c r="CT186" s="7" t="s">
        <v>1922</v>
      </c>
      <c r="CU186" s="7" t="s">
        <v>1976</v>
      </c>
      <c r="CV186" s="8" t="s">
        <v>1382</v>
      </c>
    </row>
    <row r="187" spans="1:100" ht="213.75">
      <c r="A187" s="1">
        <f t="shared" si="2"/>
        <v>186</v>
      </c>
      <c r="B187" s="9">
        <v>1123</v>
      </c>
      <c r="C187" s="10">
        <v>45233</v>
      </c>
      <c r="D187" s="11" t="s">
        <v>2032</v>
      </c>
      <c r="E187" s="10">
        <v>20872</v>
      </c>
      <c r="F187" s="29">
        <f ca="1">_xlfn.DAYS(NOW(),Tabella1[[#This Row],[Data di Nascita]])/365.25</f>
        <v>68.44900752908967</v>
      </c>
      <c r="G187" s="11" t="s">
        <v>2033</v>
      </c>
      <c r="H187" s="11" t="s">
        <v>2034</v>
      </c>
      <c r="I187" s="11" t="s">
        <v>1116</v>
      </c>
      <c r="J187" s="11" t="s">
        <v>742</v>
      </c>
      <c r="K187" s="11" t="s">
        <v>5613</v>
      </c>
      <c r="L187" s="18">
        <f>IF(ISERROR(SEARCH("EX",Tabella1[[#This Row],[Attività lavorativa]],1)),0,1)</f>
        <v>1</v>
      </c>
      <c r="M187" s="18"/>
      <c r="N187" s="18"/>
      <c r="O187" s="18"/>
      <c r="P187" s="18"/>
      <c r="Q187" s="18"/>
      <c r="R187" s="18"/>
      <c r="S187" s="17">
        <v>1</v>
      </c>
      <c r="T187" s="17">
        <f>IF(ISERROR(SEARCH("NDD",Tabella1[[#This Row],[Attività lavorativa]],1)),0,1)</f>
        <v>0</v>
      </c>
      <c r="U187" s="11" t="s">
        <v>1982</v>
      </c>
      <c r="V187" s="22">
        <v>10</v>
      </c>
      <c r="W187" s="22">
        <f>IF(ISERROR(SEARCH("ex",Tabella1[[#This Row],[Fumo]],1)),0,1)</f>
        <v>1</v>
      </c>
      <c r="X187" s="22">
        <f>IF(ISERROR(SEARCH("no",Tabella1[[#This Row],[Fumo]],1)),0,1)</f>
        <v>0</v>
      </c>
      <c r="Y187" s="11" t="s">
        <v>486</v>
      </c>
      <c r="Z187" s="18">
        <f>IF(ISERROR(SEARCH("NDD",Tabella1[[#This Row],[Bevitore alcolici]],1)),0,1)</f>
        <v>0</v>
      </c>
      <c r="AA187" s="17">
        <f>IF(ISERROR(SEARCH("raro",Tabella1[[#This Row],[Bevitore alcolici]],1)),0,1)</f>
        <v>0</v>
      </c>
      <c r="AB187" s="17">
        <f>IF(ISERROR(SEARCH("saltuariamente",Tabella1[[#This Row],[Bevitore alcolici]],1)),0,1)</f>
        <v>0</v>
      </c>
      <c r="AC187" s="17">
        <f>IF(ISERROR(SEARCH("nega",Tabella1[[#This Row],[Bevitore alcolici]],1)),0,1)</f>
        <v>0</v>
      </c>
      <c r="AD187" s="17">
        <f>IF(ISERROR(SEARCH("potus",Tabella1[[#This Row],[Bevitore alcolici]],1)),0,1)</f>
        <v>0</v>
      </c>
      <c r="AE187" s="11" t="s">
        <v>2035</v>
      </c>
      <c r="AF187" s="18"/>
      <c r="AG187" s="18"/>
      <c r="AH187" s="18"/>
      <c r="AI187" s="18"/>
      <c r="AJ187" s="18"/>
      <c r="AK187" s="11" t="s">
        <v>28</v>
      </c>
      <c r="AL187" s="18">
        <f>IF(ISERROR(SEARCH("si",Tabella1[[#This Row],[Patente di guida]],1)),0,1)</f>
        <v>1</v>
      </c>
      <c r="AM187" s="11" t="s">
        <v>28</v>
      </c>
      <c r="AN187" s="18">
        <f>IF(ISERROR(SEARCH("no",Tabella1[[#This Row],[Ipertensione]],1)),0,1)</f>
        <v>0</v>
      </c>
      <c r="AO187" s="11" t="s">
        <v>382</v>
      </c>
      <c r="AP187" s="18">
        <f>IF(ISERROR(SEARCH("NO",Tabella1[[#This Row],[Cardiopatia ischemica]],1)),1,0)</f>
        <v>0</v>
      </c>
      <c r="AQ187" s="17">
        <f>IF(ISERROR(SEARCH("sconosciuto",Tabella1[[#This Row],[Cardiopatia ischemica]],1)),0,1)</f>
        <v>0</v>
      </c>
      <c r="AR187" s="11" t="s">
        <v>25</v>
      </c>
      <c r="AS187" s="22">
        <f>IF(ISERROR(SEARCH("nega",Tabella1[[#This Row],[Artimie]],1)),0,1)</f>
        <v>1</v>
      </c>
      <c r="AT187" s="11" t="s">
        <v>25</v>
      </c>
      <c r="AU187" s="22">
        <f>IF(ISERROR(SEARCH("nega",Tabella1[[#This Row],[Ipercolesterolemia]],1)),0,1)</f>
        <v>1</v>
      </c>
      <c r="AV187" s="22">
        <f>IF(ISERROR(SEARCH("boh",Tabella1[[#This Row],[Ipercolesterolemia]],1)),0,1)</f>
        <v>0</v>
      </c>
      <c r="AW187" s="11" t="s">
        <v>28</v>
      </c>
      <c r="AX187" s="22">
        <f>IF(ISERROR(SEARCH("Intolleranza",Tabella1[[#This Row],[Diabete]],1)),0,1)</f>
        <v>0</v>
      </c>
      <c r="AY187" s="22">
        <f>IF(ISERROR(SEARCH("si",Tabella1[[#This Row],[Diabete]],1)),0,1)</f>
        <v>1</v>
      </c>
      <c r="AZ187" s="11" t="s">
        <v>8</v>
      </c>
      <c r="BA187" s="18">
        <f>IF(ISERROR(SEARCH("NDD",Tabella1[[#This Row],[Patologia Tiroidea]],1)),0,1)</f>
        <v>0</v>
      </c>
      <c r="BB187" s="22">
        <f>IF(ISERROR(SEARCH("TIROIDITE",Tabella1[[#This Row],[Patologia Tiroidea]],1)),0,1)</f>
        <v>0</v>
      </c>
      <c r="BC187" s="22">
        <f>IF(ISERROR(SEARCH("HASHIMOTO",Tabella1[[#This Row],[Patologia Tiroidea]],1)),0,1)</f>
        <v>0</v>
      </c>
      <c r="BD187" s="22">
        <f>IF(ISERROR(SEARCH("BASEDOW",Tabella1[[#This Row],[Patologia Tiroidea]],1)),0,1)</f>
        <v>0</v>
      </c>
      <c r="BE187" s="22">
        <f>IF(ISERROR(SEARCH("NOD",Tabella1[[#This Row],[Patologia Tiroidea]],1)),0,1)</f>
        <v>0</v>
      </c>
      <c r="BF187" s="22">
        <f>IF(ISERROR(SEARCH("GOZ",Tabella1[[#This Row],[Patologia Tiroidea]],1)),0,1)</f>
        <v>0</v>
      </c>
      <c r="BG187" s="11" t="s">
        <v>8</v>
      </c>
      <c r="BH187" s="18">
        <f>IF(Tabella1[[#This Row],[Obesità]]="no",0,1)</f>
        <v>0</v>
      </c>
      <c r="BI187" s="11" t="s">
        <v>28</v>
      </c>
      <c r="BJ187" s="22">
        <f>IF(ISERROR(SEARCH("nega",Tabella1[[#This Row],[Reflusso gastroesofageo]],1)),1,0)</f>
        <v>1</v>
      </c>
      <c r="BK187" s="11" t="s">
        <v>3829</v>
      </c>
      <c r="BL187" s="18">
        <f>IF(ISERROR(SEARCH("NDD",Tabella1[[#This Row],[Patologia respiratoria]],1)),0,1)</f>
        <v>0</v>
      </c>
      <c r="BM187" s="18">
        <f>IF(ISERROR(SEARCH("asma",Tabella1[[#This Row],[Patologia respiratoria]],1)),0,1)</f>
        <v>0</v>
      </c>
      <c r="BN187" s="18">
        <f>IF(ISERROR(SEARCH("BPCO",Tabella1[[#This Row],[Patologia respiratoria]],1)),0,1)</f>
        <v>0</v>
      </c>
      <c r="BO187" s="18">
        <f>IF(ISERROR(SEARCH("BRONCOPOLMONITE",Tabella1[[#This Row],[Patologia respiratoria]],1)),0,1)</f>
        <v>0</v>
      </c>
      <c r="BP187" s="18">
        <f>IF(ISERROR(SEARCH("ASMA, OSAS",Tabella1[[#This Row],[Patologia respiratoria]],1)),0,1)</f>
        <v>0</v>
      </c>
      <c r="BQ187" s="18">
        <f>IF(ISERROR(SEARCH("OSAS e BPCO",Tabella1[[#This Row],[Patologia respiratoria]],1)),0,1)</f>
        <v>0</v>
      </c>
      <c r="BR187" s="18">
        <f>IF(ISERROR(SEARCH("OSAS",Tabella1[[#This Row],[Patologia respiratoria]],1)),0,1)</f>
        <v>1</v>
      </c>
      <c r="BS187" s="11" t="s">
        <v>2036</v>
      </c>
      <c r="BT187" s="11" t="s">
        <v>2037</v>
      </c>
      <c r="BU187" s="11" t="s">
        <v>8</v>
      </c>
      <c r="BV187" s="18">
        <f>IF(ISERROR(SEARCH("ndd",Tabella1[[#This Row],[O2 terapia]],1)),0,1)</f>
        <v>0</v>
      </c>
      <c r="BW187" s="17">
        <v>0</v>
      </c>
      <c r="BX187" s="11" t="s">
        <v>2038</v>
      </c>
      <c r="BY187" s="11" t="s">
        <v>8</v>
      </c>
      <c r="BZ187" s="18">
        <v>0</v>
      </c>
      <c r="CA187" s="11" t="s">
        <v>28</v>
      </c>
      <c r="CB187" s="17">
        <v>1</v>
      </c>
      <c r="CC187" s="11" t="s">
        <v>8</v>
      </c>
      <c r="CD187" s="18">
        <v>0</v>
      </c>
      <c r="CE187" s="11" t="s">
        <v>8</v>
      </c>
      <c r="CF187" s="18">
        <v>0</v>
      </c>
      <c r="CG187" s="11" t="s">
        <v>28</v>
      </c>
      <c r="CH187" s="17">
        <v>1</v>
      </c>
      <c r="CI187" s="11" t="s">
        <v>28</v>
      </c>
      <c r="CJ187" s="17">
        <v>1</v>
      </c>
      <c r="CK187" s="11" t="s">
        <v>2039</v>
      </c>
      <c r="CL187" s="17">
        <v>1</v>
      </c>
      <c r="CM187" s="11" t="s">
        <v>28</v>
      </c>
      <c r="CN187" s="17">
        <v>1</v>
      </c>
      <c r="CO187" s="11" t="s">
        <v>354</v>
      </c>
      <c r="CP187" s="17">
        <v>1</v>
      </c>
      <c r="CQ187" s="11" t="s">
        <v>85</v>
      </c>
      <c r="CR187" s="11" t="s">
        <v>168</v>
      </c>
      <c r="CS187" s="11" t="s">
        <v>355</v>
      </c>
      <c r="CT187" s="11" t="s">
        <v>664</v>
      </c>
      <c r="CU187" s="11" t="s">
        <v>2040</v>
      </c>
      <c r="CV187" s="12" t="s">
        <v>2041</v>
      </c>
    </row>
    <row r="188" spans="1:100" ht="42.75">
      <c r="A188" s="1">
        <f t="shared" si="2"/>
        <v>187</v>
      </c>
      <c r="B188" s="5">
        <v>1125</v>
      </c>
      <c r="C188" s="6">
        <v>45233</v>
      </c>
      <c r="D188" s="7" t="s">
        <v>2042</v>
      </c>
      <c r="E188" s="6">
        <v>19640</v>
      </c>
      <c r="F188" s="29">
        <f ca="1">_xlfn.DAYS(NOW(),Tabella1[[#This Row],[Data di Nascita]])/365.25</f>
        <v>71.82203969883642</v>
      </c>
      <c r="G188" s="7" t="s">
        <v>2043</v>
      </c>
      <c r="H188" s="7" t="s">
        <v>2044</v>
      </c>
      <c r="I188" s="7" t="s">
        <v>2045</v>
      </c>
      <c r="J188" s="7" t="s">
        <v>2046</v>
      </c>
      <c r="K188" s="7" t="s">
        <v>5614</v>
      </c>
      <c r="L188" s="17">
        <f>IF(ISERROR(SEARCH("EX",Tabella1[[#This Row],[Attività lavorativa]],1)),0,1)</f>
        <v>1</v>
      </c>
      <c r="M188" s="17"/>
      <c r="N188" s="17"/>
      <c r="O188" s="17"/>
      <c r="P188" s="17"/>
      <c r="Q188" s="17"/>
      <c r="R188" s="17"/>
      <c r="S188" s="17"/>
      <c r="T188" s="17">
        <f>IF(ISERROR(SEARCH("NDD",Tabella1[[#This Row],[Attività lavorativa]],1)),0,1)</f>
        <v>0</v>
      </c>
      <c r="U188" s="7" t="s">
        <v>2047</v>
      </c>
      <c r="V188" s="22">
        <v>50</v>
      </c>
      <c r="W188" s="22">
        <f>IF(ISERROR(SEARCH("ex",Tabella1[[#This Row],[Fumo]],1)),0,1)</f>
        <v>0</v>
      </c>
      <c r="X188" s="22">
        <f>IF(ISERROR(SEARCH("no",Tabella1[[#This Row],[Fumo]],1)),0,1)</f>
        <v>0</v>
      </c>
      <c r="Y188" s="7" t="s">
        <v>2048</v>
      </c>
      <c r="Z188" s="17">
        <f>IF(ISERROR(SEARCH("NDD",Tabella1[[#This Row],[Bevitore alcolici]],1)),0,1)</f>
        <v>0</v>
      </c>
      <c r="AA188" s="17">
        <f>IF(ISERROR(SEARCH("raro",Tabella1[[#This Row],[Bevitore alcolici]],1)),0,1)</f>
        <v>0</v>
      </c>
      <c r="AB188" s="17">
        <f>IF(ISERROR(SEARCH("saltuariamente",Tabella1[[#This Row],[Bevitore alcolici]],1)),0,1)</f>
        <v>1</v>
      </c>
      <c r="AC188" s="17">
        <f>IF(ISERROR(SEARCH("nega",Tabella1[[#This Row],[Bevitore alcolici]],1)),0,1)</f>
        <v>0</v>
      </c>
      <c r="AD188" s="17">
        <f>IF(ISERROR(SEARCH("potus",Tabella1[[#This Row],[Bevitore alcolici]],1)),0,1)</f>
        <v>0</v>
      </c>
      <c r="AE188" s="7" t="s">
        <v>5686</v>
      </c>
      <c r="AF188" s="17"/>
      <c r="AG188" s="17"/>
      <c r="AH188" s="17"/>
      <c r="AI188" s="17"/>
      <c r="AJ188" s="17"/>
      <c r="AK188" s="7" t="s">
        <v>28</v>
      </c>
      <c r="AL188" s="17">
        <f>IF(ISERROR(SEARCH("si",Tabella1[[#This Row],[Patente di guida]],1)),0,1)</f>
        <v>1</v>
      </c>
      <c r="AM188" s="7" t="s">
        <v>8</v>
      </c>
      <c r="AN188" s="17">
        <f>IF(ISERROR(SEARCH("no",Tabella1[[#This Row],[Ipertensione]],1)),0,1)</f>
        <v>1</v>
      </c>
      <c r="AO188" s="7" t="s">
        <v>3726</v>
      </c>
      <c r="AP188" s="18">
        <f>IF(ISERROR(SEARCH("NO",Tabella1[[#This Row],[Cardiopatia ischemica]],1)),1,0)</f>
        <v>0</v>
      </c>
      <c r="AQ188" s="17">
        <f>IF(ISERROR(SEARCH("sconosciuto",Tabella1[[#This Row],[Cardiopatia ischemica]],1)),0,1)</f>
        <v>1</v>
      </c>
      <c r="AR188" s="7" t="s">
        <v>3755</v>
      </c>
      <c r="AS188" s="22">
        <f>IF(ISERROR(SEARCH("nega",Tabella1[[#This Row],[Artimie]],1)),0,1)</f>
        <v>0</v>
      </c>
      <c r="AT188" s="7" t="s">
        <v>28</v>
      </c>
      <c r="AU188" s="22">
        <f>IF(ISERROR(SEARCH("nega",Tabella1[[#This Row],[Ipercolesterolemia]],1)),0,1)</f>
        <v>0</v>
      </c>
      <c r="AV188" s="22">
        <f>IF(ISERROR(SEARCH("boh",Tabella1[[#This Row],[Ipercolesterolemia]],1)),0,1)</f>
        <v>0</v>
      </c>
      <c r="AW188" s="7" t="s">
        <v>8</v>
      </c>
      <c r="AX188" s="22">
        <f>IF(ISERROR(SEARCH("Intolleranza",Tabella1[[#This Row],[Diabete]],1)),0,1)</f>
        <v>0</v>
      </c>
      <c r="AY188" s="22">
        <f>IF(ISERROR(SEARCH("si",Tabella1[[#This Row],[Diabete]],1)),0,1)</f>
        <v>0</v>
      </c>
      <c r="AZ188" s="7" t="s">
        <v>2049</v>
      </c>
      <c r="BA188" s="17">
        <f>IF(ISERROR(SEARCH("NDD",Tabella1[[#This Row],[Patologia Tiroidea]],1)),0,1)</f>
        <v>0</v>
      </c>
      <c r="BB188" s="22">
        <f>IF(ISERROR(SEARCH("TIROIDITE",Tabella1[[#This Row],[Patologia Tiroidea]],1)),0,1)</f>
        <v>0</v>
      </c>
      <c r="BC188" s="22">
        <f>IF(ISERROR(SEARCH("HASHIMOTO",Tabella1[[#This Row],[Patologia Tiroidea]],1)),0,1)</f>
        <v>0</v>
      </c>
      <c r="BD188" s="22">
        <f>IF(ISERROR(SEARCH("BASEDOW",Tabella1[[#This Row],[Patologia Tiroidea]],1)),0,1)</f>
        <v>0</v>
      </c>
      <c r="BE188" s="22">
        <f>IF(ISERROR(SEARCH("NOD",Tabella1[[#This Row],[Patologia Tiroidea]],1)),0,1)</f>
        <v>0</v>
      </c>
      <c r="BF188" s="22">
        <f>IF(ISERROR(SEARCH("GOZ",Tabella1[[#This Row],[Patologia Tiroidea]],1)),0,1)</f>
        <v>0</v>
      </c>
      <c r="BG188" s="7" t="s">
        <v>8</v>
      </c>
      <c r="BH188" s="17">
        <f>IF(Tabella1[[#This Row],[Obesità]]="no",0,1)</f>
        <v>0</v>
      </c>
      <c r="BI188" s="7" t="s">
        <v>25</v>
      </c>
      <c r="BJ188" s="22">
        <f>IF(ISERROR(SEARCH("nega",Tabella1[[#This Row],[Reflusso gastroesofageo]],1)),1,0)</f>
        <v>0</v>
      </c>
      <c r="BK188" s="7" t="s">
        <v>2050</v>
      </c>
      <c r="BL188" s="17">
        <f>IF(ISERROR(SEARCH("NDD",Tabella1[[#This Row],[Patologia respiratoria]],1)),0,1)</f>
        <v>0</v>
      </c>
      <c r="BM188" s="17">
        <f>IF(ISERROR(SEARCH("asma",Tabella1[[#This Row],[Patologia respiratoria]],1)),0,1)</f>
        <v>0</v>
      </c>
      <c r="BN188" s="17">
        <f>IF(ISERROR(SEARCH("BPCO",Tabella1[[#This Row],[Patologia respiratoria]],1)),0,1)</f>
        <v>0</v>
      </c>
      <c r="BO188" s="17">
        <f>IF(ISERROR(SEARCH("BRONCOPOLMONITE",Tabella1[[#This Row],[Patologia respiratoria]],1)),0,1)</f>
        <v>0</v>
      </c>
      <c r="BP188" s="17">
        <f>IF(ISERROR(SEARCH("ASMA, OSAS",Tabella1[[#This Row],[Patologia respiratoria]],1)),0,1)</f>
        <v>0</v>
      </c>
      <c r="BQ188" s="17">
        <f>IF(ISERROR(SEARCH("OSAS e BPCO",Tabella1[[#This Row],[Patologia respiratoria]],1)),0,1)</f>
        <v>0</v>
      </c>
      <c r="BR188" s="17">
        <f>IF(ISERROR(SEARCH("OSAS",Tabella1[[#This Row],[Patologia respiratoria]],1)),0,1)</f>
        <v>0</v>
      </c>
      <c r="BS188" s="7" t="s">
        <v>2051</v>
      </c>
      <c r="BT188" s="7"/>
      <c r="BU188" s="7" t="s">
        <v>8</v>
      </c>
      <c r="BV188" s="17">
        <f>IF(ISERROR(SEARCH("ndd",Tabella1[[#This Row],[O2 terapia]],1)),0,1)</f>
        <v>0</v>
      </c>
      <c r="BW188" s="17">
        <v>0</v>
      </c>
      <c r="BX188" s="7"/>
      <c r="BY188" s="7" t="s">
        <v>2052</v>
      </c>
      <c r="BZ188" s="17">
        <v>1</v>
      </c>
      <c r="CA188" s="7" t="s">
        <v>8</v>
      </c>
      <c r="CB188" s="17">
        <v>0</v>
      </c>
      <c r="CC188" s="7" t="s">
        <v>2053</v>
      </c>
      <c r="CD188" s="17">
        <v>1</v>
      </c>
      <c r="CE188" s="7" t="s">
        <v>8</v>
      </c>
      <c r="CF188" s="18">
        <v>0</v>
      </c>
      <c r="CG188" s="7" t="s">
        <v>5477</v>
      </c>
      <c r="CH188" s="17"/>
      <c r="CI188" s="7" t="s">
        <v>5477</v>
      </c>
      <c r="CJ188" s="17"/>
      <c r="CK188" s="7" t="s">
        <v>1141</v>
      </c>
      <c r="CL188" s="17">
        <v>1</v>
      </c>
      <c r="CM188" s="7" t="s">
        <v>8</v>
      </c>
      <c r="CN188" s="17">
        <v>0</v>
      </c>
      <c r="CO188" s="7" t="s">
        <v>8</v>
      </c>
      <c r="CP188" s="18">
        <v>0</v>
      </c>
      <c r="CQ188" s="7" t="s">
        <v>69</v>
      </c>
      <c r="CR188" s="7" t="s">
        <v>850</v>
      </c>
      <c r="CS188" s="7" t="s">
        <v>105</v>
      </c>
      <c r="CT188" s="7" t="s">
        <v>1424</v>
      </c>
      <c r="CU188" s="7"/>
      <c r="CV188" s="8"/>
    </row>
    <row r="189" spans="1:100" ht="199.5">
      <c r="A189" s="1">
        <f t="shared" si="2"/>
        <v>188</v>
      </c>
      <c r="B189" s="9">
        <v>1126</v>
      </c>
      <c r="C189" s="10">
        <v>45233</v>
      </c>
      <c r="D189" s="11" t="s">
        <v>2054</v>
      </c>
      <c r="E189" s="10">
        <v>19493</v>
      </c>
      <c r="F189" s="29">
        <f ca="1">_xlfn.DAYS(NOW(),Tabella1[[#This Row],[Data di Nascita]])/365.25</f>
        <v>72.224503764544835</v>
      </c>
      <c r="G189" s="11" t="s">
        <v>2055</v>
      </c>
      <c r="H189" s="11" t="s">
        <v>2056</v>
      </c>
      <c r="I189" s="11" t="s">
        <v>2057</v>
      </c>
      <c r="J189" s="11" t="s">
        <v>742</v>
      </c>
      <c r="K189" s="11" t="s">
        <v>2058</v>
      </c>
      <c r="L189" s="18">
        <f>IF(ISERROR(SEARCH("EX",Tabella1[[#This Row],[Attività lavorativa]],1)),0,1)</f>
        <v>1</v>
      </c>
      <c r="M189" s="18"/>
      <c r="N189" s="18"/>
      <c r="O189" s="18"/>
      <c r="P189" s="18"/>
      <c r="Q189" s="18"/>
      <c r="R189" s="18"/>
      <c r="S189" s="18"/>
      <c r="T189" s="17">
        <f>IF(ISERROR(SEARCH("NDD",Tabella1[[#This Row],[Attività lavorativa]],1)),0,1)</f>
        <v>0</v>
      </c>
      <c r="U189" s="11" t="s">
        <v>8</v>
      </c>
      <c r="V189" s="22"/>
      <c r="W189" s="22">
        <f>IF(ISERROR(SEARCH("ex",Tabella1[[#This Row],[Fumo]],1)),0,1)</f>
        <v>0</v>
      </c>
      <c r="X189" s="22">
        <f>IF(ISERROR(SEARCH("no",Tabella1[[#This Row],[Fumo]],1)),0,1)</f>
        <v>1</v>
      </c>
      <c r="Y189" s="11" t="s">
        <v>25</v>
      </c>
      <c r="Z189" s="18">
        <f>IF(ISERROR(SEARCH("NDD",Tabella1[[#This Row],[Bevitore alcolici]],1)),0,1)</f>
        <v>0</v>
      </c>
      <c r="AA189" s="17">
        <f>IF(ISERROR(SEARCH("raro",Tabella1[[#This Row],[Bevitore alcolici]],1)),0,1)</f>
        <v>0</v>
      </c>
      <c r="AB189" s="17">
        <f>IF(ISERROR(SEARCH("saltuariamente",Tabella1[[#This Row],[Bevitore alcolici]],1)),0,1)</f>
        <v>0</v>
      </c>
      <c r="AC189" s="17">
        <f>IF(ISERROR(SEARCH("nega",Tabella1[[#This Row],[Bevitore alcolici]],1)),0,1)</f>
        <v>1</v>
      </c>
      <c r="AD189" s="17">
        <f>IF(ISERROR(SEARCH("potus",Tabella1[[#This Row],[Bevitore alcolici]],1)),0,1)</f>
        <v>0</v>
      </c>
      <c r="AE189" s="11" t="s">
        <v>2059</v>
      </c>
      <c r="AF189" s="18"/>
      <c r="AG189" s="18">
        <v>1</v>
      </c>
      <c r="AH189" s="18"/>
      <c r="AI189" s="18"/>
      <c r="AJ189" s="18"/>
      <c r="AK189" s="11" t="s">
        <v>28</v>
      </c>
      <c r="AL189" s="18">
        <f>IF(ISERROR(SEARCH("si",Tabella1[[#This Row],[Patente di guida]],1)),0,1)</f>
        <v>1</v>
      </c>
      <c r="AM189" s="11" t="s">
        <v>28</v>
      </c>
      <c r="AN189" s="18">
        <f>IF(ISERROR(SEARCH("no",Tabella1[[#This Row],[Ipertensione]],1)),0,1)</f>
        <v>0</v>
      </c>
      <c r="AO189" s="11" t="s">
        <v>382</v>
      </c>
      <c r="AP189" s="18">
        <f>IF(ISERROR(SEARCH("NO",Tabella1[[#This Row],[Cardiopatia ischemica]],1)),1,0)</f>
        <v>0</v>
      </c>
      <c r="AQ189" s="17">
        <f>IF(ISERROR(SEARCH("sconosciuto",Tabella1[[#This Row],[Cardiopatia ischemica]],1)),0,1)</f>
        <v>0</v>
      </c>
      <c r="AR189" s="11" t="s">
        <v>25</v>
      </c>
      <c r="AS189" s="22">
        <f>IF(ISERROR(SEARCH("nega",Tabella1[[#This Row],[Artimie]],1)),0,1)</f>
        <v>1</v>
      </c>
      <c r="AT189" s="11" t="s">
        <v>28</v>
      </c>
      <c r="AU189" s="22">
        <f>IF(ISERROR(SEARCH("nega",Tabella1[[#This Row],[Ipercolesterolemia]],1)),0,1)</f>
        <v>0</v>
      </c>
      <c r="AV189" s="22">
        <f>IF(ISERROR(SEARCH("boh",Tabella1[[#This Row],[Ipercolesterolemia]],1)),0,1)</f>
        <v>0</v>
      </c>
      <c r="AW189" s="11" t="s">
        <v>8</v>
      </c>
      <c r="AX189" s="22">
        <f>IF(ISERROR(SEARCH("Intolleranza",Tabella1[[#This Row],[Diabete]],1)),0,1)</f>
        <v>0</v>
      </c>
      <c r="AY189" s="22">
        <f>IF(ISERROR(SEARCH("si",Tabella1[[#This Row],[Diabete]],1)),0,1)</f>
        <v>0</v>
      </c>
      <c r="AZ189" s="11" t="s">
        <v>8</v>
      </c>
      <c r="BA189" s="18">
        <f>IF(ISERROR(SEARCH("NDD",Tabella1[[#This Row],[Patologia Tiroidea]],1)),0,1)</f>
        <v>0</v>
      </c>
      <c r="BB189" s="22">
        <f>IF(ISERROR(SEARCH("TIROIDITE",Tabella1[[#This Row],[Patologia Tiroidea]],1)),0,1)</f>
        <v>0</v>
      </c>
      <c r="BC189" s="22">
        <f>IF(ISERROR(SEARCH("HASHIMOTO",Tabella1[[#This Row],[Patologia Tiroidea]],1)),0,1)</f>
        <v>0</v>
      </c>
      <c r="BD189" s="22">
        <f>IF(ISERROR(SEARCH("BASEDOW",Tabella1[[#This Row],[Patologia Tiroidea]],1)),0,1)</f>
        <v>0</v>
      </c>
      <c r="BE189" s="22">
        <f>IF(ISERROR(SEARCH("NOD",Tabella1[[#This Row],[Patologia Tiroidea]],1)),0,1)</f>
        <v>0</v>
      </c>
      <c r="BF189" s="22">
        <f>IF(ISERROR(SEARCH("GOZ",Tabella1[[#This Row],[Patologia Tiroidea]],1)),0,1)</f>
        <v>0</v>
      </c>
      <c r="BG189" s="11" t="s">
        <v>28</v>
      </c>
      <c r="BH189" s="18">
        <f>IF(Tabella1[[#This Row],[Obesità]]="no",0,1)</f>
        <v>1</v>
      </c>
      <c r="BI189" s="11" t="s">
        <v>25</v>
      </c>
      <c r="BJ189" s="22">
        <f>IF(ISERROR(SEARCH("nega",Tabella1[[#This Row],[Reflusso gastroesofageo]],1)),1,0)</f>
        <v>0</v>
      </c>
      <c r="BK189" s="11" t="s">
        <v>3808</v>
      </c>
      <c r="BL189" s="18">
        <f>IF(ISERROR(SEARCH("NDD",Tabella1[[#This Row],[Patologia respiratoria]],1)),0,1)</f>
        <v>0</v>
      </c>
      <c r="BM189" s="18">
        <f>IF(ISERROR(SEARCH("asma",Tabella1[[#This Row],[Patologia respiratoria]],1)),0,1)</f>
        <v>1</v>
      </c>
      <c r="BN189" s="18">
        <f>IF(ISERROR(SEARCH("BPCO",Tabella1[[#This Row],[Patologia respiratoria]],1)),0,1)</f>
        <v>0</v>
      </c>
      <c r="BO189" s="18">
        <f>IF(ISERROR(SEARCH("BRONCOPOLMONITE",Tabella1[[#This Row],[Patologia respiratoria]],1)),0,1)</f>
        <v>0</v>
      </c>
      <c r="BP189" s="18">
        <f>IF(ISERROR(SEARCH("ASMA, OSAS",Tabella1[[#This Row],[Patologia respiratoria]],1)),0,1)</f>
        <v>0</v>
      </c>
      <c r="BQ189" s="18">
        <f>IF(ISERROR(SEARCH("OSAS e BPCO",Tabella1[[#This Row],[Patologia respiratoria]],1)),0,1)</f>
        <v>0</v>
      </c>
      <c r="BR189" s="18">
        <f>IF(ISERROR(SEARCH("OSAS",Tabella1[[#This Row],[Patologia respiratoria]],1)),0,1)</f>
        <v>0</v>
      </c>
      <c r="BS189" s="11"/>
      <c r="BT189" s="11" t="s">
        <v>2060</v>
      </c>
      <c r="BU189" s="11" t="s">
        <v>8</v>
      </c>
      <c r="BV189" s="18">
        <f>IF(ISERROR(SEARCH("ndd",Tabella1[[#This Row],[O2 terapia]],1)),0,1)</f>
        <v>0</v>
      </c>
      <c r="BW189" s="17">
        <v>0</v>
      </c>
      <c r="BX189" s="11"/>
      <c r="BY189" s="11" t="s">
        <v>28</v>
      </c>
      <c r="BZ189" s="17">
        <v>1</v>
      </c>
      <c r="CA189" s="11" t="s">
        <v>28</v>
      </c>
      <c r="CB189" s="17">
        <v>1</v>
      </c>
      <c r="CC189" s="11" t="s">
        <v>28</v>
      </c>
      <c r="CD189" s="17">
        <v>1</v>
      </c>
      <c r="CE189" s="11" t="s">
        <v>8</v>
      </c>
      <c r="CF189" s="18">
        <v>0</v>
      </c>
      <c r="CG189" s="11" t="s">
        <v>28</v>
      </c>
      <c r="CH189" s="17">
        <v>1</v>
      </c>
      <c r="CI189" s="11" t="s">
        <v>8</v>
      </c>
      <c r="CJ189" s="18">
        <v>0</v>
      </c>
      <c r="CK189" s="11" t="s">
        <v>2061</v>
      </c>
      <c r="CL189" s="17">
        <v>1</v>
      </c>
      <c r="CM189" s="11" t="s">
        <v>8</v>
      </c>
      <c r="CN189" s="17">
        <v>0</v>
      </c>
      <c r="CO189" s="11" t="s">
        <v>28</v>
      </c>
      <c r="CP189" s="17">
        <v>1</v>
      </c>
      <c r="CQ189" s="11" t="s">
        <v>54</v>
      </c>
      <c r="CR189" s="11" t="s">
        <v>279</v>
      </c>
      <c r="CS189" s="11" t="s">
        <v>71</v>
      </c>
      <c r="CT189" s="11" t="s">
        <v>154</v>
      </c>
      <c r="CU189" s="11" t="s">
        <v>2062</v>
      </c>
      <c r="CV189" s="12"/>
    </row>
    <row r="190" spans="1:100" ht="199.5">
      <c r="A190" s="1">
        <f t="shared" si="2"/>
        <v>189</v>
      </c>
      <c r="B190" s="5">
        <v>1127</v>
      </c>
      <c r="C190" s="6">
        <v>45236</v>
      </c>
      <c r="D190" s="7" t="s">
        <v>2063</v>
      </c>
      <c r="E190" s="6">
        <v>23115</v>
      </c>
      <c r="F190" s="29">
        <f ca="1">_xlfn.DAYS(NOW(),Tabella1[[#This Row],[Data di Nascita]])/365.25</f>
        <v>62.308008213552363</v>
      </c>
      <c r="G190" s="7" t="s">
        <v>2064</v>
      </c>
      <c r="H190" s="7" t="s">
        <v>2065</v>
      </c>
      <c r="I190" s="7" t="s">
        <v>1989</v>
      </c>
      <c r="J190" s="7" t="s">
        <v>742</v>
      </c>
      <c r="K190" s="7" t="s">
        <v>904</v>
      </c>
      <c r="L190" s="17">
        <f>IF(ISERROR(SEARCH("EX",Tabella1[[#This Row],[Attività lavorativa]],1)),0,1)</f>
        <v>0</v>
      </c>
      <c r="M190" s="17"/>
      <c r="N190" s="17"/>
      <c r="O190" s="17"/>
      <c r="P190" s="18">
        <v>1</v>
      </c>
      <c r="Q190" s="17"/>
      <c r="R190" s="17"/>
      <c r="S190" s="17"/>
      <c r="T190" s="17">
        <f>IF(ISERROR(SEARCH("NDD",Tabella1[[#This Row],[Attività lavorativa]],1)),0,1)</f>
        <v>0</v>
      </c>
      <c r="U190" s="7" t="s">
        <v>8</v>
      </c>
      <c r="V190" s="22"/>
      <c r="W190" s="22">
        <f>IF(ISERROR(SEARCH("ex",Tabella1[[#This Row],[Fumo]],1)),0,1)</f>
        <v>0</v>
      </c>
      <c r="X190" s="22">
        <f>IF(ISERROR(SEARCH("no",Tabella1[[#This Row],[Fumo]],1)),0,1)</f>
        <v>1</v>
      </c>
      <c r="Y190" s="7" t="s">
        <v>25</v>
      </c>
      <c r="Z190" s="17">
        <f>IF(ISERROR(SEARCH("NDD",Tabella1[[#This Row],[Bevitore alcolici]],1)),0,1)</f>
        <v>0</v>
      </c>
      <c r="AA190" s="17">
        <f>IF(ISERROR(SEARCH("raro",Tabella1[[#This Row],[Bevitore alcolici]],1)),0,1)</f>
        <v>0</v>
      </c>
      <c r="AB190" s="17">
        <f>IF(ISERROR(SEARCH("saltuariamente",Tabella1[[#This Row],[Bevitore alcolici]],1)),0,1)</f>
        <v>0</v>
      </c>
      <c r="AC190" s="17">
        <f>IF(ISERROR(SEARCH("nega",Tabella1[[#This Row],[Bevitore alcolici]],1)),0,1)</f>
        <v>1</v>
      </c>
      <c r="AD190" s="17">
        <f>IF(ISERROR(SEARCH("potus",Tabella1[[#This Row],[Bevitore alcolici]],1)),0,1)</f>
        <v>0</v>
      </c>
      <c r="AE190" s="7" t="s">
        <v>242</v>
      </c>
      <c r="AF190" s="17"/>
      <c r="AG190" s="17"/>
      <c r="AH190" s="18">
        <v>1</v>
      </c>
      <c r="AI190" s="18"/>
      <c r="AJ190" s="18"/>
      <c r="AK190" s="7" t="s">
        <v>8</v>
      </c>
      <c r="AL190" s="17">
        <f>IF(ISERROR(SEARCH("si",Tabella1[[#This Row],[Patente di guida]],1)),0,1)</f>
        <v>0</v>
      </c>
      <c r="AM190" s="7" t="s">
        <v>28</v>
      </c>
      <c r="AN190" s="17">
        <f>IF(ISERROR(SEARCH("no",Tabella1[[#This Row],[Ipertensione]],1)),0,1)</f>
        <v>0</v>
      </c>
      <c r="AO190" s="7" t="s">
        <v>382</v>
      </c>
      <c r="AP190" s="18">
        <f>IF(ISERROR(SEARCH("NO",Tabella1[[#This Row],[Cardiopatia ischemica]],1)),1,0)</f>
        <v>0</v>
      </c>
      <c r="AQ190" s="17">
        <f>IF(ISERROR(SEARCH("sconosciuto",Tabella1[[#This Row],[Cardiopatia ischemica]],1)),0,1)</f>
        <v>0</v>
      </c>
      <c r="AR190" s="7" t="s">
        <v>2066</v>
      </c>
      <c r="AS190" s="22">
        <f>IF(ISERROR(SEARCH("nega",Tabella1[[#This Row],[Artimie]],1)),0,1)</f>
        <v>0</v>
      </c>
      <c r="AT190" s="7" t="s">
        <v>28</v>
      </c>
      <c r="AU190" s="22">
        <f>IF(ISERROR(SEARCH("nega",Tabella1[[#This Row],[Ipercolesterolemia]],1)),0,1)</f>
        <v>0</v>
      </c>
      <c r="AV190" s="22">
        <f>IF(ISERROR(SEARCH("boh",Tabella1[[#This Row],[Ipercolesterolemia]],1)),0,1)</f>
        <v>0</v>
      </c>
      <c r="AW190" s="7" t="s">
        <v>8</v>
      </c>
      <c r="AX190" s="22">
        <f>IF(ISERROR(SEARCH("Intolleranza",Tabella1[[#This Row],[Diabete]],1)),0,1)</f>
        <v>0</v>
      </c>
      <c r="AY190" s="22">
        <f>IF(ISERROR(SEARCH("si",Tabella1[[#This Row],[Diabete]],1)),0,1)</f>
        <v>0</v>
      </c>
      <c r="AZ190" s="7" t="s">
        <v>8</v>
      </c>
      <c r="BA190" s="17">
        <f>IF(ISERROR(SEARCH("NDD",Tabella1[[#This Row],[Patologia Tiroidea]],1)),0,1)</f>
        <v>0</v>
      </c>
      <c r="BB190" s="22">
        <f>IF(ISERROR(SEARCH("TIROIDITE",Tabella1[[#This Row],[Patologia Tiroidea]],1)),0,1)</f>
        <v>0</v>
      </c>
      <c r="BC190" s="22">
        <f>IF(ISERROR(SEARCH("HASHIMOTO",Tabella1[[#This Row],[Patologia Tiroidea]],1)),0,1)</f>
        <v>0</v>
      </c>
      <c r="BD190" s="22">
        <f>IF(ISERROR(SEARCH("BASEDOW",Tabella1[[#This Row],[Patologia Tiroidea]],1)),0,1)</f>
        <v>0</v>
      </c>
      <c r="BE190" s="22">
        <f>IF(ISERROR(SEARCH("NOD",Tabella1[[#This Row],[Patologia Tiroidea]],1)),0,1)</f>
        <v>0</v>
      </c>
      <c r="BF190" s="22">
        <f>IF(ISERROR(SEARCH("GOZ",Tabella1[[#This Row],[Patologia Tiroidea]],1)),0,1)</f>
        <v>0</v>
      </c>
      <c r="BG190" s="7" t="s">
        <v>8</v>
      </c>
      <c r="BH190" s="17">
        <f>IF(Tabella1[[#This Row],[Obesità]]="no",0,1)</f>
        <v>0</v>
      </c>
      <c r="BI190" s="7" t="s">
        <v>28</v>
      </c>
      <c r="BJ190" s="22">
        <f>IF(ISERROR(SEARCH("nega",Tabella1[[#This Row],[Reflusso gastroesofageo]],1)),1,0)</f>
        <v>1</v>
      </c>
      <c r="BK190" s="7" t="s">
        <v>8</v>
      </c>
      <c r="BL190" s="17">
        <f>IF(ISERROR(SEARCH("NDD",Tabella1[[#This Row],[Patologia respiratoria]],1)),0,1)</f>
        <v>0</v>
      </c>
      <c r="BM190" s="17">
        <f>IF(ISERROR(SEARCH("asma",Tabella1[[#This Row],[Patologia respiratoria]],1)),0,1)</f>
        <v>0</v>
      </c>
      <c r="BN190" s="17">
        <f>IF(ISERROR(SEARCH("BPCO",Tabella1[[#This Row],[Patologia respiratoria]],1)),0,1)</f>
        <v>0</v>
      </c>
      <c r="BO190" s="17">
        <f>IF(ISERROR(SEARCH("BRONCOPOLMONITE",Tabella1[[#This Row],[Patologia respiratoria]],1)),0,1)</f>
        <v>0</v>
      </c>
      <c r="BP190" s="17">
        <f>IF(ISERROR(SEARCH("ASMA, OSAS",Tabella1[[#This Row],[Patologia respiratoria]],1)),0,1)</f>
        <v>0</v>
      </c>
      <c r="BQ190" s="17">
        <f>IF(ISERROR(SEARCH("OSAS e BPCO",Tabella1[[#This Row],[Patologia respiratoria]],1)),0,1)</f>
        <v>0</v>
      </c>
      <c r="BR190" s="17">
        <f>IF(ISERROR(SEARCH("OSAS",Tabella1[[#This Row],[Patologia respiratoria]],1)),0,1)</f>
        <v>0</v>
      </c>
      <c r="BS190" s="7" t="s">
        <v>2067</v>
      </c>
      <c r="BT190" s="7" t="s">
        <v>2068</v>
      </c>
      <c r="BU190" s="7" t="s">
        <v>8</v>
      </c>
      <c r="BV190" s="17">
        <f>IF(ISERROR(SEARCH("ndd",Tabella1[[#This Row],[O2 terapia]],1)),0,1)</f>
        <v>0</v>
      </c>
      <c r="BW190" s="17">
        <v>0</v>
      </c>
      <c r="BX190" s="7"/>
      <c r="BY190" s="7" t="s">
        <v>28</v>
      </c>
      <c r="BZ190" s="17">
        <v>1</v>
      </c>
      <c r="CA190" s="7" t="s">
        <v>28</v>
      </c>
      <c r="CB190" s="17">
        <v>1</v>
      </c>
      <c r="CC190" s="7" t="s">
        <v>2069</v>
      </c>
      <c r="CD190" s="17">
        <v>1</v>
      </c>
      <c r="CE190" s="7" t="s">
        <v>8</v>
      </c>
      <c r="CF190" s="18">
        <v>0</v>
      </c>
      <c r="CG190" s="7" t="s">
        <v>8</v>
      </c>
      <c r="CH190" s="17">
        <v>0</v>
      </c>
      <c r="CI190" s="7" t="s">
        <v>28</v>
      </c>
      <c r="CJ190" s="17">
        <v>1</v>
      </c>
      <c r="CK190" s="7" t="s">
        <v>2070</v>
      </c>
      <c r="CL190" s="17">
        <v>1</v>
      </c>
      <c r="CM190" s="7" t="s">
        <v>8</v>
      </c>
      <c r="CN190" s="17">
        <v>0</v>
      </c>
      <c r="CO190" s="7" t="s">
        <v>8</v>
      </c>
      <c r="CP190" s="18">
        <v>0</v>
      </c>
      <c r="CQ190" s="7" t="s">
        <v>103</v>
      </c>
      <c r="CR190" s="7" t="s">
        <v>8</v>
      </c>
      <c r="CS190" s="7" t="s">
        <v>71</v>
      </c>
      <c r="CT190" s="7" t="s">
        <v>787</v>
      </c>
      <c r="CU190" s="7" t="s">
        <v>2071</v>
      </c>
      <c r="CV190" s="8" t="s">
        <v>2072</v>
      </c>
    </row>
    <row r="191" spans="1:100" ht="199.5">
      <c r="A191" s="1">
        <f t="shared" si="2"/>
        <v>190</v>
      </c>
      <c r="B191" s="9">
        <v>1128</v>
      </c>
      <c r="C191" s="10">
        <v>45236</v>
      </c>
      <c r="D191" s="11" t="s">
        <v>2073</v>
      </c>
      <c r="E191" s="10">
        <v>25829</v>
      </c>
      <c r="F191" s="29">
        <f ca="1">_xlfn.DAYS(NOW(),Tabella1[[#This Row],[Data di Nascita]])/365.25</f>
        <v>54.87748117727584</v>
      </c>
      <c r="G191" s="11" t="s">
        <v>2074</v>
      </c>
      <c r="H191" s="11" t="s">
        <v>2075</v>
      </c>
      <c r="I191" s="11" t="s">
        <v>1949</v>
      </c>
      <c r="J191" s="11" t="s">
        <v>1264</v>
      </c>
      <c r="K191" s="11" t="s">
        <v>326</v>
      </c>
      <c r="L191" s="18">
        <f>IF(ISERROR(SEARCH("EX",Tabella1[[#This Row],[Attività lavorativa]],1)),0,1)</f>
        <v>0</v>
      </c>
      <c r="M191" s="18"/>
      <c r="N191" s="18"/>
      <c r="O191" s="18"/>
      <c r="P191" s="18"/>
      <c r="Q191" s="18"/>
      <c r="R191" s="18"/>
      <c r="S191" s="18"/>
      <c r="T191" s="17">
        <f>IF(ISERROR(SEARCH("NDD",Tabella1[[#This Row],[Attività lavorativa]],1)),0,1)</f>
        <v>0</v>
      </c>
      <c r="U191" s="11" t="s">
        <v>2076</v>
      </c>
      <c r="V191" s="22">
        <v>15</v>
      </c>
      <c r="W191" s="22">
        <f>IF(ISERROR(SEARCH("ex",Tabella1[[#This Row],[Fumo]],1)),0,1)</f>
        <v>0</v>
      </c>
      <c r="X191" s="22">
        <f>IF(ISERROR(SEARCH("no",Tabella1[[#This Row],[Fumo]],1)),0,1)</f>
        <v>0</v>
      </c>
      <c r="Y191" s="11" t="s">
        <v>26</v>
      </c>
      <c r="Z191" s="18">
        <f>IF(ISERROR(SEARCH("NDD",Tabella1[[#This Row],[Bevitore alcolici]],1)),0,1)</f>
        <v>0</v>
      </c>
      <c r="AA191" s="17">
        <f>IF(ISERROR(SEARCH("raro",Tabella1[[#This Row],[Bevitore alcolici]],1)),0,1)</f>
        <v>0</v>
      </c>
      <c r="AB191" s="17">
        <f>IF(ISERROR(SEARCH("saltuariamente",Tabella1[[#This Row],[Bevitore alcolici]],1)),0,1)</f>
        <v>1</v>
      </c>
      <c r="AC191" s="17">
        <f>IF(ISERROR(SEARCH("nega",Tabella1[[#This Row],[Bevitore alcolici]],1)),0,1)</f>
        <v>0</v>
      </c>
      <c r="AD191" s="17">
        <f>IF(ISERROR(SEARCH("potus",Tabella1[[#This Row],[Bevitore alcolici]],1)),0,1)</f>
        <v>0</v>
      </c>
      <c r="AE191" s="11" t="s">
        <v>2077</v>
      </c>
      <c r="AF191" s="18"/>
      <c r="AG191" s="18">
        <v>1</v>
      </c>
      <c r="AH191" s="18"/>
      <c r="AI191" s="18"/>
      <c r="AJ191" s="18"/>
      <c r="AK191" s="11" t="s">
        <v>28</v>
      </c>
      <c r="AL191" s="18">
        <f>IF(ISERROR(SEARCH("si",Tabella1[[#This Row],[Patente di guida]],1)),0,1)</f>
        <v>1</v>
      </c>
      <c r="AM191" s="11" t="s">
        <v>8</v>
      </c>
      <c r="AN191" s="18">
        <f>IF(ISERROR(SEARCH("no",Tabella1[[#This Row],[Ipertensione]],1)),0,1)</f>
        <v>1</v>
      </c>
      <c r="AO191" s="11" t="s">
        <v>382</v>
      </c>
      <c r="AP191" s="18">
        <f>IF(ISERROR(SEARCH("NO",Tabella1[[#This Row],[Cardiopatia ischemica]],1)),1,0)</f>
        <v>0</v>
      </c>
      <c r="AQ191" s="17">
        <f>IF(ISERROR(SEARCH("sconosciuto",Tabella1[[#This Row],[Cardiopatia ischemica]],1)),0,1)</f>
        <v>0</v>
      </c>
      <c r="AR191" s="11" t="s">
        <v>25</v>
      </c>
      <c r="AS191" s="22">
        <f>IF(ISERROR(SEARCH("nega",Tabella1[[#This Row],[Artimie]],1)),0,1)</f>
        <v>1</v>
      </c>
      <c r="AT191" s="11" t="s">
        <v>25</v>
      </c>
      <c r="AU191" s="22">
        <f>IF(ISERROR(SEARCH("nega",Tabella1[[#This Row],[Ipercolesterolemia]],1)),0,1)</f>
        <v>1</v>
      </c>
      <c r="AV191" s="22">
        <f>IF(ISERROR(SEARCH("boh",Tabella1[[#This Row],[Ipercolesterolemia]],1)),0,1)</f>
        <v>0</v>
      </c>
      <c r="AW191" s="11" t="s">
        <v>8</v>
      </c>
      <c r="AX191" s="22">
        <f>IF(ISERROR(SEARCH("Intolleranza",Tabella1[[#This Row],[Diabete]],1)),0,1)</f>
        <v>0</v>
      </c>
      <c r="AY191" s="22">
        <f>IF(ISERROR(SEARCH("si",Tabella1[[#This Row],[Diabete]],1)),0,1)</f>
        <v>0</v>
      </c>
      <c r="AZ191" s="11" t="s">
        <v>8</v>
      </c>
      <c r="BA191" s="18">
        <f>IF(ISERROR(SEARCH("NDD",Tabella1[[#This Row],[Patologia Tiroidea]],1)),0,1)</f>
        <v>0</v>
      </c>
      <c r="BB191" s="22">
        <f>IF(ISERROR(SEARCH("TIROIDITE",Tabella1[[#This Row],[Patologia Tiroidea]],1)),0,1)</f>
        <v>0</v>
      </c>
      <c r="BC191" s="22">
        <f>IF(ISERROR(SEARCH("HASHIMOTO",Tabella1[[#This Row],[Patologia Tiroidea]],1)),0,1)</f>
        <v>0</v>
      </c>
      <c r="BD191" s="22">
        <f>IF(ISERROR(SEARCH("BASEDOW",Tabella1[[#This Row],[Patologia Tiroidea]],1)),0,1)</f>
        <v>0</v>
      </c>
      <c r="BE191" s="22">
        <f>IF(ISERROR(SEARCH("NOD",Tabella1[[#This Row],[Patologia Tiroidea]],1)),0,1)</f>
        <v>0</v>
      </c>
      <c r="BF191" s="22">
        <f>IF(ISERROR(SEARCH("GOZ",Tabella1[[#This Row],[Patologia Tiroidea]],1)),0,1)</f>
        <v>0</v>
      </c>
      <c r="BG191" s="11" t="s">
        <v>8</v>
      </c>
      <c r="BH191" s="18">
        <f>IF(Tabella1[[#This Row],[Obesità]]="no",0,1)</f>
        <v>0</v>
      </c>
      <c r="BI191" s="11" t="s">
        <v>28</v>
      </c>
      <c r="BJ191" s="22">
        <f>IF(ISERROR(SEARCH("nega",Tabella1[[#This Row],[Reflusso gastroesofageo]],1)),1,0)</f>
        <v>1</v>
      </c>
      <c r="BK191" s="11" t="s">
        <v>3830</v>
      </c>
      <c r="BL191" s="18">
        <f>IF(ISERROR(SEARCH("NDD",Tabella1[[#This Row],[Patologia respiratoria]],1)),0,1)</f>
        <v>0</v>
      </c>
      <c r="BM191" s="18">
        <f>IF(ISERROR(SEARCH("asma",Tabella1[[#This Row],[Patologia respiratoria]],1)),0,1)</f>
        <v>0</v>
      </c>
      <c r="BN191" s="18">
        <f>IF(ISERROR(SEARCH("BPCO",Tabella1[[#This Row],[Patologia respiratoria]],1)),0,1)</f>
        <v>0</v>
      </c>
      <c r="BO191" s="18">
        <f>IF(ISERROR(SEARCH("BRONCOPOLMONITE",Tabella1[[#This Row],[Patologia respiratoria]],1)),0,1)</f>
        <v>0</v>
      </c>
      <c r="BP191" s="18">
        <f>IF(ISERROR(SEARCH("ASMA, OSAS",Tabella1[[#This Row],[Patologia respiratoria]],1)),0,1)</f>
        <v>0</v>
      </c>
      <c r="BQ191" s="18">
        <f>IF(ISERROR(SEARCH("OSAS e BPCO",Tabella1[[#This Row],[Patologia respiratoria]],1)),0,1)</f>
        <v>0</v>
      </c>
      <c r="BR191" s="18">
        <f>IF(ISERROR(SEARCH("OSAS",Tabella1[[#This Row],[Patologia respiratoria]],1)),0,1)</f>
        <v>1</v>
      </c>
      <c r="BS191" s="11"/>
      <c r="BT191" s="11" t="s">
        <v>2078</v>
      </c>
      <c r="BU191" s="11" t="s">
        <v>8</v>
      </c>
      <c r="BV191" s="18">
        <f>IF(ISERROR(SEARCH("ndd",Tabella1[[#This Row],[O2 terapia]],1)),0,1)</f>
        <v>0</v>
      </c>
      <c r="BW191" s="17">
        <v>0</v>
      </c>
      <c r="BX191" s="11" t="s">
        <v>2079</v>
      </c>
      <c r="BY191" s="11" t="s">
        <v>8</v>
      </c>
      <c r="BZ191" s="18">
        <v>0</v>
      </c>
      <c r="CA191" s="11" t="s">
        <v>28</v>
      </c>
      <c r="CB191" s="17">
        <v>1</v>
      </c>
      <c r="CC191" s="11" t="s">
        <v>28</v>
      </c>
      <c r="CD191" s="17">
        <v>1</v>
      </c>
      <c r="CE191" s="11" t="s">
        <v>8</v>
      </c>
      <c r="CF191" s="18">
        <v>0</v>
      </c>
      <c r="CG191" s="11" t="s">
        <v>28</v>
      </c>
      <c r="CH191" s="17">
        <v>1</v>
      </c>
      <c r="CI191" s="11" t="s">
        <v>28</v>
      </c>
      <c r="CJ191" s="17">
        <v>1</v>
      </c>
      <c r="CK191" s="11" t="s">
        <v>2080</v>
      </c>
      <c r="CL191" s="17">
        <v>1</v>
      </c>
      <c r="CM191" s="11" t="s">
        <v>7</v>
      </c>
      <c r="CN191" s="17">
        <v>1</v>
      </c>
      <c r="CO191" s="11" t="s">
        <v>2081</v>
      </c>
      <c r="CP191" s="17">
        <v>1</v>
      </c>
      <c r="CQ191" s="11" t="s">
        <v>202</v>
      </c>
      <c r="CR191" s="11" t="s">
        <v>135</v>
      </c>
      <c r="CS191" s="11" t="s">
        <v>71</v>
      </c>
      <c r="CT191" s="11" t="s">
        <v>554</v>
      </c>
      <c r="CU191" s="11" t="s">
        <v>2071</v>
      </c>
      <c r="CV191" s="12" t="s">
        <v>2082</v>
      </c>
    </row>
    <row r="192" spans="1:100" ht="313.5">
      <c r="A192" s="1">
        <f t="shared" si="2"/>
        <v>191</v>
      </c>
      <c r="B192" s="5">
        <v>1130</v>
      </c>
      <c r="C192" s="6">
        <v>45237</v>
      </c>
      <c r="D192" s="7" t="s">
        <v>2083</v>
      </c>
      <c r="E192" s="6">
        <v>17877</v>
      </c>
      <c r="F192" s="29">
        <f ca="1">_xlfn.DAYS(NOW(),Tabella1[[#This Row],[Data di Nascita]])/365.25</f>
        <v>76.648870636550313</v>
      </c>
      <c r="G192" s="7" t="s">
        <v>2084</v>
      </c>
      <c r="H192" s="7" t="s">
        <v>2085</v>
      </c>
      <c r="I192" s="7" t="s">
        <v>880</v>
      </c>
      <c r="J192" s="7" t="s">
        <v>427</v>
      </c>
      <c r="K192" s="7" t="s">
        <v>5615</v>
      </c>
      <c r="L192" s="17">
        <f>IF(ISERROR(SEARCH("EX",Tabella1[[#This Row],[Attività lavorativa]],1)),0,1)</f>
        <v>1</v>
      </c>
      <c r="M192" s="17"/>
      <c r="N192" s="17"/>
      <c r="O192" s="18">
        <v>1</v>
      </c>
      <c r="P192" s="17"/>
      <c r="Q192" s="17"/>
      <c r="R192" s="17"/>
      <c r="S192" s="17"/>
      <c r="T192" s="17">
        <f>IF(ISERROR(SEARCH("NDD",Tabella1[[#This Row],[Attività lavorativa]],1)),0,1)</f>
        <v>0</v>
      </c>
      <c r="U192" s="7" t="s">
        <v>2023</v>
      </c>
      <c r="V192" s="22">
        <v>30</v>
      </c>
      <c r="W192" s="22">
        <f>IF(ISERROR(SEARCH("ex",Tabella1[[#This Row],[Fumo]],1)),0,1)</f>
        <v>1</v>
      </c>
      <c r="X192" s="22">
        <f>IF(ISERROR(SEARCH("no",Tabella1[[#This Row],[Fumo]],1)),0,1)</f>
        <v>0</v>
      </c>
      <c r="Y192" s="7" t="s">
        <v>25</v>
      </c>
      <c r="Z192" s="17">
        <f>IF(ISERROR(SEARCH("NDD",Tabella1[[#This Row],[Bevitore alcolici]],1)),0,1)</f>
        <v>0</v>
      </c>
      <c r="AA192" s="17">
        <f>IF(ISERROR(SEARCH("raro",Tabella1[[#This Row],[Bevitore alcolici]],1)),0,1)</f>
        <v>0</v>
      </c>
      <c r="AB192" s="17">
        <f>IF(ISERROR(SEARCH("saltuariamente",Tabella1[[#This Row],[Bevitore alcolici]],1)),0,1)</f>
        <v>0</v>
      </c>
      <c r="AC192" s="17">
        <f>IF(ISERROR(SEARCH("nega",Tabella1[[#This Row],[Bevitore alcolici]],1)),0,1)</f>
        <v>1</v>
      </c>
      <c r="AD192" s="17">
        <f>IF(ISERROR(SEARCH("potus",Tabella1[[#This Row],[Bevitore alcolici]],1)),0,1)</f>
        <v>0</v>
      </c>
      <c r="AE192" s="7" t="s">
        <v>657</v>
      </c>
      <c r="AF192" s="17"/>
      <c r="AG192" s="17"/>
      <c r="AH192" s="17"/>
      <c r="AI192" s="17"/>
      <c r="AJ192" s="17"/>
      <c r="AK192" s="7" t="s">
        <v>28</v>
      </c>
      <c r="AL192" s="17">
        <f>IF(ISERROR(SEARCH("si",Tabella1[[#This Row],[Patente di guida]],1)),0,1)</f>
        <v>1</v>
      </c>
      <c r="AM192" s="7" t="s">
        <v>28</v>
      </c>
      <c r="AN192" s="17">
        <f>IF(ISERROR(SEARCH("no",Tabella1[[#This Row],[Ipertensione]],1)),0,1)</f>
        <v>0</v>
      </c>
      <c r="AO192" s="7" t="s">
        <v>382</v>
      </c>
      <c r="AP192" s="18">
        <f>IF(ISERROR(SEARCH("NO",Tabella1[[#This Row],[Cardiopatia ischemica]],1)),1,0)</f>
        <v>0</v>
      </c>
      <c r="AQ192" s="17">
        <f>IF(ISERROR(SEARCH("sconosciuto",Tabella1[[#This Row],[Cardiopatia ischemica]],1)),0,1)</f>
        <v>0</v>
      </c>
      <c r="AR192" s="7" t="s">
        <v>25</v>
      </c>
      <c r="AS192" s="22">
        <f>IF(ISERROR(SEARCH("nega",Tabella1[[#This Row],[Artimie]],1)),0,1)</f>
        <v>1</v>
      </c>
      <c r="AT192" s="7" t="s">
        <v>28</v>
      </c>
      <c r="AU192" s="22">
        <f>IF(ISERROR(SEARCH("nega",Tabella1[[#This Row],[Ipercolesterolemia]],1)),0,1)</f>
        <v>0</v>
      </c>
      <c r="AV192" s="22">
        <f>IF(ISERROR(SEARCH("boh",Tabella1[[#This Row],[Ipercolesterolemia]],1)),0,1)</f>
        <v>0</v>
      </c>
      <c r="AW192" s="7" t="s">
        <v>28</v>
      </c>
      <c r="AX192" s="22">
        <f>IF(ISERROR(SEARCH("Intolleranza",Tabella1[[#This Row],[Diabete]],1)),0,1)</f>
        <v>0</v>
      </c>
      <c r="AY192" s="22">
        <f>IF(ISERROR(SEARCH("si",Tabella1[[#This Row],[Diabete]],1)),0,1)</f>
        <v>1</v>
      </c>
      <c r="AZ192" s="7" t="s">
        <v>8</v>
      </c>
      <c r="BA192" s="17">
        <f>IF(ISERROR(SEARCH("NDD",Tabella1[[#This Row],[Patologia Tiroidea]],1)),0,1)</f>
        <v>0</v>
      </c>
      <c r="BB192" s="22">
        <f>IF(ISERROR(SEARCH("TIROIDITE",Tabella1[[#This Row],[Patologia Tiroidea]],1)),0,1)</f>
        <v>0</v>
      </c>
      <c r="BC192" s="22">
        <f>IF(ISERROR(SEARCH("HASHIMOTO",Tabella1[[#This Row],[Patologia Tiroidea]],1)),0,1)</f>
        <v>0</v>
      </c>
      <c r="BD192" s="22">
        <f>IF(ISERROR(SEARCH("BASEDOW",Tabella1[[#This Row],[Patologia Tiroidea]],1)),0,1)</f>
        <v>0</v>
      </c>
      <c r="BE192" s="22">
        <f>IF(ISERROR(SEARCH("NOD",Tabella1[[#This Row],[Patologia Tiroidea]],1)),0,1)</f>
        <v>0</v>
      </c>
      <c r="BF192" s="22">
        <f>IF(ISERROR(SEARCH("GOZ",Tabella1[[#This Row],[Patologia Tiroidea]],1)),0,1)</f>
        <v>0</v>
      </c>
      <c r="BG192" s="7" t="s">
        <v>8</v>
      </c>
      <c r="BH192" s="17">
        <f>IF(Tabella1[[#This Row],[Obesità]]="no",0,1)</f>
        <v>0</v>
      </c>
      <c r="BI192" s="7" t="s">
        <v>28</v>
      </c>
      <c r="BJ192" s="22">
        <f>IF(ISERROR(SEARCH("nega",Tabella1[[#This Row],[Reflusso gastroesofageo]],1)),1,0)</f>
        <v>1</v>
      </c>
      <c r="BK192" s="7" t="s">
        <v>2086</v>
      </c>
      <c r="BL192" s="17">
        <f>IF(ISERROR(SEARCH("NDD",Tabella1[[#This Row],[Patologia respiratoria]],1)),0,1)</f>
        <v>0</v>
      </c>
      <c r="BM192" s="17">
        <f>IF(ISERROR(SEARCH("asma",Tabella1[[#This Row],[Patologia respiratoria]],1)),0,1)</f>
        <v>0</v>
      </c>
      <c r="BN192" s="17">
        <f>IF(ISERROR(SEARCH("BPCO",Tabella1[[#This Row],[Patologia respiratoria]],1)),0,1)</f>
        <v>0</v>
      </c>
      <c r="BO192" s="17">
        <f>IF(ISERROR(SEARCH("BRONCOPOLMONITE",Tabella1[[#This Row],[Patologia respiratoria]],1)),0,1)</f>
        <v>0</v>
      </c>
      <c r="BP192" s="17">
        <f>IF(ISERROR(SEARCH("ASMA, OSAS",Tabella1[[#This Row],[Patologia respiratoria]],1)),0,1)</f>
        <v>0</v>
      </c>
      <c r="BQ192" s="17">
        <f>IF(ISERROR(SEARCH("OSAS e BPCO",Tabella1[[#This Row],[Patologia respiratoria]],1)),0,1)</f>
        <v>0</v>
      </c>
      <c r="BR192" s="17">
        <f>IF(ISERROR(SEARCH("OSAS",Tabella1[[#This Row],[Patologia respiratoria]],1)),0,1)</f>
        <v>0</v>
      </c>
      <c r="BS192" s="7" t="s">
        <v>2087</v>
      </c>
      <c r="BT192" s="7" t="s">
        <v>2088</v>
      </c>
      <c r="BU192" s="7" t="s">
        <v>8</v>
      </c>
      <c r="BV192" s="17">
        <f>IF(ISERROR(SEARCH("ndd",Tabella1[[#This Row],[O2 terapia]],1)),0,1)</f>
        <v>0</v>
      </c>
      <c r="BW192" s="17">
        <v>0</v>
      </c>
      <c r="BX192" s="7"/>
      <c r="BY192" s="7" t="s">
        <v>28</v>
      </c>
      <c r="BZ192" s="17">
        <v>1</v>
      </c>
      <c r="CA192" s="7" t="s">
        <v>8</v>
      </c>
      <c r="CB192" s="17">
        <v>0</v>
      </c>
      <c r="CC192" s="7" t="s">
        <v>8</v>
      </c>
      <c r="CD192" s="18">
        <v>0</v>
      </c>
      <c r="CE192" s="7" t="s">
        <v>8</v>
      </c>
      <c r="CF192" s="18">
        <v>0</v>
      </c>
      <c r="CG192" s="7" t="s">
        <v>8</v>
      </c>
      <c r="CH192" s="17">
        <v>0</v>
      </c>
      <c r="CI192" s="7" t="s">
        <v>28</v>
      </c>
      <c r="CJ192" s="17">
        <v>1</v>
      </c>
      <c r="CK192" s="7" t="s">
        <v>8</v>
      </c>
      <c r="CL192" s="17">
        <v>0</v>
      </c>
      <c r="CM192" s="7" t="s">
        <v>8</v>
      </c>
      <c r="CN192" s="17">
        <v>0</v>
      </c>
      <c r="CO192" s="7" t="s">
        <v>8</v>
      </c>
      <c r="CP192" s="18">
        <v>0</v>
      </c>
      <c r="CQ192" s="7" t="s">
        <v>54</v>
      </c>
      <c r="CR192" s="7" t="s">
        <v>70</v>
      </c>
      <c r="CS192" s="7" t="s">
        <v>219</v>
      </c>
      <c r="CT192" s="7" t="s">
        <v>539</v>
      </c>
      <c r="CU192" s="7" t="s">
        <v>2089</v>
      </c>
      <c r="CV192" s="8" t="s">
        <v>2090</v>
      </c>
    </row>
    <row r="193" spans="1:100" ht="213.75">
      <c r="A193" s="1">
        <f t="shared" si="2"/>
        <v>192</v>
      </c>
      <c r="B193" s="9">
        <v>1133</v>
      </c>
      <c r="C193" s="10">
        <v>45238</v>
      </c>
      <c r="D193" s="11" t="s">
        <v>2091</v>
      </c>
      <c r="E193" s="10">
        <v>26191</v>
      </c>
      <c r="F193" s="29">
        <f ca="1">_xlfn.DAYS(NOW(),Tabella1[[#This Row],[Data di Nascita]])/365.25</f>
        <v>53.886379192334019</v>
      </c>
      <c r="G193" s="11" t="s">
        <v>2092</v>
      </c>
      <c r="H193" s="11" t="s">
        <v>2093</v>
      </c>
      <c r="I193" s="11" t="s">
        <v>880</v>
      </c>
      <c r="J193" s="11" t="s">
        <v>742</v>
      </c>
      <c r="K193" s="11" t="s">
        <v>2094</v>
      </c>
      <c r="L193" s="18">
        <f>IF(ISERROR(SEARCH("EX",Tabella1[[#This Row],[Attività lavorativa]],1)),0,1)</f>
        <v>0</v>
      </c>
      <c r="M193" s="18"/>
      <c r="N193" s="17">
        <v>1</v>
      </c>
      <c r="O193" s="18"/>
      <c r="P193" s="18"/>
      <c r="Q193" s="18"/>
      <c r="R193" s="18"/>
      <c r="S193" s="18"/>
      <c r="T193" s="17">
        <f>IF(ISERROR(SEARCH("NDD",Tabella1[[#This Row],[Attività lavorativa]],1)),0,1)</f>
        <v>0</v>
      </c>
      <c r="U193" s="11" t="s">
        <v>8</v>
      </c>
      <c r="V193" s="22"/>
      <c r="W193" s="22">
        <f>IF(ISERROR(SEARCH("ex",Tabella1[[#This Row],[Fumo]],1)),0,1)</f>
        <v>0</v>
      </c>
      <c r="X193" s="22">
        <f>IF(ISERROR(SEARCH("no",Tabella1[[#This Row],[Fumo]],1)),0,1)</f>
        <v>1</v>
      </c>
      <c r="Y193" s="11" t="s">
        <v>486</v>
      </c>
      <c r="Z193" s="18">
        <f>IF(ISERROR(SEARCH("NDD",Tabella1[[#This Row],[Bevitore alcolici]],1)),0,1)</f>
        <v>0</v>
      </c>
      <c r="AA193" s="17">
        <f>IF(ISERROR(SEARCH("raro",Tabella1[[#This Row],[Bevitore alcolici]],1)),0,1)</f>
        <v>0</v>
      </c>
      <c r="AB193" s="17">
        <f>IF(ISERROR(SEARCH("saltuariamente",Tabella1[[#This Row],[Bevitore alcolici]],1)),0,1)</f>
        <v>0</v>
      </c>
      <c r="AC193" s="17">
        <f>IF(ISERROR(SEARCH("nega",Tabella1[[#This Row],[Bevitore alcolici]],1)),0,1)</f>
        <v>0</v>
      </c>
      <c r="AD193" s="17">
        <f>IF(ISERROR(SEARCH("potus",Tabella1[[#This Row],[Bevitore alcolici]],1)),0,1)</f>
        <v>0</v>
      </c>
      <c r="AE193" s="11" t="s">
        <v>657</v>
      </c>
      <c r="AF193" s="18"/>
      <c r="AG193" s="18"/>
      <c r="AH193" s="18"/>
      <c r="AI193" s="18"/>
      <c r="AJ193" s="18"/>
      <c r="AK193" s="11" t="s">
        <v>28</v>
      </c>
      <c r="AL193" s="18">
        <f>IF(ISERROR(SEARCH("si",Tabella1[[#This Row],[Patente di guida]],1)),0,1)</f>
        <v>1</v>
      </c>
      <c r="AM193" s="11" t="s">
        <v>8</v>
      </c>
      <c r="AN193" s="18">
        <f>IF(ISERROR(SEARCH("no",Tabella1[[#This Row],[Ipertensione]],1)),0,1)</f>
        <v>1</v>
      </c>
      <c r="AO193" s="11" t="s">
        <v>382</v>
      </c>
      <c r="AP193" s="18">
        <f>IF(ISERROR(SEARCH("NO",Tabella1[[#This Row],[Cardiopatia ischemica]],1)),1,0)</f>
        <v>0</v>
      </c>
      <c r="AQ193" s="17">
        <f>IF(ISERROR(SEARCH("sconosciuto",Tabella1[[#This Row],[Cardiopatia ischemica]],1)),0,1)</f>
        <v>0</v>
      </c>
      <c r="AR193" s="11" t="s">
        <v>25</v>
      </c>
      <c r="AS193" s="22">
        <f>IF(ISERROR(SEARCH("nega",Tabella1[[#This Row],[Artimie]],1)),0,1)</f>
        <v>1</v>
      </c>
      <c r="AT193" s="11" t="s">
        <v>25</v>
      </c>
      <c r="AU193" s="22">
        <f>IF(ISERROR(SEARCH("nega",Tabella1[[#This Row],[Ipercolesterolemia]],1)),0,1)</f>
        <v>1</v>
      </c>
      <c r="AV193" s="22">
        <f>IF(ISERROR(SEARCH("boh",Tabella1[[#This Row],[Ipercolesterolemia]],1)),0,1)</f>
        <v>0</v>
      </c>
      <c r="AW193" s="11" t="s">
        <v>8</v>
      </c>
      <c r="AX193" s="22">
        <f>IF(ISERROR(SEARCH("Intolleranza",Tabella1[[#This Row],[Diabete]],1)),0,1)</f>
        <v>0</v>
      </c>
      <c r="AY193" s="22">
        <f>IF(ISERROR(SEARCH("si",Tabella1[[#This Row],[Diabete]],1)),0,1)</f>
        <v>0</v>
      </c>
      <c r="AZ193" s="11" t="s">
        <v>8</v>
      </c>
      <c r="BA193" s="18">
        <f>IF(ISERROR(SEARCH("NDD",Tabella1[[#This Row],[Patologia Tiroidea]],1)),0,1)</f>
        <v>0</v>
      </c>
      <c r="BB193" s="22">
        <f>IF(ISERROR(SEARCH("TIROIDITE",Tabella1[[#This Row],[Patologia Tiroidea]],1)),0,1)</f>
        <v>0</v>
      </c>
      <c r="BC193" s="22">
        <f>IF(ISERROR(SEARCH("HASHIMOTO",Tabella1[[#This Row],[Patologia Tiroidea]],1)),0,1)</f>
        <v>0</v>
      </c>
      <c r="BD193" s="22">
        <f>IF(ISERROR(SEARCH("BASEDOW",Tabella1[[#This Row],[Patologia Tiroidea]],1)),0,1)</f>
        <v>0</v>
      </c>
      <c r="BE193" s="22">
        <f>IF(ISERROR(SEARCH("NOD",Tabella1[[#This Row],[Patologia Tiroidea]],1)),0,1)</f>
        <v>0</v>
      </c>
      <c r="BF193" s="22">
        <f>IF(ISERROR(SEARCH("GOZ",Tabella1[[#This Row],[Patologia Tiroidea]],1)),0,1)</f>
        <v>0</v>
      </c>
      <c r="BG193" s="11" t="s">
        <v>8</v>
      </c>
      <c r="BH193" s="18">
        <f>IF(Tabella1[[#This Row],[Obesità]]="no",0,1)</f>
        <v>0</v>
      </c>
      <c r="BI193" s="11" t="s">
        <v>28</v>
      </c>
      <c r="BJ193" s="22">
        <f>IF(ISERROR(SEARCH("nega",Tabella1[[#This Row],[Reflusso gastroesofageo]],1)),1,0)</f>
        <v>1</v>
      </c>
      <c r="BK193" s="11" t="s">
        <v>8</v>
      </c>
      <c r="BL193" s="18">
        <f>IF(ISERROR(SEARCH("NDD",Tabella1[[#This Row],[Patologia respiratoria]],1)),0,1)</f>
        <v>0</v>
      </c>
      <c r="BM193" s="18">
        <f>IF(ISERROR(SEARCH("asma",Tabella1[[#This Row],[Patologia respiratoria]],1)),0,1)</f>
        <v>0</v>
      </c>
      <c r="BN193" s="18">
        <f>IF(ISERROR(SEARCH("BPCO",Tabella1[[#This Row],[Patologia respiratoria]],1)),0,1)</f>
        <v>0</v>
      </c>
      <c r="BO193" s="18">
        <f>IF(ISERROR(SEARCH("BRONCOPOLMONITE",Tabella1[[#This Row],[Patologia respiratoria]],1)),0,1)</f>
        <v>0</v>
      </c>
      <c r="BP193" s="18">
        <f>IF(ISERROR(SEARCH("ASMA, OSAS",Tabella1[[#This Row],[Patologia respiratoria]],1)),0,1)</f>
        <v>0</v>
      </c>
      <c r="BQ193" s="18">
        <f>IF(ISERROR(SEARCH("OSAS e BPCO",Tabella1[[#This Row],[Patologia respiratoria]],1)),0,1)</f>
        <v>0</v>
      </c>
      <c r="BR193" s="18">
        <f>IF(ISERROR(SEARCH("OSAS",Tabella1[[#This Row],[Patologia respiratoria]],1)),0,1)</f>
        <v>0</v>
      </c>
      <c r="BS193" s="11"/>
      <c r="BT193" s="11" t="s">
        <v>1546</v>
      </c>
      <c r="BU193" s="11" t="s">
        <v>8</v>
      </c>
      <c r="BV193" s="18">
        <f>IF(ISERROR(SEARCH("ndd",Tabella1[[#This Row],[O2 terapia]],1)),0,1)</f>
        <v>0</v>
      </c>
      <c r="BW193" s="17">
        <v>0</v>
      </c>
      <c r="BX193" s="11" t="s">
        <v>2095</v>
      </c>
      <c r="BY193" s="11" t="s">
        <v>2096</v>
      </c>
      <c r="BZ193" s="17">
        <v>1</v>
      </c>
      <c r="CA193" s="11" t="s">
        <v>8</v>
      </c>
      <c r="CB193" s="17">
        <v>0</v>
      </c>
      <c r="CC193" s="11" t="s">
        <v>8</v>
      </c>
      <c r="CD193" s="18">
        <v>0</v>
      </c>
      <c r="CE193" s="11" t="s">
        <v>8</v>
      </c>
      <c r="CF193" s="18">
        <v>0</v>
      </c>
      <c r="CG193" s="11" t="s">
        <v>8</v>
      </c>
      <c r="CH193" s="17">
        <v>0</v>
      </c>
      <c r="CI193" s="11" t="s">
        <v>28</v>
      </c>
      <c r="CJ193" s="17">
        <v>1</v>
      </c>
      <c r="CK193" s="11" t="s">
        <v>2039</v>
      </c>
      <c r="CL193" s="17">
        <v>1</v>
      </c>
      <c r="CM193" s="11" t="s">
        <v>28</v>
      </c>
      <c r="CN193" s="17">
        <v>1</v>
      </c>
      <c r="CO193" s="11" t="s">
        <v>8</v>
      </c>
      <c r="CP193" s="18">
        <v>0</v>
      </c>
      <c r="CQ193" s="11" t="s">
        <v>54</v>
      </c>
      <c r="CR193" s="11" t="s">
        <v>8</v>
      </c>
      <c r="CS193" s="11" t="s">
        <v>219</v>
      </c>
      <c r="CT193" s="11" t="s">
        <v>15</v>
      </c>
      <c r="CU193" s="11" t="s">
        <v>2097</v>
      </c>
      <c r="CV193" s="12" t="s">
        <v>1977</v>
      </c>
    </row>
    <row r="194" spans="1:100" ht="199.5">
      <c r="A194" s="1">
        <f t="shared" si="2"/>
        <v>193</v>
      </c>
      <c r="B194" s="5">
        <v>1134</v>
      </c>
      <c r="C194" s="6">
        <v>45238</v>
      </c>
      <c r="D194" s="7" t="s">
        <v>2098</v>
      </c>
      <c r="E194" s="6">
        <v>25768</v>
      </c>
      <c r="F194" s="29">
        <f ca="1">_xlfn.DAYS(NOW(),Tabella1[[#This Row],[Data di Nascita]])/365.25</f>
        <v>55.044490075290895</v>
      </c>
      <c r="G194" s="7" t="s">
        <v>2099</v>
      </c>
      <c r="H194" s="7" t="s">
        <v>2100</v>
      </c>
      <c r="I194" s="7" t="s">
        <v>955</v>
      </c>
      <c r="J194" s="7" t="s">
        <v>2101</v>
      </c>
      <c r="K194" s="7" t="s">
        <v>1833</v>
      </c>
      <c r="L194" s="17">
        <f>IF(ISERROR(SEARCH("EX",Tabella1[[#This Row],[Attività lavorativa]],1)),0,1)</f>
        <v>0</v>
      </c>
      <c r="M194" s="17"/>
      <c r="N194" s="17"/>
      <c r="O194" s="17"/>
      <c r="P194" s="17"/>
      <c r="Q194" s="17"/>
      <c r="R194" s="17"/>
      <c r="S194" s="17"/>
      <c r="T194" s="17">
        <f>IF(ISERROR(SEARCH("NDD",Tabella1[[#This Row],[Attività lavorativa]],1)),0,1)</f>
        <v>0</v>
      </c>
      <c r="U194" s="7" t="s">
        <v>8</v>
      </c>
      <c r="V194" s="22"/>
      <c r="W194" s="22">
        <f>IF(ISERROR(SEARCH("ex",Tabella1[[#This Row],[Fumo]],1)),0,1)</f>
        <v>0</v>
      </c>
      <c r="X194" s="22">
        <f>IF(ISERROR(SEARCH("no",Tabella1[[#This Row],[Fumo]],1)),0,1)</f>
        <v>1</v>
      </c>
      <c r="Y194" s="7" t="s">
        <v>25</v>
      </c>
      <c r="Z194" s="17">
        <f>IF(ISERROR(SEARCH("NDD",Tabella1[[#This Row],[Bevitore alcolici]],1)),0,1)</f>
        <v>0</v>
      </c>
      <c r="AA194" s="17">
        <f>IF(ISERROR(SEARCH("raro",Tabella1[[#This Row],[Bevitore alcolici]],1)),0,1)</f>
        <v>0</v>
      </c>
      <c r="AB194" s="17">
        <f>IF(ISERROR(SEARCH("saltuariamente",Tabella1[[#This Row],[Bevitore alcolici]],1)),0,1)</f>
        <v>0</v>
      </c>
      <c r="AC194" s="17">
        <f>IF(ISERROR(SEARCH("nega",Tabella1[[#This Row],[Bevitore alcolici]],1)),0,1)</f>
        <v>1</v>
      </c>
      <c r="AD194" s="17">
        <f>IF(ISERROR(SEARCH("potus",Tabella1[[#This Row],[Bevitore alcolici]],1)),0,1)</f>
        <v>0</v>
      </c>
      <c r="AE194" s="7" t="s">
        <v>2102</v>
      </c>
      <c r="AF194" s="17"/>
      <c r="AG194" s="18">
        <v>1</v>
      </c>
      <c r="AH194" s="18">
        <v>1</v>
      </c>
      <c r="AI194" s="18"/>
      <c r="AJ194" s="18"/>
      <c r="AK194" s="7" t="s">
        <v>8</v>
      </c>
      <c r="AL194" s="17">
        <f>IF(ISERROR(SEARCH("si",Tabella1[[#This Row],[Patente di guida]],1)),0,1)</f>
        <v>0</v>
      </c>
      <c r="AM194" s="7" t="s">
        <v>28</v>
      </c>
      <c r="AN194" s="17">
        <f>IF(ISERROR(SEARCH("no",Tabella1[[#This Row],[Ipertensione]],1)),0,1)</f>
        <v>0</v>
      </c>
      <c r="AO194" s="7" t="s">
        <v>382</v>
      </c>
      <c r="AP194" s="18">
        <f>IF(ISERROR(SEARCH("NO",Tabella1[[#This Row],[Cardiopatia ischemica]],1)),1,0)</f>
        <v>0</v>
      </c>
      <c r="AQ194" s="17">
        <f>IF(ISERROR(SEARCH("sconosciuto",Tabella1[[#This Row],[Cardiopatia ischemica]],1)),0,1)</f>
        <v>0</v>
      </c>
      <c r="AR194" s="7" t="s">
        <v>25</v>
      </c>
      <c r="AS194" s="17">
        <f>IF(ISERROR(SEARCH("nega",Tabella1[[#This Row],[Artimie]],1)),0,1)</f>
        <v>1</v>
      </c>
      <c r="AT194" s="7" t="s">
        <v>25</v>
      </c>
      <c r="AU194" s="17">
        <f>IF(ISERROR(SEARCH("nega",Tabella1[[#This Row],[Ipercolesterolemia]],1)),0,1)</f>
        <v>1</v>
      </c>
      <c r="AV194" s="17">
        <f>IF(ISERROR(SEARCH("boh",Tabella1[[#This Row],[Ipercolesterolemia]],1)),0,1)</f>
        <v>0</v>
      </c>
      <c r="AW194" s="7" t="s">
        <v>8</v>
      </c>
      <c r="AX194" s="17">
        <f>IF(ISERROR(SEARCH("Intolleranza",Tabella1[[#This Row],[Diabete]],1)),0,1)</f>
        <v>0</v>
      </c>
      <c r="AY194" s="17">
        <f>IF(ISERROR(SEARCH("si",Tabella1[[#This Row],[Diabete]],1)),0,1)</f>
        <v>0</v>
      </c>
      <c r="AZ194" s="7" t="s">
        <v>28</v>
      </c>
      <c r="BA194" s="17">
        <f>IF(ISERROR(SEARCH("NDD",Tabella1[[#This Row],[Patologia Tiroidea]],1)),0,1)</f>
        <v>0</v>
      </c>
      <c r="BB194" s="17">
        <f>IF(ISERROR(SEARCH("TIROIDITE",Tabella1[[#This Row],[Patologia Tiroidea]],1)),0,1)</f>
        <v>0</v>
      </c>
      <c r="BC194" s="17">
        <f>IF(ISERROR(SEARCH("HASHIMOTO",Tabella1[[#This Row],[Patologia Tiroidea]],1)),0,1)</f>
        <v>0</v>
      </c>
      <c r="BD194" s="17">
        <f>IF(ISERROR(SEARCH("BASEDOW",Tabella1[[#This Row],[Patologia Tiroidea]],1)),0,1)</f>
        <v>0</v>
      </c>
      <c r="BE194" s="17">
        <f>IF(ISERROR(SEARCH("NOD",Tabella1[[#This Row],[Patologia Tiroidea]],1)),0,1)</f>
        <v>0</v>
      </c>
      <c r="BF194" s="17">
        <f>IF(ISERROR(SEARCH("GOZ",Tabella1[[#This Row],[Patologia Tiroidea]],1)),0,1)</f>
        <v>0</v>
      </c>
      <c r="BG194" s="7" t="s">
        <v>28</v>
      </c>
      <c r="BH194" s="17">
        <f>IF(Tabella1[[#This Row],[Obesità]]="no",0,1)</f>
        <v>1</v>
      </c>
      <c r="BI194" s="7" t="s">
        <v>28</v>
      </c>
      <c r="BJ194" s="22">
        <f>IF(ISERROR(SEARCH("nega",Tabella1[[#This Row],[Reflusso gastroesofageo]],1)),1,0)</f>
        <v>1</v>
      </c>
      <c r="BK194" s="7" t="s">
        <v>3806</v>
      </c>
      <c r="BL194" s="17">
        <f>IF(ISERROR(SEARCH("NDD",Tabella1[[#This Row],[Patologia respiratoria]],1)),0,1)</f>
        <v>0</v>
      </c>
      <c r="BM194" s="17">
        <f>IF(ISERROR(SEARCH("asma",Tabella1[[#This Row],[Patologia respiratoria]],1)),0,1)</f>
        <v>1</v>
      </c>
      <c r="BN194" s="17">
        <f>IF(ISERROR(SEARCH("BPCO",Tabella1[[#This Row],[Patologia respiratoria]],1)),0,1)</f>
        <v>0</v>
      </c>
      <c r="BO194" s="17">
        <f>IF(ISERROR(SEARCH("BRONCOPOLMONITE",Tabella1[[#This Row],[Patologia respiratoria]],1)),0,1)</f>
        <v>0</v>
      </c>
      <c r="BP194" s="17">
        <f>IF(ISERROR(SEARCH("ASMA, OSAS",Tabella1[[#This Row],[Patologia respiratoria]],1)),0,1)</f>
        <v>0</v>
      </c>
      <c r="BQ194" s="17">
        <f>IF(ISERROR(SEARCH("OSAS e BPCO",Tabella1[[#This Row],[Patologia respiratoria]],1)),0,1)</f>
        <v>0</v>
      </c>
      <c r="BR194" s="17">
        <f>IF(ISERROR(SEARCH("OSAS",Tabella1[[#This Row],[Patologia respiratoria]],1)),0,1)</f>
        <v>0</v>
      </c>
      <c r="BS194" s="7"/>
      <c r="BT194" s="7" t="s">
        <v>2103</v>
      </c>
      <c r="BU194" s="7" t="s">
        <v>5477</v>
      </c>
      <c r="BV194" s="17">
        <f>IF(ISERROR(SEARCH("ndd",Tabella1[[#This Row],[O2 terapia]],1)),0,1)</f>
        <v>1</v>
      </c>
      <c r="BW194" s="17"/>
      <c r="BX194" s="7"/>
      <c r="BY194" s="7" t="s">
        <v>8</v>
      </c>
      <c r="BZ194" s="18">
        <v>0</v>
      </c>
      <c r="CA194" s="7" t="s">
        <v>8</v>
      </c>
      <c r="CB194" s="17">
        <v>0</v>
      </c>
      <c r="CC194" s="7" t="s">
        <v>28</v>
      </c>
      <c r="CD194" s="17">
        <v>1</v>
      </c>
      <c r="CE194" s="7" t="s">
        <v>8</v>
      </c>
      <c r="CF194" s="18">
        <v>0</v>
      </c>
      <c r="CG194" s="7" t="s">
        <v>28</v>
      </c>
      <c r="CH194" s="17">
        <v>1</v>
      </c>
      <c r="CI194" s="7" t="s">
        <v>28</v>
      </c>
      <c r="CJ194" s="17">
        <v>1</v>
      </c>
      <c r="CK194" s="7" t="s">
        <v>28</v>
      </c>
      <c r="CL194" s="17">
        <v>1</v>
      </c>
      <c r="CM194" s="7" t="s">
        <v>28</v>
      </c>
      <c r="CN194" s="17">
        <v>1</v>
      </c>
      <c r="CO194" s="7" t="s">
        <v>28</v>
      </c>
      <c r="CP194" s="17">
        <v>1</v>
      </c>
      <c r="CQ194" s="7" t="s">
        <v>54</v>
      </c>
      <c r="CR194" s="7" t="s">
        <v>495</v>
      </c>
      <c r="CS194" s="7" t="s">
        <v>355</v>
      </c>
      <c r="CT194" s="7" t="s">
        <v>1922</v>
      </c>
      <c r="CU194" s="7" t="s">
        <v>2104</v>
      </c>
      <c r="CV194" s="8" t="s">
        <v>1977</v>
      </c>
    </row>
    <row r="195" spans="1:100" ht="242.25">
      <c r="A195" s="1">
        <f t="shared" ref="A195:A258" si="3">A194+1</f>
        <v>194</v>
      </c>
      <c r="B195" s="9">
        <v>1138</v>
      </c>
      <c r="C195" s="10">
        <v>45240</v>
      </c>
      <c r="D195" s="11" t="s">
        <v>2105</v>
      </c>
      <c r="E195" s="10">
        <v>26450</v>
      </c>
      <c r="F195" s="29">
        <f ca="1">_xlfn.DAYS(NOW(),Tabella1[[#This Row],[Data di Nascita]])/365.25</f>
        <v>53.177275838466805</v>
      </c>
      <c r="G195" s="11" t="s">
        <v>2106</v>
      </c>
      <c r="H195" s="11" t="s">
        <v>2107</v>
      </c>
      <c r="I195" s="11" t="s">
        <v>1008</v>
      </c>
      <c r="J195" s="11" t="s">
        <v>2108</v>
      </c>
      <c r="K195" s="11" t="s">
        <v>1014</v>
      </c>
      <c r="L195" s="18">
        <f>IF(ISERROR(SEARCH("EX",Tabella1[[#This Row],[Attività lavorativa]],1)),0,1)</f>
        <v>0</v>
      </c>
      <c r="M195" s="18"/>
      <c r="N195" s="17">
        <v>1</v>
      </c>
      <c r="O195" s="17"/>
      <c r="P195" s="17"/>
      <c r="Q195" s="17"/>
      <c r="R195" s="17"/>
      <c r="S195" s="17"/>
      <c r="T195" s="17">
        <f>IF(ISERROR(SEARCH("NDD",Tabella1[[#This Row],[Attività lavorativa]],1)),0,1)</f>
        <v>0</v>
      </c>
      <c r="U195" s="11" t="s">
        <v>2109</v>
      </c>
      <c r="V195" s="22">
        <v>50</v>
      </c>
      <c r="W195" s="22">
        <f>IF(ISERROR(SEARCH("ex",Tabella1[[#This Row],[Fumo]],1)),0,1)</f>
        <v>0</v>
      </c>
      <c r="X195" s="22">
        <f>IF(ISERROR(SEARCH("no",Tabella1[[#This Row],[Fumo]],1)),0,1)</f>
        <v>0</v>
      </c>
      <c r="Y195" s="11" t="s">
        <v>2110</v>
      </c>
      <c r="Z195" s="18">
        <f>IF(ISERROR(SEARCH("NDD",Tabella1[[#This Row],[Bevitore alcolici]],1)),0,1)</f>
        <v>0</v>
      </c>
      <c r="AA195" s="17">
        <f>IF(ISERROR(SEARCH("raro",Tabella1[[#This Row],[Bevitore alcolici]],1)),0,1)</f>
        <v>0</v>
      </c>
      <c r="AB195" s="17">
        <f>IF(ISERROR(SEARCH("saltuariamente",Tabella1[[#This Row],[Bevitore alcolici]],1)),0,1)</f>
        <v>0</v>
      </c>
      <c r="AC195" s="17">
        <f>IF(ISERROR(SEARCH("nega",Tabella1[[#This Row],[Bevitore alcolici]],1)),0,1)</f>
        <v>0</v>
      </c>
      <c r="AD195" s="17">
        <f>IF(ISERROR(SEARCH("potus",Tabella1[[#This Row],[Bevitore alcolici]],1)),0,1)</f>
        <v>0</v>
      </c>
      <c r="AE195" s="11" t="s">
        <v>657</v>
      </c>
      <c r="AF195" s="18"/>
      <c r="AG195" s="18"/>
      <c r="AH195" s="18"/>
      <c r="AI195" s="18"/>
      <c r="AJ195" s="18"/>
      <c r="AK195" s="11" t="s">
        <v>28</v>
      </c>
      <c r="AL195" s="18">
        <f>IF(ISERROR(SEARCH("si",Tabella1[[#This Row],[Patente di guida]],1)),0,1)</f>
        <v>1</v>
      </c>
      <c r="AM195" s="11" t="s">
        <v>8</v>
      </c>
      <c r="AN195" s="18">
        <f>IF(ISERROR(SEARCH("no",Tabella1[[#This Row],[Ipertensione]],1)),0,1)</f>
        <v>1</v>
      </c>
      <c r="AO195" s="11" t="s">
        <v>382</v>
      </c>
      <c r="AP195" s="18">
        <f>IF(ISERROR(SEARCH("NO",Tabella1[[#This Row],[Cardiopatia ischemica]],1)),1,0)</f>
        <v>0</v>
      </c>
      <c r="AQ195" s="17">
        <f>IF(ISERROR(SEARCH("sconosciuto",Tabella1[[#This Row],[Cardiopatia ischemica]],1)),0,1)</f>
        <v>0</v>
      </c>
      <c r="AR195" s="11" t="s">
        <v>25</v>
      </c>
      <c r="AS195" s="22">
        <f>IF(ISERROR(SEARCH("nega",Tabella1[[#This Row],[Artimie]],1)),0,1)</f>
        <v>1</v>
      </c>
      <c r="AT195" s="11" t="s">
        <v>7</v>
      </c>
      <c r="AU195" s="22">
        <f>IF(ISERROR(SEARCH("nega",Tabella1[[#This Row],[Ipercolesterolemia]],1)),0,1)</f>
        <v>0</v>
      </c>
      <c r="AV195" s="22">
        <f>IF(ISERROR(SEARCH("boh",Tabella1[[#This Row],[Ipercolesterolemia]],1)),0,1)</f>
        <v>0</v>
      </c>
      <c r="AW195" s="11" t="s">
        <v>8</v>
      </c>
      <c r="AX195" s="22">
        <f>IF(ISERROR(SEARCH("Intolleranza",Tabella1[[#This Row],[Diabete]],1)),0,1)</f>
        <v>0</v>
      </c>
      <c r="AY195" s="22">
        <f>IF(ISERROR(SEARCH("si",Tabella1[[#This Row],[Diabete]],1)),0,1)</f>
        <v>0</v>
      </c>
      <c r="AZ195" s="11" t="s">
        <v>3792</v>
      </c>
      <c r="BA195" s="18">
        <f>IF(ISERROR(SEARCH("NDD",Tabella1[[#This Row],[Patologia Tiroidea]],1)),0,1)</f>
        <v>0</v>
      </c>
      <c r="BB195" s="22">
        <f>IF(ISERROR(SEARCH("TIROIDITE",Tabella1[[#This Row],[Patologia Tiroidea]],1)),0,1)</f>
        <v>0</v>
      </c>
      <c r="BC195" s="22">
        <f>IF(ISERROR(SEARCH("HASHIMOTO",Tabella1[[#This Row],[Patologia Tiroidea]],1)),0,1)</f>
        <v>0</v>
      </c>
      <c r="BD195" s="22">
        <f>IF(ISERROR(SEARCH("BASEDOW",Tabella1[[#This Row],[Patologia Tiroidea]],1)),0,1)</f>
        <v>0</v>
      </c>
      <c r="BE195" s="22">
        <f>IF(ISERROR(SEARCH("NOD",Tabella1[[#This Row],[Patologia Tiroidea]],1)),0,1)</f>
        <v>1</v>
      </c>
      <c r="BF195" s="22">
        <f>IF(ISERROR(SEARCH("GOZ",Tabella1[[#This Row],[Patologia Tiroidea]],1)),0,1)</f>
        <v>0</v>
      </c>
      <c r="BG195" s="11" t="s">
        <v>8</v>
      </c>
      <c r="BH195" s="18">
        <f>IF(Tabella1[[#This Row],[Obesità]]="no",0,1)</f>
        <v>0</v>
      </c>
      <c r="BI195" s="11" t="s">
        <v>7</v>
      </c>
      <c r="BJ195" s="22">
        <f>IF(ISERROR(SEARCH("nega",Tabella1[[#This Row],[Reflusso gastroesofageo]],1)),1,0)</f>
        <v>1</v>
      </c>
      <c r="BK195" s="7" t="s">
        <v>5477</v>
      </c>
      <c r="BL195" s="17">
        <f>IF(ISERROR(SEARCH("NDD",Tabella1[[#This Row],[Patologia respiratoria]],1)),0,1)</f>
        <v>1</v>
      </c>
      <c r="BM195" s="18">
        <f>IF(ISERROR(SEARCH("asma",Tabella1[[#This Row],[Patologia respiratoria]],1)),0,1)</f>
        <v>0</v>
      </c>
      <c r="BN195" s="18">
        <f>IF(ISERROR(SEARCH("BPCO",Tabella1[[#This Row],[Patologia respiratoria]],1)),0,1)</f>
        <v>0</v>
      </c>
      <c r="BO195" s="18">
        <f>IF(ISERROR(SEARCH("BRONCOPOLMONITE",Tabella1[[#This Row],[Patologia respiratoria]],1)),0,1)</f>
        <v>0</v>
      </c>
      <c r="BP195" s="18">
        <f>IF(ISERROR(SEARCH("ASMA, OSAS",Tabella1[[#This Row],[Patologia respiratoria]],1)),0,1)</f>
        <v>0</v>
      </c>
      <c r="BQ195" s="18">
        <f>IF(ISERROR(SEARCH("OSAS e BPCO",Tabella1[[#This Row],[Patologia respiratoria]],1)),0,1)</f>
        <v>0</v>
      </c>
      <c r="BR195" s="18">
        <f>IF(ISERROR(SEARCH("OSAS",Tabella1[[#This Row],[Patologia respiratoria]],1)),0,1)</f>
        <v>0</v>
      </c>
      <c r="BS195" s="11" t="s">
        <v>2111</v>
      </c>
      <c r="BT195" s="11" t="s">
        <v>2112</v>
      </c>
      <c r="BU195" s="11" t="s">
        <v>8</v>
      </c>
      <c r="BV195" s="18">
        <f>IF(ISERROR(SEARCH("ndd",Tabella1[[#This Row],[O2 terapia]],1)),0,1)</f>
        <v>0</v>
      </c>
      <c r="BW195" s="17">
        <v>0</v>
      </c>
      <c r="BX195" s="11"/>
      <c r="BY195" s="11" t="s">
        <v>2113</v>
      </c>
      <c r="BZ195" s="17">
        <v>1</v>
      </c>
      <c r="CA195" s="11" t="s">
        <v>2114</v>
      </c>
      <c r="CB195" s="17">
        <v>1</v>
      </c>
      <c r="CC195" s="11" t="s">
        <v>7</v>
      </c>
      <c r="CD195" s="17">
        <v>1</v>
      </c>
      <c r="CE195" s="11" t="s">
        <v>8</v>
      </c>
      <c r="CF195" s="18">
        <v>0</v>
      </c>
      <c r="CG195" s="7" t="s">
        <v>5477</v>
      </c>
      <c r="CH195" s="18"/>
      <c r="CI195" s="7" t="s">
        <v>5477</v>
      </c>
      <c r="CJ195" s="18"/>
      <c r="CK195" s="11" t="s">
        <v>8</v>
      </c>
      <c r="CL195" s="17">
        <v>0</v>
      </c>
      <c r="CM195" s="11" t="s">
        <v>2115</v>
      </c>
      <c r="CN195" s="17">
        <v>1</v>
      </c>
      <c r="CO195" s="11" t="s">
        <v>2116</v>
      </c>
      <c r="CP195" s="17">
        <v>1</v>
      </c>
      <c r="CQ195" s="11" t="s">
        <v>1571</v>
      </c>
      <c r="CR195" s="11" t="s">
        <v>152</v>
      </c>
      <c r="CS195" s="11" t="s">
        <v>37</v>
      </c>
      <c r="CT195" s="11" t="s">
        <v>1443</v>
      </c>
      <c r="CU195" s="11" t="s">
        <v>2117</v>
      </c>
      <c r="CV195" s="12" t="s">
        <v>2118</v>
      </c>
    </row>
    <row r="196" spans="1:100" ht="42.75">
      <c r="A196" s="1">
        <f t="shared" si="3"/>
        <v>195</v>
      </c>
      <c r="B196" s="5">
        <v>1139</v>
      </c>
      <c r="C196" s="6">
        <v>45240</v>
      </c>
      <c r="D196" s="7" t="s">
        <v>2119</v>
      </c>
      <c r="E196" s="6">
        <v>24908</v>
      </c>
      <c r="F196" s="29">
        <f ca="1">_xlfn.DAYS(NOW(),Tabella1[[#This Row],[Data di Nascita]])/365.25</f>
        <v>57.399041752224505</v>
      </c>
      <c r="G196" s="7" t="s">
        <v>2120</v>
      </c>
      <c r="H196" s="7" t="s">
        <v>2121</v>
      </c>
      <c r="I196" s="7" t="s">
        <v>2122</v>
      </c>
      <c r="J196" s="7"/>
      <c r="K196" s="7" t="s">
        <v>2123</v>
      </c>
      <c r="L196" s="17">
        <f>IF(ISERROR(SEARCH("EX",Tabella1[[#This Row],[Attività lavorativa]],1)),0,1)</f>
        <v>0</v>
      </c>
      <c r="M196" s="17"/>
      <c r="N196" s="17"/>
      <c r="O196" s="17"/>
      <c r="P196" s="18">
        <v>1</v>
      </c>
      <c r="Q196" s="17"/>
      <c r="R196" s="17"/>
      <c r="S196" s="17"/>
      <c r="T196" s="17">
        <f>IF(ISERROR(SEARCH("NDD",Tabella1[[#This Row],[Attività lavorativa]],1)),0,1)</f>
        <v>0</v>
      </c>
      <c r="U196" s="7" t="s">
        <v>2124</v>
      </c>
      <c r="V196" s="22">
        <v>20</v>
      </c>
      <c r="W196" s="22">
        <f>IF(ISERROR(SEARCH("ex",Tabella1[[#This Row],[Fumo]],1)),0,1)</f>
        <v>0</v>
      </c>
      <c r="X196" s="22">
        <f>IF(ISERROR(SEARCH("no",Tabella1[[#This Row],[Fumo]],1)),0,1)</f>
        <v>0</v>
      </c>
      <c r="Y196" s="7" t="s">
        <v>25</v>
      </c>
      <c r="Z196" s="17">
        <f>IF(ISERROR(SEARCH("NDD",Tabella1[[#This Row],[Bevitore alcolici]],1)),0,1)</f>
        <v>0</v>
      </c>
      <c r="AA196" s="17">
        <f>IF(ISERROR(SEARCH("raro",Tabella1[[#This Row],[Bevitore alcolici]],1)),0,1)</f>
        <v>0</v>
      </c>
      <c r="AB196" s="17">
        <f>IF(ISERROR(SEARCH("saltuariamente",Tabella1[[#This Row],[Bevitore alcolici]],1)),0,1)</f>
        <v>0</v>
      </c>
      <c r="AC196" s="17">
        <f>IF(ISERROR(SEARCH("nega",Tabella1[[#This Row],[Bevitore alcolici]],1)),0,1)</f>
        <v>1</v>
      </c>
      <c r="AD196" s="17">
        <f>IF(ISERROR(SEARCH("potus",Tabella1[[#This Row],[Bevitore alcolici]],1)),0,1)</f>
        <v>0</v>
      </c>
      <c r="AE196" s="7" t="s">
        <v>5694</v>
      </c>
      <c r="AF196" s="17"/>
      <c r="AG196" s="18">
        <v>1</v>
      </c>
      <c r="AH196" s="18"/>
      <c r="AI196" s="18"/>
      <c r="AJ196" s="18"/>
      <c r="AK196" s="7" t="s">
        <v>8</v>
      </c>
      <c r="AL196" s="17">
        <f>IF(ISERROR(SEARCH("si",Tabella1[[#This Row],[Patente di guida]],1)),0,1)</f>
        <v>0</v>
      </c>
      <c r="AM196" s="7" t="s">
        <v>8</v>
      </c>
      <c r="AN196" s="17">
        <f>IF(ISERROR(SEARCH("no",Tabella1[[#This Row],[Ipertensione]],1)),0,1)</f>
        <v>1</v>
      </c>
      <c r="AO196" s="7" t="s">
        <v>3726</v>
      </c>
      <c r="AP196" s="18">
        <f>IF(ISERROR(SEARCH("NO",Tabella1[[#This Row],[Cardiopatia ischemica]],1)),1,0)</f>
        <v>0</v>
      </c>
      <c r="AQ196" s="17">
        <f>IF(ISERROR(SEARCH("sconosciuto",Tabella1[[#This Row],[Cardiopatia ischemica]],1)),0,1)</f>
        <v>1</v>
      </c>
      <c r="AR196" s="7" t="s">
        <v>2125</v>
      </c>
      <c r="AS196" s="22">
        <f>IF(ISERROR(SEARCH("nega",Tabella1[[#This Row],[Artimie]],1)),0,1)</f>
        <v>0</v>
      </c>
      <c r="AT196" s="7" t="s">
        <v>28</v>
      </c>
      <c r="AU196" s="22">
        <f>IF(ISERROR(SEARCH("nega",Tabella1[[#This Row],[Ipercolesterolemia]],1)),0,1)</f>
        <v>0</v>
      </c>
      <c r="AV196" s="22">
        <f>IF(ISERROR(SEARCH("boh",Tabella1[[#This Row],[Ipercolesterolemia]],1)),0,1)</f>
        <v>0</v>
      </c>
      <c r="AW196" s="7" t="s">
        <v>8</v>
      </c>
      <c r="AX196" s="22">
        <f>IF(ISERROR(SEARCH("Intolleranza",Tabella1[[#This Row],[Diabete]],1)),0,1)</f>
        <v>0</v>
      </c>
      <c r="AY196" s="22">
        <f>IF(ISERROR(SEARCH("si",Tabella1[[#This Row],[Diabete]],1)),0,1)</f>
        <v>0</v>
      </c>
      <c r="AZ196" s="7" t="s">
        <v>3726</v>
      </c>
      <c r="BA196" s="17">
        <f>IF(ISERROR(SEARCH("NDD",Tabella1[[#This Row],[Patologia Tiroidea]],1)),0,1)</f>
        <v>0</v>
      </c>
      <c r="BB196" s="22">
        <f>IF(ISERROR(SEARCH("TIROIDITE",Tabella1[[#This Row],[Patologia Tiroidea]],1)),0,1)</f>
        <v>0</v>
      </c>
      <c r="BC196" s="22">
        <f>IF(ISERROR(SEARCH("HASHIMOTO",Tabella1[[#This Row],[Patologia Tiroidea]],1)),0,1)</f>
        <v>0</v>
      </c>
      <c r="BD196" s="22">
        <f>IF(ISERROR(SEARCH("BASEDOW",Tabella1[[#This Row],[Patologia Tiroidea]],1)),0,1)</f>
        <v>0</v>
      </c>
      <c r="BE196" s="22">
        <f>IF(ISERROR(SEARCH("NOD",Tabella1[[#This Row],[Patologia Tiroidea]],1)),0,1)</f>
        <v>0</v>
      </c>
      <c r="BF196" s="22">
        <f>IF(ISERROR(SEARCH("GOZ",Tabella1[[#This Row],[Patologia Tiroidea]],1)),0,1)</f>
        <v>0</v>
      </c>
      <c r="BG196" s="7" t="s">
        <v>2126</v>
      </c>
      <c r="BH196" s="17">
        <f>IF(Tabella1[[#This Row],[Obesità]]="no",0,1)</f>
        <v>1</v>
      </c>
      <c r="BI196" s="7" t="s">
        <v>2127</v>
      </c>
      <c r="BJ196" s="22">
        <f>IF(ISERROR(SEARCH("nega",Tabella1[[#This Row],[Reflusso gastroesofageo]],1)),1,0)</f>
        <v>1</v>
      </c>
      <c r="BK196" s="7" t="s">
        <v>3809</v>
      </c>
      <c r="BL196" s="17">
        <f>IF(ISERROR(SEARCH("NDD",Tabella1[[#This Row],[Patologia respiratoria]],1)),0,1)</f>
        <v>0</v>
      </c>
      <c r="BM196" s="17">
        <f>IF(ISERROR(SEARCH("asma",Tabella1[[#This Row],[Patologia respiratoria]],1)),0,1)</f>
        <v>1</v>
      </c>
      <c r="BN196" s="17">
        <f>IF(ISERROR(SEARCH("BPCO",Tabella1[[#This Row],[Patologia respiratoria]],1)),0,1)</f>
        <v>0</v>
      </c>
      <c r="BO196" s="17">
        <f>IF(ISERROR(SEARCH("BRONCOPOLMONITE",Tabella1[[#This Row],[Patologia respiratoria]],1)),0,1)</f>
        <v>0</v>
      </c>
      <c r="BP196" s="17">
        <f>IF(ISERROR(SEARCH("ASMA, OSAS",Tabella1[[#This Row],[Patologia respiratoria]],1)),0,1)</f>
        <v>0</v>
      </c>
      <c r="BQ196" s="17">
        <f>IF(ISERROR(SEARCH("OSAS e BPCO",Tabella1[[#This Row],[Patologia respiratoria]],1)),0,1)</f>
        <v>0</v>
      </c>
      <c r="BR196" s="17">
        <f>IF(ISERROR(SEARCH("OSAS",Tabella1[[#This Row],[Patologia respiratoria]],1)),0,1)</f>
        <v>0</v>
      </c>
      <c r="BS196" s="7"/>
      <c r="BT196" s="7"/>
      <c r="BU196" s="7" t="s">
        <v>8</v>
      </c>
      <c r="BV196" s="17">
        <f>IF(ISERROR(SEARCH("ndd",Tabella1[[#This Row],[O2 terapia]],1)),0,1)</f>
        <v>0</v>
      </c>
      <c r="BW196" s="17">
        <v>0</v>
      </c>
      <c r="BX196" s="7"/>
      <c r="BY196" s="7" t="s">
        <v>2128</v>
      </c>
      <c r="BZ196" s="17">
        <v>1</v>
      </c>
      <c r="CA196" s="7" t="s">
        <v>2129</v>
      </c>
      <c r="CB196" s="17">
        <v>1</v>
      </c>
      <c r="CC196" s="7" t="s">
        <v>2130</v>
      </c>
      <c r="CD196" s="17">
        <v>1</v>
      </c>
      <c r="CE196" s="7" t="s">
        <v>8</v>
      </c>
      <c r="CF196" s="18">
        <v>0</v>
      </c>
      <c r="CG196" s="7" t="s">
        <v>8</v>
      </c>
      <c r="CH196" s="17">
        <v>0</v>
      </c>
      <c r="CI196" s="7" t="s">
        <v>5477</v>
      </c>
      <c r="CJ196" s="17"/>
      <c r="CK196" s="7" t="s">
        <v>1173</v>
      </c>
      <c r="CL196" s="17">
        <v>1</v>
      </c>
      <c r="CM196" s="7" t="s">
        <v>8</v>
      </c>
      <c r="CN196" s="17">
        <v>0</v>
      </c>
      <c r="CO196" s="7" t="s">
        <v>28</v>
      </c>
      <c r="CP196" s="17">
        <v>1</v>
      </c>
      <c r="CQ196" s="7" t="s">
        <v>69</v>
      </c>
      <c r="CR196" s="7" t="s">
        <v>369</v>
      </c>
      <c r="CS196" s="7" t="s">
        <v>71</v>
      </c>
      <c r="CT196" s="7" t="s">
        <v>736</v>
      </c>
      <c r="CU196" s="7"/>
      <c r="CV196" s="8"/>
    </row>
    <row r="197" spans="1:100" ht="185.25">
      <c r="A197" s="1">
        <f t="shared" si="3"/>
        <v>196</v>
      </c>
      <c r="B197" s="9">
        <v>1144</v>
      </c>
      <c r="C197" s="10">
        <v>45245</v>
      </c>
      <c r="D197" s="11" t="s">
        <v>2131</v>
      </c>
      <c r="E197" s="10">
        <v>25118</v>
      </c>
      <c r="F197" s="29">
        <f ca="1">_xlfn.DAYS(NOW(),Tabella1[[#This Row],[Data di Nascita]])/365.25</f>
        <v>56.824093086926766</v>
      </c>
      <c r="G197" s="11" t="s">
        <v>2132</v>
      </c>
      <c r="H197" s="11" t="s">
        <v>2133</v>
      </c>
      <c r="I197" s="11" t="s">
        <v>955</v>
      </c>
      <c r="J197" s="11" t="s">
        <v>1971</v>
      </c>
      <c r="K197" s="11" t="s">
        <v>2094</v>
      </c>
      <c r="L197" s="18">
        <f>IF(ISERROR(SEARCH("EX",Tabella1[[#This Row],[Attività lavorativa]],1)),0,1)</f>
        <v>0</v>
      </c>
      <c r="M197" s="18"/>
      <c r="N197" s="17">
        <v>1</v>
      </c>
      <c r="O197" s="18"/>
      <c r="P197" s="18"/>
      <c r="Q197" s="18"/>
      <c r="R197" s="18"/>
      <c r="S197" s="18"/>
      <c r="T197" s="17">
        <f>IF(ISERROR(SEARCH("NDD",Tabella1[[#This Row],[Attività lavorativa]],1)),0,1)</f>
        <v>0</v>
      </c>
      <c r="U197" s="11" t="s">
        <v>8</v>
      </c>
      <c r="V197" s="22"/>
      <c r="W197" s="22">
        <f>IF(ISERROR(SEARCH("ex",Tabella1[[#This Row],[Fumo]],1)),0,1)</f>
        <v>0</v>
      </c>
      <c r="X197" s="22">
        <f>IF(ISERROR(SEARCH("no",Tabella1[[#This Row],[Fumo]],1)),0,1)</f>
        <v>1</v>
      </c>
      <c r="Y197" s="11" t="s">
        <v>25</v>
      </c>
      <c r="Z197" s="18">
        <f>IF(ISERROR(SEARCH("NDD",Tabella1[[#This Row],[Bevitore alcolici]],1)),0,1)</f>
        <v>0</v>
      </c>
      <c r="AA197" s="17">
        <f>IF(ISERROR(SEARCH("raro",Tabella1[[#This Row],[Bevitore alcolici]],1)),0,1)</f>
        <v>0</v>
      </c>
      <c r="AB197" s="17">
        <f>IF(ISERROR(SEARCH("saltuariamente",Tabella1[[#This Row],[Bevitore alcolici]],1)),0,1)</f>
        <v>0</v>
      </c>
      <c r="AC197" s="17">
        <f>IF(ISERROR(SEARCH("nega",Tabella1[[#This Row],[Bevitore alcolici]],1)),0,1)</f>
        <v>1</v>
      </c>
      <c r="AD197" s="17">
        <f>IF(ISERROR(SEARCH("potus",Tabella1[[#This Row],[Bevitore alcolici]],1)),0,1)</f>
        <v>0</v>
      </c>
      <c r="AE197" s="11" t="s">
        <v>2134</v>
      </c>
      <c r="AF197" s="18"/>
      <c r="AG197" s="18">
        <v>1</v>
      </c>
      <c r="AH197" s="18"/>
      <c r="AI197" s="18"/>
      <c r="AJ197" s="18"/>
      <c r="AK197" s="11" t="s">
        <v>28</v>
      </c>
      <c r="AL197" s="18">
        <f>IF(ISERROR(SEARCH("si",Tabella1[[#This Row],[Patente di guida]],1)),0,1)</f>
        <v>1</v>
      </c>
      <c r="AM197" s="11" t="s">
        <v>8</v>
      </c>
      <c r="AN197" s="18">
        <f>IF(ISERROR(SEARCH("no",Tabella1[[#This Row],[Ipertensione]],1)),0,1)</f>
        <v>1</v>
      </c>
      <c r="AO197" s="11" t="s">
        <v>382</v>
      </c>
      <c r="AP197" s="18">
        <f>IF(ISERROR(SEARCH("NO",Tabella1[[#This Row],[Cardiopatia ischemica]],1)),1,0)</f>
        <v>0</v>
      </c>
      <c r="AQ197" s="17">
        <f>IF(ISERROR(SEARCH("sconosciuto",Tabella1[[#This Row],[Cardiopatia ischemica]],1)),0,1)</f>
        <v>0</v>
      </c>
      <c r="AR197" s="11" t="s">
        <v>25</v>
      </c>
      <c r="AS197" s="22">
        <f>IF(ISERROR(SEARCH("nega",Tabella1[[#This Row],[Artimie]],1)),0,1)</f>
        <v>1</v>
      </c>
      <c r="AT197" s="11" t="s">
        <v>25</v>
      </c>
      <c r="AU197" s="22">
        <f>IF(ISERROR(SEARCH("nega",Tabella1[[#This Row],[Ipercolesterolemia]],1)),0,1)</f>
        <v>1</v>
      </c>
      <c r="AV197" s="22">
        <f>IF(ISERROR(SEARCH("boh",Tabella1[[#This Row],[Ipercolesterolemia]],1)),0,1)</f>
        <v>0</v>
      </c>
      <c r="AW197" s="11" t="s">
        <v>8</v>
      </c>
      <c r="AX197" s="22">
        <f>IF(ISERROR(SEARCH("Intolleranza",Tabella1[[#This Row],[Diabete]],1)),0,1)</f>
        <v>0</v>
      </c>
      <c r="AY197" s="22">
        <f>IF(ISERROR(SEARCH("si",Tabella1[[#This Row],[Diabete]],1)),0,1)</f>
        <v>0</v>
      </c>
      <c r="AZ197" s="11" t="s">
        <v>8</v>
      </c>
      <c r="BA197" s="18">
        <f>IF(ISERROR(SEARCH("NDD",Tabella1[[#This Row],[Patologia Tiroidea]],1)),0,1)</f>
        <v>0</v>
      </c>
      <c r="BB197" s="22">
        <f>IF(ISERROR(SEARCH("TIROIDITE",Tabella1[[#This Row],[Patologia Tiroidea]],1)),0,1)</f>
        <v>0</v>
      </c>
      <c r="BC197" s="22">
        <f>IF(ISERROR(SEARCH("HASHIMOTO",Tabella1[[#This Row],[Patologia Tiroidea]],1)),0,1)</f>
        <v>0</v>
      </c>
      <c r="BD197" s="22">
        <f>IF(ISERROR(SEARCH("BASEDOW",Tabella1[[#This Row],[Patologia Tiroidea]],1)),0,1)</f>
        <v>0</v>
      </c>
      <c r="BE197" s="22">
        <f>IF(ISERROR(SEARCH("NOD",Tabella1[[#This Row],[Patologia Tiroidea]],1)),0,1)</f>
        <v>0</v>
      </c>
      <c r="BF197" s="22">
        <f>IF(ISERROR(SEARCH("GOZ",Tabella1[[#This Row],[Patologia Tiroidea]],1)),0,1)</f>
        <v>0</v>
      </c>
      <c r="BG197" s="11" t="s">
        <v>8</v>
      </c>
      <c r="BH197" s="18">
        <f>IF(Tabella1[[#This Row],[Obesità]]="no",0,1)</f>
        <v>0</v>
      </c>
      <c r="BI197" s="11" t="s">
        <v>28</v>
      </c>
      <c r="BJ197" s="22">
        <f>IF(ISERROR(SEARCH("nega",Tabella1[[#This Row],[Reflusso gastroesofageo]],1)),1,0)</f>
        <v>1</v>
      </c>
      <c r="BK197" s="11" t="s">
        <v>8</v>
      </c>
      <c r="BL197" s="18">
        <f>IF(ISERROR(SEARCH("NDD",Tabella1[[#This Row],[Patologia respiratoria]],1)),0,1)</f>
        <v>0</v>
      </c>
      <c r="BM197" s="18">
        <f>IF(ISERROR(SEARCH("asma",Tabella1[[#This Row],[Patologia respiratoria]],1)),0,1)</f>
        <v>0</v>
      </c>
      <c r="BN197" s="18">
        <f>IF(ISERROR(SEARCH("BPCO",Tabella1[[#This Row],[Patologia respiratoria]],1)),0,1)</f>
        <v>0</v>
      </c>
      <c r="BO197" s="18">
        <f>IF(ISERROR(SEARCH("BRONCOPOLMONITE",Tabella1[[#This Row],[Patologia respiratoria]],1)),0,1)</f>
        <v>0</v>
      </c>
      <c r="BP197" s="18">
        <f>IF(ISERROR(SEARCH("ASMA, OSAS",Tabella1[[#This Row],[Patologia respiratoria]],1)),0,1)</f>
        <v>0</v>
      </c>
      <c r="BQ197" s="18">
        <f>IF(ISERROR(SEARCH("OSAS e BPCO",Tabella1[[#This Row],[Patologia respiratoria]],1)),0,1)</f>
        <v>0</v>
      </c>
      <c r="BR197" s="18">
        <f>IF(ISERROR(SEARCH("OSAS",Tabella1[[#This Row],[Patologia respiratoria]],1)),0,1)</f>
        <v>0</v>
      </c>
      <c r="BS197" s="11" t="s">
        <v>2135</v>
      </c>
      <c r="BT197" s="11" t="s">
        <v>2136</v>
      </c>
      <c r="BU197" s="11" t="s">
        <v>8</v>
      </c>
      <c r="BV197" s="18">
        <f>IF(ISERROR(SEARCH("ndd",Tabella1[[#This Row],[O2 terapia]],1)),0,1)</f>
        <v>0</v>
      </c>
      <c r="BW197" s="17">
        <v>0</v>
      </c>
      <c r="BX197" s="11"/>
      <c r="BY197" s="11" t="s">
        <v>8</v>
      </c>
      <c r="BZ197" s="18">
        <v>0</v>
      </c>
      <c r="CA197" s="11" t="s">
        <v>8</v>
      </c>
      <c r="CB197" s="17">
        <v>0</v>
      </c>
      <c r="CC197" s="11" t="s">
        <v>8</v>
      </c>
      <c r="CD197" s="18">
        <v>0</v>
      </c>
      <c r="CE197" s="11" t="s">
        <v>8</v>
      </c>
      <c r="CF197" s="18">
        <v>0</v>
      </c>
      <c r="CG197" s="11" t="s">
        <v>8</v>
      </c>
      <c r="CH197" s="17">
        <v>0</v>
      </c>
      <c r="CI197" s="11" t="s">
        <v>28</v>
      </c>
      <c r="CJ197" s="17">
        <v>1</v>
      </c>
      <c r="CK197" s="11" t="s">
        <v>2039</v>
      </c>
      <c r="CL197" s="17">
        <v>1</v>
      </c>
      <c r="CM197" s="11" t="s">
        <v>28</v>
      </c>
      <c r="CN197" s="17">
        <v>1</v>
      </c>
      <c r="CO197" s="11" t="s">
        <v>8</v>
      </c>
      <c r="CP197" s="18">
        <v>0</v>
      </c>
      <c r="CQ197" s="11" t="s">
        <v>54</v>
      </c>
      <c r="CR197" s="11" t="s">
        <v>318</v>
      </c>
      <c r="CS197" s="11" t="s">
        <v>219</v>
      </c>
      <c r="CT197" s="11" t="s">
        <v>420</v>
      </c>
      <c r="CU197" s="11" t="s">
        <v>2137</v>
      </c>
      <c r="CV197" s="12" t="s">
        <v>2138</v>
      </c>
    </row>
    <row r="198" spans="1:100" ht="299.25">
      <c r="A198" s="1">
        <f t="shared" si="3"/>
        <v>197</v>
      </c>
      <c r="B198" s="5">
        <v>1146</v>
      </c>
      <c r="C198" s="6">
        <v>45246</v>
      </c>
      <c r="D198" s="7" t="s">
        <v>2139</v>
      </c>
      <c r="E198" s="6">
        <v>26847</v>
      </c>
      <c r="F198" s="29">
        <f ca="1">_xlfn.DAYS(NOW(),Tabella1[[#This Row],[Data di Nascita]])/365.25</f>
        <v>52.090349075975361</v>
      </c>
      <c r="G198" s="7" t="s">
        <v>2140</v>
      </c>
      <c r="H198" s="7" t="s">
        <v>2141</v>
      </c>
      <c r="I198" s="7" t="s">
        <v>2142</v>
      </c>
      <c r="J198" s="7" t="s">
        <v>2143</v>
      </c>
      <c r="K198" s="7" t="s">
        <v>241</v>
      </c>
      <c r="L198" s="17">
        <f>IF(ISERROR(SEARCH("EX",Tabella1[[#This Row],[Attività lavorativa]],1)),0,1)</f>
        <v>0</v>
      </c>
      <c r="M198" s="17"/>
      <c r="N198" s="17"/>
      <c r="O198" s="17"/>
      <c r="P198" s="18">
        <v>1</v>
      </c>
      <c r="Q198" s="17"/>
      <c r="R198" s="17"/>
      <c r="S198" s="17"/>
      <c r="T198" s="17">
        <f>IF(ISERROR(SEARCH("NDD",Tabella1[[#This Row],[Attività lavorativa]],1)),0,1)</f>
        <v>0</v>
      </c>
      <c r="U198" s="7" t="s">
        <v>8</v>
      </c>
      <c r="V198" s="22"/>
      <c r="W198" s="22">
        <f>IF(ISERROR(SEARCH("ex",Tabella1[[#This Row],[Fumo]],1)),0,1)</f>
        <v>0</v>
      </c>
      <c r="X198" s="22">
        <f>IF(ISERROR(SEARCH("no",Tabella1[[#This Row],[Fumo]],1)),0,1)</f>
        <v>1</v>
      </c>
      <c r="Y198" s="7" t="s">
        <v>25</v>
      </c>
      <c r="Z198" s="17">
        <f>IF(ISERROR(SEARCH("NDD",Tabella1[[#This Row],[Bevitore alcolici]],1)),0,1)</f>
        <v>0</v>
      </c>
      <c r="AA198" s="17">
        <f>IF(ISERROR(SEARCH("raro",Tabella1[[#This Row],[Bevitore alcolici]],1)),0,1)</f>
        <v>0</v>
      </c>
      <c r="AB198" s="17">
        <f>IF(ISERROR(SEARCH("saltuariamente",Tabella1[[#This Row],[Bevitore alcolici]],1)),0,1)</f>
        <v>0</v>
      </c>
      <c r="AC198" s="17">
        <f>IF(ISERROR(SEARCH("nega",Tabella1[[#This Row],[Bevitore alcolici]],1)),0,1)</f>
        <v>1</v>
      </c>
      <c r="AD198" s="17">
        <f>IF(ISERROR(SEARCH("potus",Tabella1[[#This Row],[Bevitore alcolici]],1)),0,1)</f>
        <v>0</v>
      </c>
      <c r="AE198" s="7" t="s">
        <v>2144</v>
      </c>
      <c r="AF198" s="17"/>
      <c r="AG198" s="18">
        <v>1</v>
      </c>
      <c r="AH198" s="18"/>
      <c r="AI198" s="18"/>
      <c r="AJ198" s="18"/>
      <c r="AK198" s="7" t="s">
        <v>8</v>
      </c>
      <c r="AL198" s="17">
        <f>IF(ISERROR(SEARCH("si",Tabella1[[#This Row],[Patente di guida]],1)),0,1)</f>
        <v>0</v>
      </c>
      <c r="AM198" s="7" t="s">
        <v>8</v>
      </c>
      <c r="AN198" s="17">
        <f>IF(ISERROR(SEARCH("no",Tabella1[[#This Row],[Ipertensione]],1)),0,1)</f>
        <v>1</v>
      </c>
      <c r="AO198" s="7" t="s">
        <v>3737</v>
      </c>
      <c r="AP198" s="18">
        <f>IF(ISERROR(SEARCH("NO",Tabella1[[#This Row],[Cardiopatia ischemica]],1)),1,0)</f>
        <v>0</v>
      </c>
      <c r="AQ198" s="17">
        <f>IF(ISERROR(SEARCH("sconosciuto",Tabella1[[#This Row],[Cardiopatia ischemica]],1)),0,1)</f>
        <v>0</v>
      </c>
      <c r="AR198" s="7" t="s">
        <v>25</v>
      </c>
      <c r="AS198" s="22">
        <f>IF(ISERROR(SEARCH("nega",Tabella1[[#This Row],[Artimie]],1)),0,1)</f>
        <v>1</v>
      </c>
      <c r="AT198" s="7" t="s">
        <v>7</v>
      </c>
      <c r="AU198" s="22">
        <f>IF(ISERROR(SEARCH("nega",Tabella1[[#This Row],[Ipercolesterolemia]],1)),0,1)</f>
        <v>0</v>
      </c>
      <c r="AV198" s="22">
        <f>IF(ISERROR(SEARCH("boh",Tabella1[[#This Row],[Ipercolesterolemia]],1)),0,1)</f>
        <v>0</v>
      </c>
      <c r="AW198" s="7" t="s">
        <v>8</v>
      </c>
      <c r="AX198" s="22">
        <f>IF(ISERROR(SEARCH("Intolleranza",Tabella1[[#This Row],[Diabete]],1)),0,1)</f>
        <v>0</v>
      </c>
      <c r="AY198" s="22">
        <f>IF(ISERROR(SEARCH("si",Tabella1[[#This Row],[Diabete]],1)),0,1)</f>
        <v>0</v>
      </c>
      <c r="AZ198" s="7" t="s">
        <v>8</v>
      </c>
      <c r="BA198" s="17">
        <f>IF(ISERROR(SEARCH("NDD",Tabella1[[#This Row],[Patologia Tiroidea]],1)),0,1)</f>
        <v>0</v>
      </c>
      <c r="BB198" s="22">
        <f>IF(ISERROR(SEARCH("TIROIDITE",Tabella1[[#This Row],[Patologia Tiroidea]],1)),0,1)</f>
        <v>0</v>
      </c>
      <c r="BC198" s="22">
        <f>IF(ISERROR(SEARCH("HASHIMOTO",Tabella1[[#This Row],[Patologia Tiroidea]],1)),0,1)</f>
        <v>0</v>
      </c>
      <c r="BD198" s="22">
        <f>IF(ISERROR(SEARCH("BASEDOW",Tabella1[[#This Row],[Patologia Tiroidea]],1)),0,1)</f>
        <v>0</v>
      </c>
      <c r="BE198" s="22">
        <f>IF(ISERROR(SEARCH("NOD",Tabella1[[#This Row],[Patologia Tiroidea]],1)),0,1)</f>
        <v>0</v>
      </c>
      <c r="BF198" s="22">
        <f>IF(ISERROR(SEARCH("GOZ",Tabella1[[#This Row],[Patologia Tiroidea]],1)),0,1)</f>
        <v>0</v>
      </c>
      <c r="BG198" s="7" t="s">
        <v>8</v>
      </c>
      <c r="BH198" s="17">
        <f>IF(Tabella1[[#This Row],[Obesità]]="no",0,1)</f>
        <v>0</v>
      </c>
      <c r="BI198" s="7" t="s">
        <v>7</v>
      </c>
      <c r="BJ198" s="22">
        <f>IF(ISERROR(SEARCH("nega",Tabella1[[#This Row],[Reflusso gastroesofageo]],1)),1,0)</f>
        <v>1</v>
      </c>
      <c r="BK198" s="7" t="s">
        <v>5477</v>
      </c>
      <c r="BL198" s="17">
        <f>IF(ISERROR(SEARCH("NDD",Tabella1[[#This Row],[Patologia respiratoria]],1)),0,1)</f>
        <v>1</v>
      </c>
      <c r="BM198" s="17">
        <f>IF(ISERROR(SEARCH("asma",Tabella1[[#This Row],[Patologia respiratoria]],1)),0,1)</f>
        <v>0</v>
      </c>
      <c r="BN198" s="17">
        <f>IF(ISERROR(SEARCH("BPCO",Tabella1[[#This Row],[Patologia respiratoria]],1)),0,1)</f>
        <v>0</v>
      </c>
      <c r="BO198" s="17">
        <f>IF(ISERROR(SEARCH("BRONCOPOLMONITE",Tabella1[[#This Row],[Patologia respiratoria]],1)),0,1)</f>
        <v>0</v>
      </c>
      <c r="BP198" s="17">
        <f>IF(ISERROR(SEARCH("ASMA, OSAS",Tabella1[[#This Row],[Patologia respiratoria]],1)),0,1)</f>
        <v>0</v>
      </c>
      <c r="BQ198" s="17">
        <f>IF(ISERROR(SEARCH("OSAS e BPCO",Tabella1[[#This Row],[Patologia respiratoria]],1)),0,1)</f>
        <v>0</v>
      </c>
      <c r="BR198" s="17">
        <f>IF(ISERROR(SEARCH("OSAS",Tabella1[[#This Row],[Patologia respiratoria]],1)),0,1)</f>
        <v>0</v>
      </c>
      <c r="BS198" s="7" t="s">
        <v>2145</v>
      </c>
      <c r="BT198" s="7" t="s">
        <v>2146</v>
      </c>
      <c r="BU198" s="7" t="s">
        <v>8</v>
      </c>
      <c r="BV198" s="17">
        <f>IF(ISERROR(SEARCH("ndd",Tabella1[[#This Row],[O2 terapia]],1)),0,1)</f>
        <v>0</v>
      </c>
      <c r="BW198" s="17">
        <v>0</v>
      </c>
      <c r="BX198" s="7"/>
      <c r="BY198" s="7" t="s">
        <v>2147</v>
      </c>
      <c r="BZ198" s="17">
        <v>1</v>
      </c>
      <c r="CA198" s="7" t="s">
        <v>2148</v>
      </c>
      <c r="CB198" s="17">
        <v>1</v>
      </c>
      <c r="CC198" s="7" t="s">
        <v>7</v>
      </c>
      <c r="CD198" s="17">
        <v>1</v>
      </c>
      <c r="CE198" s="7" t="s">
        <v>8</v>
      </c>
      <c r="CF198" s="18">
        <v>0</v>
      </c>
      <c r="CG198" s="7" t="s">
        <v>5477</v>
      </c>
      <c r="CH198" s="17"/>
      <c r="CI198" s="7" t="s">
        <v>5477</v>
      </c>
      <c r="CJ198" s="17"/>
      <c r="CK198" s="7" t="s">
        <v>7</v>
      </c>
      <c r="CL198" s="17">
        <v>1</v>
      </c>
      <c r="CM198" s="7" t="s">
        <v>7</v>
      </c>
      <c r="CN198" s="17">
        <v>1</v>
      </c>
      <c r="CO198" s="7" t="s">
        <v>7</v>
      </c>
      <c r="CP198" s="17">
        <v>1</v>
      </c>
      <c r="CQ198" s="7" t="s">
        <v>103</v>
      </c>
      <c r="CR198" s="7" t="s">
        <v>152</v>
      </c>
      <c r="CS198" s="7" t="s">
        <v>37</v>
      </c>
      <c r="CT198" s="7" t="s">
        <v>554</v>
      </c>
      <c r="CU198" s="7" t="s">
        <v>2149</v>
      </c>
      <c r="CV198" s="8" t="s">
        <v>2150</v>
      </c>
    </row>
    <row r="199" spans="1:100" ht="57">
      <c r="A199" s="1">
        <f t="shared" si="3"/>
        <v>198</v>
      </c>
      <c r="B199" s="9">
        <v>1147</v>
      </c>
      <c r="C199" s="10">
        <v>45246</v>
      </c>
      <c r="D199" s="11" t="s">
        <v>2151</v>
      </c>
      <c r="E199" s="10">
        <v>24361</v>
      </c>
      <c r="F199" s="29">
        <f ca="1">_xlfn.DAYS(NOW(),Tabella1[[#This Row],[Data di Nascita]])/365.25</f>
        <v>58.896646132785762</v>
      </c>
      <c r="G199" s="11" t="s">
        <v>2152</v>
      </c>
      <c r="H199" s="11" t="s">
        <v>2153</v>
      </c>
      <c r="I199" s="11" t="s">
        <v>1116</v>
      </c>
      <c r="J199" s="11" t="s">
        <v>1581</v>
      </c>
      <c r="K199" s="11" t="s">
        <v>241</v>
      </c>
      <c r="L199" s="18">
        <f>IF(ISERROR(SEARCH("EX",Tabella1[[#This Row],[Attività lavorativa]],1)),0,1)</f>
        <v>0</v>
      </c>
      <c r="M199" s="18"/>
      <c r="N199" s="18"/>
      <c r="O199" s="18"/>
      <c r="P199" s="18">
        <v>1</v>
      </c>
      <c r="Q199" s="18"/>
      <c r="R199" s="18"/>
      <c r="S199" s="18"/>
      <c r="T199" s="17">
        <f>IF(ISERROR(SEARCH("NDD",Tabella1[[#This Row],[Attività lavorativa]],1)),0,1)</f>
        <v>0</v>
      </c>
      <c r="U199" s="11" t="s">
        <v>2154</v>
      </c>
      <c r="V199" s="22">
        <v>30</v>
      </c>
      <c r="W199" s="22">
        <f>IF(ISERROR(SEARCH("ex",Tabella1[[#This Row],[Fumo]],1)),0,1)</f>
        <v>0</v>
      </c>
      <c r="X199" s="22">
        <f>IF(ISERROR(SEARCH("no",Tabella1[[#This Row],[Fumo]],1)),0,1)</f>
        <v>0</v>
      </c>
      <c r="Y199" s="11" t="s">
        <v>25</v>
      </c>
      <c r="Z199" s="18">
        <f>IF(ISERROR(SEARCH("NDD",Tabella1[[#This Row],[Bevitore alcolici]],1)),0,1)</f>
        <v>0</v>
      </c>
      <c r="AA199" s="17">
        <f>IF(ISERROR(SEARCH("raro",Tabella1[[#This Row],[Bevitore alcolici]],1)),0,1)</f>
        <v>0</v>
      </c>
      <c r="AB199" s="17">
        <f>IF(ISERROR(SEARCH("saltuariamente",Tabella1[[#This Row],[Bevitore alcolici]],1)),0,1)</f>
        <v>0</v>
      </c>
      <c r="AC199" s="17">
        <f>IF(ISERROR(SEARCH("nega",Tabella1[[#This Row],[Bevitore alcolici]],1)),0,1)</f>
        <v>1</v>
      </c>
      <c r="AD199" s="17">
        <f>IF(ISERROR(SEARCH("potus",Tabella1[[#This Row],[Bevitore alcolici]],1)),0,1)</f>
        <v>0</v>
      </c>
      <c r="AE199" s="11" t="s">
        <v>2155</v>
      </c>
      <c r="AF199" s="18"/>
      <c r="AG199" s="18"/>
      <c r="AH199" s="18"/>
      <c r="AI199" s="18"/>
      <c r="AJ199" s="18"/>
      <c r="AK199" s="11" t="s">
        <v>28</v>
      </c>
      <c r="AL199" s="18">
        <f>IF(ISERROR(SEARCH("si",Tabella1[[#This Row],[Patente di guida]],1)),0,1)</f>
        <v>1</v>
      </c>
      <c r="AM199" s="11" t="s">
        <v>28</v>
      </c>
      <c r="AN199" s="18">
        <f>IF(ISERROR(SEARCH("no",Tabella1[[#This Row],[Ipertensione]],1)),0,1)</f>
        <v>0</v>
      </c>
      <c r="AO199" s="11" t="s">
        <v>382</v>
      </c>
      <c r="AP199" s="18">
        <f>IF(ISERROR(SEARCH("NO",Tabella1[[#This Row],[Cardiopatia ischemica]],1)),1,0)</f>
        <v>0</v>
      </c>
      <c r="AQ199" s="17">
        <f>IF(ISERROR(SEARCH("sconosciuto",Tabella1[[#This Row],[Cardiopatia ischemica]],1)),0,1)</f>
        <v>0</v>
      </c>
      <c r="AR199" s="11" t="s">
        <v>25</v>
      </c>
      <c r="AS199" s="22">
        <f>IF(ISERROR(SEARCH("nega",Tabella1[[#This Row],[Artimie]],1)),0,1)</f>
        <v>1</v>
      </c>
      <c r="AT199" s="11" t="s">
        <v>28</v>
      </c>
      <c r="AU199" s="22">
        <f>IF(ISERROR(SEARCH("nega",Tabella1[[#This Row],[Ipercolesterolemia]],1)),0,1)</f>
        <v>0</v>
      </c>
      <c r="AV199" s="22">
        <f>IF(ISERROR(SEARCH("boh",Tabella1[[#This Row],[Ipercolesterolemia]],1)),0,1)</f>
        <v>0</v>
      </c>
      <c r="AW199" s="11" t="s">
        <v>8</v>
      </c>
      <c r="AX199" s="22">
        <f>IF(ISERROR(SEARCH("Intolleranza",Tabella1[[#This Row],[Diabete]],1)),0,1)</f>
        <v>0</v>
      </c>
      <c r="AY199" s="22">
        <f>IF(ISERROR(SEARCH("si",Tabella1[[#This Row],[Diabete]],1)),0,1)</f>
        <v>0</v>
      </c>
      <c r="AZ199" s="11" t="s">
        <v>8</v>
      </c>
      <c r="BA199" s="18">
        <f>IF(ISERROR(SEARCH("NDD",Tabella1[[#This Row],[Patologia Tiroidea]],1)),0,1)</f>
        <v>0</v>
      </c>
      <c r="BB199" s="22">
        <f>IF(ISERROR(SEARCH("TIROIDITE",Tabella1[[#This Row],[Patologia Tiroidea]],1)),0,1)</f>
        <v>0</v>
      </c>
      <c r="BC199" s="22">
        <f>IF(ISERROR(SEARCH("HASHIMOTO",Tabella1[[#This Row],[Patologia Tiroidea]],1)),0,1)</f>
        <v>0</v>
      </c>
      <c r="BD199" s="22">
        <f>IF(ISERROR(SEARCH("BASEDOW",Tabella1[[#This Row],[Patologia Tiroidea]],1)),0,1)</f>
        <v>0</v>
      </c>
      <c r="BE199" s="22">
        <f>IF(ISERROR(SEARCH("NOD",Tabella1[[#This Row],[Patologia Tiroidea]],1)),0,1)</f>
        <v>0</v>
      </c>
      <c r="BF199" s="22">
        <f>IF(ISERROR(SEARCH("GOZ",Tabella1[[#This Row],[Patologia Tiroidea]],1)),0,1)</f>
        <v>0</v>
      </c>
      <c r="BG199" s="11" t="s">
        <v>8</v>
      </c>
      <c r="BH199" s="18">
        <f>IF(Tabella1[[#This Row],[Obesità]]="no",0,1)</f>
        <v>0</v>
      </c>
      <c r="BI199" s="11" t="s">
        <v>25</v>
      </c>
      <c r="BJ199" s="22">
        <f>IF(ISERROR(SEARCH("nega",Tabella1[[#This Row],[Reflusso gastroesofageo]],1)),1,0)</f>
        <v>0</v>
      </c>
      <c r="BK199" s="11" t="s">
        <v>8</v>
      </c>
      <c r="BL199" s="18">
        <f>IF(ISERROR(SEARCH("NDD",Tabella1[[#This Row],[Patologia respiratoria]],1)),0,1)</f>
        <v>0</v>
      </c>
      <c r="BM199" s="18">
        <f>IF(ISERROR(SEARCH("asma",Tabella1[[#This Row],[Patologia respiratoria]],1)),0,1)</f>
        <v>0</v>
      </c>
      <c r="BN199" s="18">
        <f>IF(ISERROR(SEARCH("BPCO",Tabella1[[#This Row],[Patologia respiratoria]],1)),0,1)</f>
        <v>0</v>
      </c>
      <c r="BO199" s="18">
        <f>IF(ISERROR(SEARCH("BRONCOPOLMONITE",Tabella1[[#This Row],[Patologia respiratoria]],1)),0,1)</f>
        <v>0</v>
      </c>
      <c r="BP199" s="18">
        <f>IF(ISERROR(SEARCH("ASMA, OSAS",Tabella1[[#This Row],[Patologia respiratoria]],1)),0,1)</f>
        <v>0</v>
      </c>
      <c r="BQ199" s="18">
        <f>IF(ISERROR(SEARCH("OSAS e BPCO",Tabella1[[#This Row],[Patologia respiratoria]],1)),0,1)</f>
        <v>0</v>
      </c>
      <c r="BR199" s="18">
        <f>IF(ISERROR(SEARCH("OSAS",Tabella1[[#This Row],[Patologia respiratoria]],1)),0,1)</f>
        <v>0</v>
      </c>
      <c r="BS199" s="11"/>
      <c r="BT199" s="11" t="s">
        <v>2156</v>
      </c>
      <c r="BU199" s="11" t="s">
        <v>8</v>
      </c>
      <c r="BV199" s="18">
        <f>IF(ISERROR(SEARCH("ndd",Tabella1[[#This Row],[O2 terapia]],1)),0,1)</f>
        <v>0</v>
      </c>
      <c r="BW199" s="17">
        <v>0</v>
      </c>
      <c r="BX199" s="11" t="s">
        <v>2157</v>
      </c>
      <c r="BY199" s="11" t="s">
        <v>28</v>
      </c>
      <c r="BZ199" s="17">
        <v>1</v>
      </c>
      <c r="CA199" s="11" t="s">
        <v>8</v>
      </c>
      <c r="CB199" s="17">
        <v>0</v>
      </c>
      <c r="CC199" s="11" t="s">
        <v>8</v>
      </c>
      <c r="CD199" s="18">
        <v>0</v>
      </c>
      <c r="CE199" s="11" t="s">
        <v>8</v>
      </c>
      <c r="CF199" s="18">
        <v>0</v>
      </c>
      <c r="CG199" s="11" t="s">
        <v>8</v>
      </c>
      <c r="CH199" s="17">
        <v>0</v>
      </c>
      <c r="CI199" s="11" t="s">
        <v>8</v>
      </c>
      <c r="CJ199" s="18">
        <v>0</v>
      </c>
      <c r="CK199" s="11" t="s">
        <v>2039</v>
      </c>
      <c r="CL199" s="17">
        <v>1</v>
      </c>
      <c r="CM199" s="11" t="s">
        <v>8</v>
      </c>
      <c r="CN199" s="17">
        <v>0</v>
      </c>
      <c r="CO199" s="11" t="s">
        <v>28</v>
      </c>
      <c r="CP199" s="17">
        <v>1</v>
      </c>
      <c r="CQ199" s="11" t="s">
        <v>54</v>
      </c>
      <c r="CR199" s="11" t="s">
        <v>135</v>
      </c>
      <c r="CS199" s="11" t="s">
        <v>219</v>
      </c>
      <c r="CT199" s="11" t="s">
        <v>122</v>
      </c>
      <c r="CU199" s="11" t="s">
        <v>2158</v>
      </c>
      <c r="CV199" s="12" t="s">
        <v>1273</v>
      </c>
    </row>
    <row r="200" spans="1:100" ht="142.5">
      <c r="A200" s="1">
        <f t="shared" si="3"/>
        <v>199</v>
      </c>
      <c r="B200" s="5">
        <v>1151</v>
      </c>
      <c r="C200" s="6">
        <v>45250</v>
      </c>
      <c r="D200" s="7" t="s">
        <v>2159</v>
      </c>
      <c r="E200" s="6">
        <v>24542</v>
      </c>
      <c r="F200" s="29">
        <f ca="1">_xlfn.DAYS(NOW(),Tabella1[[#This Row],[Data di Nascita]])/365.25</f>
        <v>58.401095140314851</v>
      </c>
      <c r="G200" s="7" t="s">
        <v>2160</v>
      </c>
      <c r="H200" s="7" t="s">
        <v>2161</v>
      </c>
      <c r="I200" s="7" t="s">
        <v>2162</v>
      </c>
      <c r="J200" s="7" t="s">
        <v>1264</v>
      </c>
      <c r="K200" s="7" t="s">
        <v>2163</v>
      </c>
      <c r="L200" s="17">
        <f>IF(ISERROR(SEARCH("EX",Tabella1[[#This Row],[Attività lavorativa]],1)),0,1)</f>
        <v>0</v>
      </c>
      <c r="M200" s="17"/>
      <c r="N200" s="17"/>
      <c r="O200" s="17"/>
      <c r="P200" s="17"/>
      <c r="Q200" s="17"/>
      <c r="R200" s="17"/>
      <c r="S200" s="17">
        <v>1</v>
      </c>
      <c r="T200" s="17">
        <f>IF(ISERROR(SEARCH("NDD",Tabella1[[#This Row],[Attività lavorativa]],1)),0,1)</f>
        <v>0</v>
      </c>
      <c r="U200" s="7" t="s">
        <v>8</v>
      </c>
      <c r="V200" s="22"/>
      <c r="W200" s="22">
        <f>IF(ISERROR(SEARCH("ex",Tabella1[[#This Row],[Fumo]],1)),0,1)</f>
        <v>0</v>
      </c>
      <c r="X200" s="22">
        <f>IF(ISERROR(SEARCH("no",Tabella1[[#This Row],[Fumo]],1)),0,1)</f>
        <v>1</v>
      </c>
      <c r="Y200" s="7" t="s">
        <v>486</v>
      </c>
      <c r="Z200" s="17">
        <f>IF(ISERROR(SEARCH("NDD",Tabella1[[#This Row],[Bevitore alcolici]],1)),0,1)</f>
        <v>0</v>
      </c>
      <c r="AA200" s="17">
        <f>IF(ISERROR(SEARCH("raro",Tabella1[[#This Row],[Bevitore alcolici]],1)),0,1)</f>
        <v>0</v>
      </c>
      <c r="AB200" s="17">
        <f>IF(ISERROR(SEARCH("saltuariamente",Tabella1[[#This Row],[Bevitore alcolici]],1)),0,1)</f>
        <v>0</v>
      </c>
      <c r="AC200" s="17">
        <f>IF(ISERROR(SEARCH("nega",Tabella1[[#This Row],[Bevitore alcolici]],1)),0,1)</f>
        <v>0</v>
      </c>
      <c r="AD200" s="17">
        <f>IF(ISERROR(SEARCH("potus",Tabella1[[#This Row],[Bevitore alcolici]],1)),0,1)</f>
        <v>0</v>
      </c>
      <c r="AE200" s="7" t="s">
        <v>657</v>
      </c>
      <c r="AF200" s="17"/>
      <c r="AG200" s="17"/>
      <c r="AH200" s="17"/>
      <c r="AI200" s="17"/>
      <c r="AJ200" s="17"/>
      <c r="AK200" s="7" t="s">
        <v>28</v>
      </c>
      <c r="AL200" s="17">
        <f>IF(ISERROR(SEARCH("si",Tabella1[[#This Row],[Patente di guida]],1)),0,1)</f>
        <v>1</v>
      </c>
      <c r="AM200" s="7" t="s">
        <v>8</v>
      </c>
      <c r="AN200" s="17">
        <f>IF(ISERROR(SEARCH("no",Tabella1[[#This Row],[Ipertensione]],1)),0,1)</f>
        <v>1</v>
      </c>
      <c r="AO200" s="7" t="s">
        <v>382</v>
      </c>
      <c r="AP200" s="18">
        <f>IF(ISERROR(SEARCH("NO",Tabella1[[#This Row],[Cardiopatia ischemica]],1)),1,0)</f>
        <v>0</v>
      </c>
      <c r="AQ200" s="17">
        <f>IF(ISERROR(SEARCH("sconosciuto",Tabella1[[#This Row],[Cardiopatia ischemica]],1)),0,1)</f>
        <v>0</v>
      </c>
      <c r="AR200" s="7" t="s">
        <v>25</v>
      </c>
      <c r="AS200" s="22">
        <f>IF(ISERROR(SEARCH("nega",Tabella1[[#This Row],[Artimie]],1)),0,1)</f>
        <v>1</v>
      </c>
      <c r="AT200" s="7" t="s">
        <v>25</v>
      </c>
      <c r="AU200" s="22">
        <f>IF(ISERROR(SEARCH("nega",Tabella1[[#This Row],[Ipercolesterolemia]],1)),0,1)</f>
        <v>1</v>
      </c>
      <c r="AV200" s="22">
        <f>IF(ISERROR(SEARCH("boh",Tabella1[[#This Row],[Ipercolesterolemia]],1)),0,1)</f>
        <v>0</v>
      </c>
      <c r="AW200" s="7" t="s">
        <v>28</v>
      </c>
      <c r="AX200" s="22">
        <f>IF(ISERROR(SEARCH("Intolleranza",Tabella1[[#This Row],[Diabete]],1)),0,1)</f>
        <v>0</v>
      </c>
      <c r="AY200" s="22">
        <f>IF(ISERROR(SEARCH("si",Tabella1[[#This Row],[Diabete]],1)),0,1)</f>
        <v>1</v>
      </c>
      <c r="AZ200" s="7" t="s">
        <v>8</v>
      </c>
      <c r="BA200" s="17">
        <f>IF(ISERROR(SEARCH("NDD",Tabella1[[#This Row],[Patologia Tiroidea]],1)),0,1)</f>
        <v>0</v>
      </c>
      <c r="BB200" s="22">
        <f>IF(ISERROR(SEARCH("TIROIDITE",Tabella1[[#This Row],[Patologia Tiroidea]],1)),0,1)</f>
        <v>0</v>
      </c>
      <c r="BC200" s="22">
        <f>IF(ISERROR(SEARCH("HASHIMOTO",Tabella1[[#This Row],[Patologia Tiroidea]],1)),0,1)</f>
        <v>0</v>
      </c>
      <c r="BD200" s="22">
        <f>IF(ISERROR(SEARCH("BASEDOW",Tabella1[[#This Row],[Patologia Tiroidea]],1)),0,1)</f>
        <v>0</v>
      </c>
      <c r="BE200" s="22">
        <f>IF(ISERROR(SEARCH("NOD",Tabella1[[#This Row],[Patologia Tiroidea]],1)),0,1)</f>
        <v>0</v>
      </c>
      <c r="BF200" s="22">
        <f>IF(ISERROR(SEARCH("GOZ",Tabella1[[#This Row],[Patologia Tiroidea]],1)),0,1)</f>
        <v>0</v>
      </c>
      <c r="BG200" s="7" t="s">
        <v>28</v>
      </c>
      <c r="BH200" s="17">
        <f>IF(Tabella1[[#This Row],[Obesità]]="no",0,1)</f>
        <v>1</v>
      </c>
      <c r="BI200" s="7" t="s">
        <v>28</v>
      </c>
      <c r="BJ200" s="22">
        <f>IF(ISERROR(SEARCH("nega",Tabella1[[#This Row],[Reflusso gastroesofageo]],1)),1,0)</f>
        <v>1</v>
      </c>
      <c r="BK200" s="7" t="s">
        <v>8</v>
      </c>
      <c r="BL200" s="17">
        <f>IF(ISERROR(SEARCH("NDD",Tabella1[[#This Row],[Patologia respiratoria]],1)),0,1)</f>
        <v>0</v>
      </c>
      <c r="BM200" s="17">
        <f>IF(ISERROR(SEARCH("asma",Tabella1[[#This Row],[Patologia respiratoria]],1)),0,1)</f>
        <v>0</v>
      </c>
      <c r="BN200" s="17">
        <f>IF(ISERROR(SEARCH("BPCO",Tabella1[[#This Row],[Patologia respiratoria]],1)),0,1)</f>
        <v>0</v>
      </c>
      <c r="BO200" s="17">
        <f>IF(ISERROR(SEARCH("BRONCOPOLMONITE",Tabella1[[#This Row],[Patologia respiratoria]],1)),0,1)</f>
        <v>0</v>
      </c>
      <c r="BP200" s="17">
        <f>IF(ISERROR(SEARCH("ASMA, OSAS",Tabella1[[#This Row],[Patologia respiratoria]],1)),0,1)</f>
        <v>0</v>
      </c>
      <c r="BQ200" s="17">
        <f>IF(ISERROR(SEARCH("OSAS e BPCO",Tabella1[[#This Row],[Patologia respiratoria]],1)),0,1)</f>
        <v>0</v>
      </c>
      <c r="BR200" s="17">
        <f>IF(ISERROR(SEARCH("OSAS",Tabella1[[#This Row],[Patologia respiratoria]],1)),0,1)</f>
        <v>0</v>
      </c>
      <c r="BS200" s="7" t="s">
        <v>8</v>
      </c>
      <c r="BT200" s="7" t="s">
        <v>2164</v>
      </c>
      <c r="BU200" s="7" t="s">
        <v>8</v>
      </c>
      <c r="BV200" s="17">
        <f>IF(ISERROR(SEARCH("ndd",Tabella1[[#This Row],[O2 terapia]],1)),0,1)</f>
        <v>0</v>
      </c>
      <c r="BW200" s="17">
        <v>0</v>
      </c>
      <c r="BX200" s="7" t="s">
        <v>2165</v>
      </c>
      <c r="BY200" s="7" t="s">
        <v>8</v>
      </c>
      <c r="BZ200" s="18">
        <v>0</v>
      </c>
      <c r="CA200" s="7" t="s">
        <v>28</v>
      </c>
      <c r="CB200" s="17">
        <v>1</v>
      </c>
      <c r="CC200" s="7" t="s">
        <v>8</v>
      </c>
      <c r="CD200" s="18">
        <v>0</v>
      </c>
      <c r="CE200" s="7" t="s">
        <v>8</v>
      </c>
      <c r="CF200" s="18">
        <v>0</v>
      </c>
      <c r="CG200" s="7" t="s">
        <v>8</v>
      </c>
      <c r="CH200" s="17">
        <v>0</v>
      </c>
      <c r="CI200" s="7" t="s">
        <v>28</v>
      </c>
      <c r="CJ200" s="17">
        <v>1</v>
      </c>
      <c r="CK200" s="7" t="s">
        <v>2069</v>
      </c>
      <c r="CL200" s="17">
        <v>1</v>
      </c>
      <c r="CM200" s="7" t="s">
        <v>8</v>
      </c>
      <c r="CN200" s="17">
        <v>0</v>
      </c>
      <c r="CO200" s="7" t="s">
        <v>382</v>
      </c>
      <c r="CP200" s="18">
        <v>0</v>
      </c>
      <c r="CQ200" s="7" t="s">
        <v>54</v>
      </c>
      <c r="CR200" s="7" t="s">
        <v>388</v>
      </c>
      <c r="CS200" s="7" t="s">
        <v>71</v>
      </c>
      <c r="CT200" s="7" t="s">
        <v>71</v>
      </c>
      <c r="CU200" s="7" t="s">
        <v>2166</v>
      </c>
      <c r="CV200" s="8" t="s">
        <v>2167</v>
      </c>
    </row>
    <row r="201" spans="1:100" ht="142.5">
      <c r="A201" s="1">
        <f t="shared" si="3"/>
        <v>200</v>
      </c>
      <c r="B201" s="9">
        <v>1161</v>
      </c>
      <c r="C201" s="10">
        <v>45252</v>
      </c>
      <c r="D201" s="11" t="s">
        <v>2168</v>
      </c>
      <c r="E201" s="10">
        <v>25879</v>
      </c>
      <c r="F201" s="29">
        <f ca="1">_xlfn.DAYS(NOW(),Tabella1[[#This Row],[Data di Nascita]])/365.25</f>
        <v>54.740588637919231</v>
      </c>
      <c r="G201" s="11" t="s">
        <v>2169</v>
      </c>
      <c r="H201" s="11" t="s">
        <v>2170</v>
      </c>
      <c r="I201" s="11" t="s">
        <v>955</v>
      </c>
      <c r="J201" s="11" t="s">
        <v>2171</v>
      </c>
      <c r="K201" s="11" t="s">
        <v>2172</v>
      </c>
      <c r="L201" s="18">
        <f>IF(ISERROR(SEARCH("EX",Tabella1[[#This Row],[Attività lavorativa]],1)),0,1)</f>
        <v>0</v>
      </c>
      <c r="M201" s="18">
        <v>1</v>
      </c>
      <c r="N201" s="18"/>
      <c r="O201" s="18"/>
      <c r="P201" s="18"/>
      <c r="Q201" s="18"/>
      <c r="R201" s="18"/>
      <c r="S201" s="18"/>
      <c r="T201" s="17">
        <f>IF(ISERROR(SEARCH("NDD",Tabella1[[#This Row],[Attività lavorativa]],1)),0,1)</f>
        <v>0</v>
      </c>
      <c r="U201" s="11" t="s">
        <v>2173</v>
      </c>
      <c r="V201" s="22">
        <v>15</v>
      </c>
      <c r="W201" s="22">
        <f>IF(ISERROR(SEARCH("ex",Tabella1[[#This Row],[Fumo]],1)),0,1)</f>
        <v>1</v>
      </c>
      <c r="X201" s="22">
        <f>IF(ISERROR(SEARCH("no",Tabella1[[#This Row],[Fumo]],1)),0,1)</f>
        <v>0</v>
      </c>
      <c r="Y201" s="11" t="s">
        <v>25</v>
      </c>
      <c r="Z201" s="18">
        <f>IF(ISERROR(SEARCH("NDD",Tabella1[[#This Row],[Bevitore alcolici]],1)),0,1)</f>
        <v>0</v>
      </c>
      <c r="AA201" s="17">
        <f>IF(ISERROR(SEARCH("raro",Tabella1[[#This Row],[Bevitore alcolici]],1)),0,1)</f>
        <v>0</v>
      </c>
      <c r="AB201" s="17">
        <f>IF(ISERROR(SEARCH("saltuariamente",Tabella1[[#This Row],[Bevitore alcolici]],1)),0,1)</f>
        <v>0</v>
      </c>
      <c r="AC201" s="17">
        <f>IF(ISERROR(SEARCH("nega",Tabella1[[#This Row],[Bevitore alcolici]],1)),0,1)</f>
        <v>1</v>
      </c>
      <c r="AD201" s="17">
        <f>IF(ISERROR(SEARCH("potus",Tabella1[[#This Row],[Bevitore alcolici]],1)),0,1)</f>
        <v>0</v>
      </c>
      <c r="AE201" s="11" t="s">
        <v>2174</v>
      </c>
      <c r="AF201" s="18"/>
      <c r="AG201" s="18"/>
      <c r="AH201" s="18"/>
      <c r="AI201" s="18"/>
      <c r="AJ201" s="18">
        <v>1</v>
      </c>
      <c r="AK201" s="11" t="s">
        <v>3712</v>
      </c>
      <c r="AL201" s="18">
        <f>IF(ISERROR(SEARCH("si",Tabella1[[#This Row],[Patente di guida]],1)),0,1)</f>
        <v>1</v>
      </c>
      <c r="AM201" s="11" t="s">
        <v>8</v>
      </c>
      <c r="AN201" s="18">
        <f>IF(ISERROR(SEARCH("no",Tabella1[[#This Row],[Ipertensione]],1)),0,1)</f>
        <v>1</v>
      </c>
      <c r="AO201" s="11" t="s">
        <v>382</v>
      </c>
      <c r="AP201" s="18">
        <f>IF(ISERROR(SEARCH("NO",Tabella1[[#This Row],[Cardiopatia ischemica]],1)),1,0)</f>
        <v>0</v>
      </c>
      <c r="AQ201" s="17">
        <f>IF(ISERROR(SEARCH("sconosciuto",Tabella1[[#This Row],[Cardiopatia ischemica]],1)),0,1)</f>
        <v>0</v>
      </c>
      <c r="AR201" s="11" t="s">
        <v>25</v>
      </c>
      <c r="AS201" s="22">
        <f>IF(ISERROR(SEARCH("nega",Tabella1[[#This Row],[Artimie]],1)),0,1)</f>
        <v>1</v>
      </c>
      <c r="AT201" s="11" t="s">
        <v>28</v>
      </c>
      <c r="AU201" s="22">
        <f>IF(ISERROR(SEARCH("nega",Tabella1[[#This Row],[Ipercolesterolemia]],1)),0,1)</f>
        <v>0</v>
      </c>
      <c r="AV201" s="22">
        <f>IF(ISERROR(SEARCH("boh",Tabella1[[#This Row],[Ipercolesterolemia]],1)),0,1)</f>
        <v>0</v>
      </c>
      <c r="AW201" s="11" t="s">
        <v>8</v>
      </c>
      <c r="AX201" s="22">
        <f>IF(ISERROR(SEARCH("Intolleranza",Tabella1[[#This Row],[Diabete]],1)),0,1)</f>
        <v>0</v>
      </c>
      <c r="AY201" s="22">
        <f>IF(ISERROR(SEARCH("si",Tabella1[[#This Row],[Diabete]],1)),0,1)</f>
        <v>0</v>
      </c>
      <c r="AZ201" s="11" t="s">
        <v>8</v>
      </c>
      <c r="BA201" s="18">
        <f>IF(ISERROR(SEARCH("NDD",Tabella1[[#This Row],[Patologia Tiroidea]],1)),0,1)</f>
        <v>0</v>
      </c>
      <c r="BB201" s="22">
        <f>IF(ISERROR(SEARCH("TIROIDITE",Tabella1[[#This Row],[Patologia Tiroidea]],1)),0,1)</f>
        <v>0</v>
      </c>
      <c r="BC201" s="22">
        <f>IF(ISERROR(SEARCH("HASHIMOTO",Tabella1[[#This Row],[Patologia Tiroidea]],1)),0,1)</f>
        <v>0</v>
      </c>
      <c r="BD201" s="22">
        <f>IF(ISERROR(SEARCH("BASEDOW",Tabella1[[#This Row],[Patologia Tiroidea]],1)),0,1)</f>
        <v>0</v>
      </c>
      <c r="BE201" s="22">
        <f>IF(ISERROR(SEARCH("NOD",Tabella1[[#This Row],[Patologia Tiroidea]],1)),0,1)</f>
        <v>0</v>
      </c>
      <c r="BF201" s="22">
        <f>IF(ISERROR(SEARCH("GOZ",Tabella1[[#This Row],[Patologia Tiroidea]],1)),0,1)</f>
        <v>0</v>
      </c>
      <c r="BG201" s="11" t="s">
        <v>28</v>
      </c>
      <c r="BH201" s="18">
        <f>IF(Tabella1[[#This Row],[Obesità]]="no",0,1)</f>
        <v>1</v>
      </c>
      <c r="BI201" s="11" t="s">
        <v>25</v>
      </c>
      <c r="BJ201" s="22">
        <f>IF(ISERROR(SEARCH("nega",Tabella1[[#This Row],[Reflusso gastroesofageo]],1)),1,0)</f>
        <v>0</v>
      </c>
      <c r="BK201" s="11" t="s">
        <v>8</v>
      </c>
      <c r="BL201" s="18">
        <f>IF(ISERROR(SEARCH("NDD",Tabella1[[#This Row],[Patologia respiratoria]],1)),0,1)</f>
        <v>0</v>
      </c>
      <c r="BM201" s="18">
        <f>IF(ISERROR(SEARCH("asma",Tabella1[[#This Row],[Patologia respiratoria]],1)),0,1)</f>
        <v>0</v>
      </c>
      <c r="BN201" s="18">
        <f>IF(ISERROR(SEARCH("BPCO",Tabella1[[#This Row],[Patologia respiratoria]],1)),0,1)</f>
        <v>0</v>
      </c>
      <c r="BO201" s="18">
        <f>IF(ISERROR(SEARCH("BRONCOPOLMONITE",Tabella1[[#This Row],[Patologia respiratoria]],1)),0,1)</f>
        <v>0</v>
      </c>
      <c r="BP201" s="18">
        <f>IF(ISERROR(SEARCH("ASMA, OSAS",Tabella1[[#This Row],[Patologia respiratoria]],1)),0,1)</f>
        <v>0</v>
      </c>
      <c r="BQ201" s="18">
        <f>IF(ISERROR(SEARCH("OSAS e BPCO",Tabella1[[#This Row],[Patologia respiratoria]],1)),0,1)</f>
        <v>0</v>
      </c>
      <c r="BR201" s="18">
        <f>IF(ISERROR(SEARCH("OSAS",Tabella1[[#This Row],[Patologia respiratoria]],1)),0,1)</f>
        <v>0</v>
      </c>
      <c r="BS201" s="11" t="s">
        <v>8</v>
      </c>
      <c r="BT201" s="11" t="s">
        <v>8</v>
      </c>
      <c r="BU201" s="11" t="s">
        <v>8</v>
      </c>
      <c r="BV201" s="18">
        <f>IF(ISERROR(SEARCH("ndd",Tabella1[[#This Row],[O2 terapia]],1)),0,1)</f>
        <v>0</v>
      </c>
      <c r="BW201" s="17">
        <v>0</v>
      </c>
      <c r="BX201" s="11"/>
      <c r="BY201" s="11" t="s">
        <v>2175</v>
      </c>
      <c r="BZ201" s="17">
        <v>1</v>
      </c>
      <c r="CA201" s="11" t="s">
        <v>8</v>
      </c>
      <c r="CB201" s="17">
        <v>0</v>
      </c>
      <c r="CC201" s="11" t="s">
        <v>2176</v>
      </c>
      <c r="CD201" s="17">
        <v>1</v>
      </c>
      <c r="CE201" s="11" t="s">
        <v>8</v>
      </c>
      <c r="CF201" s="18">
        <v>0</v>
      </c>
      <c r="CG201" s="11" t="s">
        <v>8</v>
      </c>
      <c r="CH201" s="17">
        <v>0</v>
      </c>
      <c r="CI201" s="11" t="s">
        <v>8</v>
      </c>
      <c r="CJ201" s="18">
        <v>0</v>
      </c>
      <c r="CK201" s="11" t="s">
        <v>8</v>
      </c>
      <c r="CL201" s="17">
        <v>0</v>
      </c>
      <c r="CM201" s="11" t="s">
        <v>8</v>
      </c>
      <c r="CN201" s="17">
        <v>0</v>
      </c>
      <c r="CO201" s="11" t="s">
        <v>8</v>
      </c>
      <c r="CP201" s="18">
        <v>0</v>
      </c>
      <c r="CQ201" s="11" t="s">
        <v>54</v>
      </c>
      <c r="CR201" s="11" t="s">
        <v>403</v>
      </c>
      <c r="CS201" s="11" t="s">
        <v>37</v>
      </c>
      <c r="CT201" s="11" t="s">
        <v>1922</v>
      </c>
      <c r="CU201" s="11" t="s">
        <v>2177</v>
      </c>
      <c r="CV201" s="12" t="s">
        <v>2178</v>
      </c>
    </row>
    <row r="202" spans="1:100" ht="384.75">
      <c r="A202" s="1">
        <f t="shared" si="3"/>
        <v>201</v>
      </c>
      <c r="B202" s="5">
        <v>1169</v>
      </c>
      <c r="C202" s="6">
        <v>45258</v>
      </c>
      <c r="D202" s="7" t="s">
        <v>2179</v>
      </c>
      <c r="E202" s="6">
        <v>20894</v>
      </c>
      <c r="F202" s="29">
        <f ca="1">_xlfn.DAYS(NOW(),Tabella1[[#This Row],[Data di Nascita]])/365.25</f>
        <v>68.388774811772763</v>
      </c>
      <c r="G202" s="7" t="s">
        <v>2180</v>
      </c>
      <c r="H202" s="7" t="s">
        <v>2181</v>
      </c>
      <c r="I202" s="7" t="s">
        <v>2142</v>
      </c>
      <c r="J202" s="7" t="s">
        <v>1346</v>
      </c>
      <c r="K202" s="7" t="s">
        <v>2182</v>
      </c>
      <c r="L202" s="17">
        <f>IF(ISERROR(SEARCH("EX",Tabella1[[#This Row],[Attività lavorativa]],1)),0,1)</f>
        <v>0</v>
      </c>
      <c r="M202" s="17"/>
      <c r="N202" s="17"/>
      <c r="O202" s="17"/>
      <c r="P202" s="17"/>
      <c r="Q202" s="17"/>
      <c r="R202" s="17"/>
      <c r="S202" s="17"/>
      <c r="T202" s="17">
        <f>IF(ISERROR(SEARCH("NDD",Tabella1[[#This Row],[Attività lavorativa]],1)),0,1)</f>
        <v>0</v>
      </c>
      <c r="U202" s="7" t="s">
        <v>8</v>
      </c>
      <c r="V202" s="22"/>
      <c r="W202" s="22">
        <f>IF(ISERROR(SEARCH("ex",Tabella1[[#This Row],[Fumo]],1)),0,1)</f>
        <v>0</v>
      </c>
      <c r="X202" s="22">
        <f>IF(ISERROR(SEARCH("no",Tabella1[[#This Row],[Fumo]],1)),0,1)</f>
        <v>1</v>
      </c>
      <c r="Y202" s="7" t="s">
        <v>26</v>
      </c>
      <c r="Z202" s="17">
        <f>IF(ISERROR(SEARCH("NDD",Tabella1[[#This Row],[Bevitore alcolici]],1)),0,1)</f>
        <v>0</v>
      </c>
      <c r="AA202" s="17">
        <f>IF(ISERROR(SEARCH("raro",Tabella1[[#This Row],[Bevitore alcolici]],1)),0,1)</f>
        <v>0</v>
      </c>
      <c r="AB202" s="17">
        <f>IF(ISERROR(SEARCH("saltuariamente",Tabella1[[#This Row],[Bevitore alcolici]],1)),0,1)</f>
        <v>1</v>
      </c>
      <c r="AC202" s="17">
        <f>IF(ISERROR(SEARCH("nega",Tabella1[[#This Row],[Bevitore alcolici]],1)),0,1)</f>
        <v>0</v>
      </c>
      <c r="AD202" s="17">
        <f>IF(ISERROR(SEARCH("potus",Tabella1[[#This Row],[Bevitore alcolici]],1)),0,1)</f>
        <v>0</v>
      </c>
      <c r="AE202" s="7" t="s">
        <v>657</v>
      </c>
      <c r="AF202" s="17"/>
      <c r="AG202" s="17"/>
      <c r="AH202" s="17"/>
      <c r="AI202" s="17"/>
      <c r="AJ202" s="17"/>
      <c r="AK202" s="7" t="s">
        <v>28</v>
      </c>
      <c r="AL202" s="17">
        <f>IF(ISERROR(SEARCH("si",Tabella1[[#This Row],[Patente di guida]],1)),0,1)</f>
        <v>1</v>
      </c>
      <c r="AM202" s="7" t="s">
        <v>8</v>
      </c>
      <c r="AN202" s="17">
        <f>IF(ISERROR(SEARCH("no",Tabella1[[#This Row],[Ipertensione]],1)),0,1)</f>
        <v>1</v>
      </c>
      <c r="AO202" s="7" t="s">
        <v>382</v>
      </c>
      <c r="AP202" s="18">
        <f>IF(ISERROR(SEARCH("NO",Tabella1[[#This Row],[Cardiopatia ischemica]],1)),1,0)</f>
        <v>0</v>
      </c>
      <c r="AQ202" s="17">
        <f>IF(ISERROR(SEARCH("sconosciuto",Tabella1[[#This Row],[Cardiopatia ischemica]],1)),0,1)</f>
        <v>0</v>
      </c>
      <c r="AR202" s="7" t="s">
        <v>25</v>
      </c>
      <c r="AS202" s="22">
        <f>IF(ISERROR(SEARCH("nega",Tabella1[[#This Row],[Artimie]],1)),0,1)</f>
        <v>1</v>
      </c>
      <c r="AT202" s="7" t="s">
        <v>2183</v>
      </c>
      <c r="AU202" s="22">
        <f>IF(ISERROR(SEARCH("nega",Tabella1[[#This Row],[Ipercolesterolemia]],1)),0,1)</f>
        <v>0</v>
      </c>
      <c r="AV202" s="22">
        <f>IF(ISERROR(SEARCH("boh",Tabella1[[#This Row],[Ipercolesterolemia]],1)),0,1)</f>
        <v>0</v>
      </c>
      <c r="AW202" s="7" t="s">
        <v>8</v>
      </c>
      <c r="AX202" s="22">
        <f>IF(ISERROR(SEARCH("Intolleranza",Tabella1[[#This Row],[Diabete]],1)),0,1)</f>
        <v>0</v>
      </c>
      <c r="AY202" s="22">
        <f>IF(ISERROR(SEARCH("si",Tabella1[[#This Row],[Diabete]],1)),0,1)</f>
        <v>0</v>
      </c>
      <c r="AZ202" s="7" t="s">
        <v>8</v>
      </c>
      <c r="BA202" s="17">
        <f>IF(ISERROR(SEARCH("NDD",Tabella1[[#This Row],[Patologia Tiroidea]],1)),0,1)</f>
        <v>0</v>
      </c>
      <c r="BB202" s="22">
        <f>IF(ISERROR(SEARCH("TIROIDITE",Tabella1[[#This Row],[Patologia Tiroidea]],1)),0,1)</f>
        <v>0</v>
      </c>
      <c r="BC202" s="22">
        <f>IF(ISERROR(SEARCH("HASHIMOTO",Tabella1[[#This Row],[Patologia Tiroidea]],1)),0,1)</f>
        <v>0</v>
      </c>
      <c r="BD202" s="22">
        <f>IF(ISERROR(SEARCH("BASEDOW",Tabella1[[#This Row],[Patologia Tiroidea]],1)),0,1)</f>
        <v>0</v>
      </c>
      <c r="BE202" s="22">
        <f>IF(ISERROR(SEARCH("NOD",Tabella1[[#This Row],[Patologia Tiroidea]],1)),0,1)</f>
        <v>0</v>
      </c>
      <c r="BF202" s="22">
        <f>IF(ISERROR(SEARCH("GOZ",Tabella1[[#This Row],[Patologia Tiroidea]],1)),0,1)</f>
        <v>0</v>
      </c>
      <c r="BG202" s="7" t="s">
        <v>8</v>
      </c>
      <c r="BH202" s="17">
        <f>IF(Tabella1[[#This Row],[Obesità]]="no",0,1)</f>
        <v>0</v>
      </c>
      <c r="BI202" s="7" t="s">
        <v>7</v>
      </c>
      <c r="BJ202" s="22">
        <f>IF(ISERROR(SEARCH("nega",Tabella1[[#This Row],[Reflusso gastroesofageo]],1)),1,0)</f>
        <v>1</v>
      </c>
      <c r="BK202" s="7" t="s">
        <v>8</v>
      </c>
      <c r="BL202" s="17">
        <f>IF(ISERROR(SEARCH("NDD",Tabella1[[#This Row],[Patologia respiratoria]],1)),0,1)</f>
        <v>0</v>
      </c>
      <c r="BM202" s="17">
        <f>IF(ISERROR(SEARCH("asma",Tabella1[[#This Row],[Patologia respiratoria]],1)),0,1)</f>
        <v>0</v>
      </c>
      <c r="BN202" s="17">
        <f>IF(ISERROR(SEARCH("BPCO",Tabella1[[#This Row],[Patologia respiratoria]],1)),0,1)</f>
        <v>0</v>
      </c>
      <c r="BO202" s="17">
        <f>IF(ISERROR(SEARCH("BRONCOPOLMONITE",Tabella1[[#This Row],[Patologia respiratoria]],1)),0,1)</f>
        <v>0</v>
      </c>
      <c r="BP202" s="17">
        <f>IF(ISERROR(SEARCH("ASMA, OSAS",Tabella1[[#This Row],[Patologia respiratoria]],1)),0,1)</f>
        <v>0</v>
      </c>
      <c r="BQ202" s="17">
        <f>IF(ISERROR(SEARCH("OSAS e BPCO",Tabella1[[#This Row],[Patologia respiratoria]],1)),0,1)</f>
        <v>0</v>
      </c>
      <c r="BR202" s="17">
        <f>IF(ISERROR(SEARCH("OSAS",Tabella1[[#This Row],[Patologia respiratoria]],1)),0,1)</f>
        <v>0</v>
      </c>
      <c r="BS202" s="7" t="s">
        <v>2184</v>
      </c>
      <c r="BT202" s="7" t="s">
        <v>2185</v>
      </c>
      <c r="BU202" s="7" t="s">
        <v>8</v>
      </c>
      <c r="BV202" s="17">
        <f>IF(ISERROR(SEARCH("ndd",Tabella1[[#This Row],[O2 terapia]],1)),0,1)</f>
        <v>0</v>
      </c>
      <c r="BW202" s="17">
        <v>0</v>
      </c>
      <c r="BX202" s="7" t="s">
        <v>2186</v>
      </c>
      <c r="BY202" s="7" t="s">
        <v>2187</v>
      </c>
      <c r="BZ202" s="17">
        <v>1</v>
      </c>
      <c r="CA202" s="7" t="s">
        <v>2188</v>
      </c>
      <c r="CB202" s="17">
        <v>0</v>
      </c>
      <c r="CC202" s="7" t="s">
        <v>8</v>
      </c>
      <c r="CD202" s="18">
        <v>0</v>
      </c>
      <c r="CE202" s="7" t="s">
        <v>8</v>
      </c>
      <c r="CF202" s="18">
        <v>0</v>
      </c>
      <c r="CG202" s="7" t="s">
        <v>8</v>
      </c>
      <c r="CH202" s="17">
        <v>0</v>
      </c>
      <c r="CI202" s="7" t="s">
        <v>8</v>
      </c>
      <c r="CJ202" s="18">
        <v>0</v>
      </c>
      <c r="CK202" s="7" t="s">
        <v>2189</v>
      </c>
      <c r="CL202" s="17">
        <v>1</v>
      </c>
      <c r="CM202" s="7" t="s">
        <v>7</v>
      </c>
      <c r="CN202" s="17">
        <v>1</v>
      </c>
      <c r="CO202" s="7" t="s">
        <v>8</v>
      </c>
      <c r="CP202" s="18">
        <v>0</v>
      </c>
      <c r="CQ202" s="7" t="s">
        <v>13</v>
      </c>
      <c r="CR202" s="7" t="s">
        <v>2190</v>
      </c>
      <c r="CS202" s="7" t="s">
        <v>86</v>
      </c>
      <c r="CT202" s="7" t="s">
        <v>370</v>
      </c>
      <c r="CU202" s="7" t="s">
        <v>2191</v>
      </c>
      <c r="CV202" s="8" t="s">
        <v>2192</v>
      </c>
    </row>
    <row r="203" spans="1:100" ht="185.25">
      <c r="A203" s="1">
        <f t="shared" si="3"/>
        <v>202</v>
      </c>
      <c r="B203" s="9">
        <v>1172</v>
      </c>
      <c r="C203" s="10">
        <v>45259</v>
      </c>
      <c r="D203" s="11" t="s">
        <v>2193</v>
      </c>
      <c r="E203" s="10">
        <v>26459</v>
      </c>
      <c r="F203" s="29">
        <f ca="1">_xlfn.DAYS(NOW(),Tabella1[[#This Row],[Data di Nascita]])/365.25</f>
        <v>53.152635181382614</v>
      </c>
      <c r="G203" s="11" t="s">
        <v>2194</v>
      </c>
      <c r="H203" s="11" t="s">
        <v>2195</v>
      </c>
      <c r="I203" s="11" t="s">
        <v>880</v>
      </c>
      <c r="J203" s="11" t="s">
        <v>1346</v>
      </c>
      <c r="K203" s="11" t="s">
        <v>2196</v>
      </c>
      <c r="L203" s="18">
        <f>IF(ISERROR(SEARCH("EX",Tabella1[[#This Row],[Attività lavorativa]],1)),0,1)</f>
        <v>0</v>
      </c>
      <c r="M203" s="18"/>
      <c r="N203" s="18"/>
      <c r="O203" s="18">
        <v>1</v>
      </c>
      <c r="P203" s="18"/>
      <c r="Q203" s="18"/>
      <c r="R203" s="18"/>
      <c r="S203" s="18"/>
      <c r="T203" s="17">
        <f>IF(ISERROR(SEARCH("NDD",Tabella1[[#This Row],[Attività lavorativa]],1)),0,1)</f>
        <v>0</v>
      </c>
      <c r="U203" s="11" t="s">
        <v>8</v>
      </c>
      <c r="V203" s="22"/>
      <c r="W203" s="22">
        <f>IF(ISERROR(SEARCH("ex",Tabella1[[#This Row],[Fumo]],1)),0,1)</f>
        <v>0</v>
      </c>
      <c r="X203" s="22">
        <f>IF(ISERROR(SEARCH("no",Tabella1[[#This Row],[Fumo]],1)),0,1)</f>
        <v>1</v>
      </c>
      <c r="Y203" s="11" t="s">
        <v>25</v>
      </c>
      <c r="Z203" s="18">
        <f>IF(ISERROR(SEARCH("NDD",Tabella1[[#This Row],[Bevitore alcolici]],1)),0,1)</f>
        <v>0</v>
      </c>
      <c r="AA203" s="17">
        <f>IF(ISERROR(SEARCH("raro",Tabella1[[#This Row],[Bevitore alcolici]],1)),0,1)</f>
        <v>0</v>
      </c>
      <c r="AB203" s="17">
        <f>IF(ISERROR(SEARCH("saltuariamente",Tabella1[[#This Row],[Bevitore alcolici]],1)),0,1)</f>
        <v>0</v>
      </c>
      <c r="AC203" s="17">
        <f>IF(ISERROR(SEARCH("nega",Tabella1[[#This Row],[Bevitore alcolici]],1)),0,1)</f>
        <v>1</v>
      </c>
      <c r="AD203" s="17">
        <f>IF(ISERROR(SEARCH("potus",Tabella1[[#This Row],[Bevitore alcolici]],1)),0,1)</f>
        <v>0</v>
      </c>
      <c r="AE203" s="11" t="s">
        <v>2197</v>
      </c>
      <c r="AF203" s="18"/>
      <c r="AG203" s="18">
        <v>1</v>
      </c>
      <c r="AH203" s="18"/>
      <c r="AI203" s="18"/>
      <c r="AJ203" s="18"/>
      <c r="AK203" s="11" t="s">
        <v>28</v>
      </c>
      <c r="AL203" s="18">
        <f>IF(ISERROR(SEARCH("si",Tabella1[[#This Row],[Patente di guida]],1)),0,1)</f>
        <v>1</v>
      </c>
      <c r="AM203" s="11" t="s">
        <v>28</v>
      </c>
      <c r="AN203" s="18">
        <f>IF(ISERROR(SEARCH("no",Tabella1[[#This Row],[Ipertensione]],1)),0,1)</f>
        <v>0</v>
      </c>
      <c r="AO203" s="11" t="s">
        <v>382</v>
      </c>
      <c r="AP203" s="18">
        <f>IF(ISERROR(SEARCH("NO",Tabella1[[#This Row],[Cardiopatia ischemica]],1)),1,0)</f>
        <v>0</v>
      </c>
      <c r="AQ203" s="17">
        <f>IF(ISERROR(SEARCH("sconosciuto",Tabella1[[#This Row],[Cardiopatia ischemica]],1)),0,1)</f>
        <v>0</v>
      </c>
      <c r="AR203" s="11" t="s">
        <v>25</v>
      </c>
      <c r="AS203" s="22">
        <f>IF(ISERROR(SEARCH("nega",Tabella1[[#This Row],[Artimie]],1)),0,1)</f>
        <v>1</v>
      </c>
      <c r="AT203" s="11" t="s">
        <v>28</v>
      </c>
      <c r="AU203" s="22">
        <f>IF(ISERROR(SEARCH("nega",Tabella1[[#This Row],[Ipercolesterolemia]],1)),0,1)</f>
        <v>0</v>
      </c>
      <c r="AV203" s="22">
        <f>IF(ISERROR(SEARCH("boh",Tabella1[[#This Row],[Ipercolesterolemia]],1)),0,1)</f>
        <v>0</v>
      </c>
      <c r="AW203" s="11" t="s">
        <v>8</v>
      </c>
      <c r="AX203" s="22">
        <f>IF(ISERROR(SEARCH("Intolleranza",Tabella1[[#This Row],[Diabete]],1)),0,1)</f>
        <v>0</v>
      </c>
      <c r="AY203" s="22">
        <f>IF(ISERROR(SEARCH("si",Tabella1[[#This Row],[Diabete]],1)),0,1)</f>
        <v>0</v>
      </c>
      <c r="AZ203" s="11" t="s">
        <v>8</v>
      </c>
      <c r="BA203" s="18">
        <f>IF(ISERROR(SEARCH("NDD",Tabella1[[#This Row],[Patologia Tiroidea]],1)),0,1)</f>
        <v>0</v>
      </c>
      <c r="BB203" s="22">
        <f>IF(ISERROR(SEARCH("TIROIDITE",Tabella1[[#This Row],[Patologia Tiroidea]],1)),0,1)</f>
        <v>0</v>
      </c>
      <c r="BC203" s="22">
        <f>IF(ISERROR(SEARCH("HASHIMOTO",Tabella1[[#This Row],[Patologia Tiroidea]],1)),0,1)</f>
        <v>0</v>
      </c>
      <c r="BD203" s="22">
        <f>IF(ISERROR(SEARCH("BASEDOW",Tabella1[[#This Row],[Patologia Tiroidea]],1)),0,1)</f>
        <v>0</v>
      </c>
      <c r="BE203" s="22">
        <f>IF(ISERROR(SEARCH("NOD",Tabella1[[#This Row],[Patologia Tiroidea]],1)),0,1)</f>
        <v>0</v>
      </c>
      <c r="BF203" s="22">
        <f>IF(ISERROR(SEARCH("GOZ",Tabella1[[#This Row],[Patologia Tiroidea]],1)),0,1)</f>
        <v>0</v>
      </c>
      <c r="BG203" s="11" t="s">
        <v>28</v>
      </c>
      <c r="BH203" s="18">
        <f>IF(Tabella1[[#This Row],[Obesità]]="no",0,1)</f>
        <v>1</v>
      </c>
      <c r="BI203" s="11" t="s">
        <v>28</v>
      </c>
      <c r="BJ203" s="22">
        <f>IF(ISERROR(SEARCH("nega",Tabella1[[#This Row],[Reflusso gastroesofageo]],1)),1,0)</f>
        <v>1</v>
      </c>
      <c r="BK203" s="11" t="s">
        <v>3806</v>
      </c>
      <c r="BL203" s="18">
        <f>IF(ISERROR(SEARCH("NDD",Tabella1[[#This Row],[Patologia respiratoria]],1)),0,1)</f>
        <v>0</v>
      </c>
      <c r="BM203" s="18">
        <f>IF(ISERROR(SEARCH("asma",Tabella1[[#This Row],[Patologia respiratoria]],1)),0,1)</f>
        <v>1</v>
      </c>
      <c r="BN203" s="18">
        <f>IF(ISERROR(SEARCH("BPCO",Tabella1[[#This Row],[Patologia respiratoria]],1)),0,1)</f>
        <v>0</v>
      </c>
      <c r="BO203" s="18">
        <f>IF(ISERROR(SEARCH("BRONCOPOLMONITE",Tabella1[[#This Row],[Patologia respiratoria]],1)),0,1)</f>
        <v>0</v>
      </c>
      <c r="BP203" s="18">
        <f>IF(ISERROR(SEARCH("ASMA, OSAS",Tabella1[[#This Row],[Patologia respiratoria]],1)),0,1)</f>
        <v>0</v>
      </c>
      <c r="BQ203" s="18">
        <f>IF(ISERROR(SEARCH("OSAS e BPCO",Tabella1[[#This Row],[Patologia respiratoria]],1)),0,1)</f>
        <v>0</v>
      </c>
      <c r="BR203" s="18">
        <f>IF(ISERROR(SEARCH("OSAS",Tabella1[[#This Row],[Patologia respiratoria]],1)),0,1)</f>
        <v>0</v>
      </c>
      <c r="BS203" s="11"/>
      <c r="BT203" s="11" t="s">
        <v>2198</v>
      </c>
      <c r="BU203" s="11" t="s">
        <v>8</v>
      </c>
      <c r="BV203" s="18">
        <f>IF(ISERROR(SEARCH("ndd",Tabella1[[#This Row],[O2 terapia]],1)),0,1)</f>
        <v>0</v>
      </c>
      <c r="BW203" s="17">
        <v>0</v>
      </c>
      <c r="BX203" s="11"/>
      <c r="BY203" s="11" t="s">
        <v>8</v>
      </c>
      <c r="BZ203" s="18">
        <v>0</v>
      </c>
      <c r="CA203" s="11" t="s">
        <v>8</v>
      </c>
      <c r="CB203" s="17">
        <v>0</v>
      </c>
      <c r="CC203" s="11" t="s">
        <v>28</v>
      </c>
      <c r="CD203" s="17">
        <v>1</v>
      </c>
      <c r="CE203" s="11" t="s">
        <v>8</v>
      </c>
      <c r="CF203" s="18">
        <v>0</v>
      </c>
      <c r="CG203" s="11" t="s">
        <v>8</v>
      </c>
      <c r="CH203" s="17">
        <v>0</v>
      </c>
      <c r="CI203" s="11" t="s">
        <v>28</v>
      </c>
      <c r="CJ203" s="17">
        <v>1</v>
      </c>
      <c r="CK203" s="11" t="s">
        <v>2199</v>
      </c>
      <c r="CL203" s="17">
        <v>1</v>
      </c>
      <c r="CM203" s="11" t="s">
        <v>8</v>
      </c>
      <c r="CN203" s="17">
        <v>0</v>
      </c>
      <c r="CO203" s="11" t="s">
        <v>28</v>
      </c>
      <c r="CP203" s="17">
        <v>1</v>
      </c>
      <c r="CQ203" s="11" t="s">
        <v>103</v>
      </c>
      <c r="CR203" s="11" t="s">
        <v>507</v>
      </c>
      <c r="CS203" s="11" t="s">
        <v>37</v>
      </c>
      <c r="CT203" s="11" t="s">
        <v>72</v>
      </c>
      <c r="CU203" s="11" t="s">
        <v>2089</v>
      </c>
      <c r="CV203" s="12" t="s">
        <v>2200</v>
      </c>
    </row>
    <row r="204" spans="1:100" ht="185.25">
      <c r="A204" s="1">
        <f t="shared" si="3"/>
        <v>203</v>
      </c>
      <c r="B204" s="5">
        <v>1176</v>
      </c>
      <c r="C204" s="6">
        <v>45260</v>
      </c>
      <c r="D204" s="7" t="s">
        <v>2201</v>
      </c>
      <c r="E204" s="6">
        <v>25455</v>
      </c>
      <c r="F204" s="29">
        <f ca="1">_xlfn.DAYS(NOW(),Tabella1[[#This Row],[Data di Nascita]])/365.25</f>
        <v>55.901437371663242</v>
      </c>
      <c r="G204" s="7" t="s">
        <v>2202</v>
      </c>
      <c r="H204" s="7" t="s">
        <v>2203</v>
      </c>
      <c r="I204" s="7" t="s">
        <v>1928</v>
      </c>
      <c r="J204" s="7" t="s">
        <v>742</v>
      </c>
      <c r="K204" s="7" t="s">
        <v>24</v>
      </c>
      <c r="L204" s="17">
        <f>IF(ISERROR(SEARCH("EX",Tabella1[[#This Row],[Attività lavorativa]],1)),0,1)</f>
        <v>0</v>
      </c>
      <c r="M204" s="17"/>
      <c r="N204" s="17"/>
      <c r="O204" s="17"/>
      <c r="P204" s="18">
        <v>1</v>
      </c>
      <c r="Q204" s="17"/>
      <c r="R204" s="17"/>
      <c r="S204" s="17"/>
      <c r="T204" s="17">
        <f>IF(ISERROR(SEARCH("NDD",Tabella1[[#This Row],[Attività lavorativa]],1)),0,1)</f>
        <v>0</v>
      </c>
      <c r="U204" s="7" t="s">
        <v>2204</v>
      </c>
      <c r="V204" s="22">
        <v>50</v>
      </c>
      <c r="W204" s="22">
        <f>IF(ISERROR(SEARCH("ex",Tabella1[[#This Row],[Fumo]],1)),0,1)</f>
        <v>0</v>
      </c>
      <c r="X204" s="22">
        <f>IF(ISERROR(SEARCH("no",Tabella1[[#This Row],[Fumo]],1)),0,1)</f>
        <v>0</v>
      </c>
      <c r="Y204" s="7" t="s">
        <v>25</v>
      </c>
      <c r="Z204" s="17">
        <f>IF(ISERROR(SEARCH("NDD",Tabella1[[#This Row],[Bevitore alcolici]],1)),0,1)</f>
        <v>0</v>
      </c>
      <c r="AA204" s="17">
        <f>IF(ISERROR(SEARCH("raro",Tabella1[[#This Row],[Bevitore alcolici]],1)),0,1)</f>
        <v>0</v>
      </c>
      <c r="AB204" s="17">
        <f>IF(ISERROR(SEARCH("saltuariamente",Tabella1[[#This Row],[Bevitore alcolici]],1)),0,1)</f>
        <v>0</v>
      </c>
      <c r="AC204" s="17">
        <f>IF(ISERROR(SEARCH("nega",Tabella1[[#This Row],[Bevitore alcolici]],1)),0,1)</f>
        <v>1</v>
      </c>
      <c r="AD204" s="17">
        <f>IF(ISERROR(SEARCH("potus",Tabella1[[#This Row],[Bevitore alcolici]],1)),0,1)</f>
        <v>0</v>
      </c>
      <c r="AE204" s="7" t="s">
        <v>657</v>
      </c>
      <c r="AF204" s="17"/>
      <c r="AG204" s="17"/>
      <c r="AH204" s="17"/>
      <c r="AI204" s="17"/>
      <c r="AJ204" s="17"/>
      <c r="AK204" s="7" t="s">
        <v>8</v>
      </c>
      <c r="AL204" s="17">
        <f>IF(ISERROR(SEARCH("si",Tabella1[[#This Row],[Patente di guida]],1)),0,1)</f>
        <v>0</v>
      </c>
      <c r="AM204" s="7" t="s">
        <v>28</v>
      </c>
      <c r="AN204" s="17">
        <f>IF(ISERROR(SEARCH("no",Tabella1[[#This Row],[Ipertensione]],1)),0,1)</f>
        <v>0</v>
      </c>
      <c r="AO204" s="7" t="s">
        <v>382</v>
      </c>
      <c r="AP204" s="18">
        <f>IF(ISERROR(SEARCH("NO",Tabella1[[#This Row],[Cardiopatia ischemica]],1)),1,0)</f>
        <v>0</v>
      </c>
      <c r="AQ204" s="17">
        <f>IF(ISERROR(SEARCH("sconosciuto",Tabella1[[#This Row],[Cardiopatia ischemica]],1)),0,1)</f>
        <v>0</v>
      </c>
      <c r="AR204" s="7" t="s">
        <v>25</v>
      </c>
      <c r="AS204" s="22">
        <f>IF(ISERROR(SEARCH("nega",Tabella1[[#This Row],[Artimie]],1)),0,1)</f>
        <v>1</v>
      </c>
      <c r="AT204" s="7" t="s">
        <v>28</v>
      </c>
      <c r="AU204" s="22">
        <f>IF(ISERROR(SEARCH("nega",Tabella1[[#This Row],[Ipercolesterolemia]],1)),0,1)</f>
        <v>0</v>
      </c>
      <c r="AV204" s="22">
        <f>IF(ISERROR(SEARCH("boh",Tabella1[[#This Row],[Ipercolesterolemia]],1)),0,1)</f>
        <v>0</v>
      </c>
      <c r="AW204" s="7" t="s">
        <v>8</v>
      </c>
      <c r="AX204" s="22">
        <f>IF(ISERROR(SEARCH("Intolleranza",Tabella1[[#This Row],[Diabete]],1)),0,1)</f>
        <v>0</v>
      </c>
      <c r="AY204" s="22">
        <f>IF(ISERROR(SEARCH("si",Tabella1[[#This Row],[Diabete]],1)),0,1)</f>
        <v>0</v>
      </c>
      <c r="AZ204" s="7" t="s">
        <v>8</v>
      </c>
      <c r="BA204" s="17">
        <f>IF(ISERROR(SEARCH("NDD",Tabella1[[#This Row],[Patologia Tiroidea]],1)),0,1)</f>
        <v>0</v>
      </c>
      <c r="BB204" s="22">
        <f>IF(ISERROR(SEARCH("TIROIDITE",Tabella1[[#This Row],[Patologia Tiroidea]],1)),0,1)</f>
        <v>0</v>
      </c>
      <c r="BC204" s="22">
        <f>IF(ISERROR(SEARCH("HASHIMOTO",Tabella1[[#This Row],[Patologia Tiroidea]],1)),0,1)</f>
        <v>0</v>
      </c>
      <c r="BD204" s="22">
        <f>IF(ISERROR(SEARCH("BASEDOW",Tabella1[[#This Row],[Patologia Tiroidea]],1)),0,1)</f>
        <v>0</v>
      </c>
      <c r="BE204" s="22">
        <f>IF(ISERROR(SEARCH("NOD",Tabella1[[#This Row],[Patologia Tiroidea]],1)),0,1)</f>
        <v>0</v>
      </c>
      <c r="BF204" s="22">
        <f>IF(ISERROR(SEARCH("GOZ",Tabella1[[#This Row],[Patologia Tiroidea]],1)),0,1)</f>
        <v>0</v>
      </c>
      <c r="BG204" s="7" t="s">
        <v>28</v>
      </c>
      <c r="BH204" s="17">
        <f>IF(Tabella1[[#This Row],[Obesità]]="no",0,1)</f>
        <v>1</v>
      </c>
      <c r="BI204" s="7" t="s">
        <v>28</v>
      </c>
      <c r="BJ204" s="22">
        <f>IF(ISERROR(SEARCH("nega",Tabella1[[#This Row],[Reflusso gastroesofageo]],1)),1,0)</f>
        <v>1</v>
      </c>
      <c r="BK204" s="7" t="s">
        <v>2205</v>
      </c>
      <c r="BL204" s="17">
        <f>IF(ISERROR(SEARCH("NDD",Tabella1[[#This Row],[Patologia respiratoria]],1)),0,1)</f>
        <v>0</v>
      </c>
      <c r="BM204" s="17">
        <f>IF(ISERROR(SEARCH("asma",Tabella1[[#This Row],[Patologia respiratoria]],1)),0,1)</f>
        <v>0</v>
      </c>
      <c r="BN204" s="17">
        <f>IF(ISERROR(SEARCH("BPCO",Tabella1[[#This Row],[Patologia respiratoria]],1)),0,1)</f>
        <v>1</v>
      </c>
      <c r="BO204" s="17">
        <f>IF(ISERROR(SEARCH("BRONCOPOLMONITE",Tabella1[[#This Row],[Patologia respiratoria]],1)),0,1)</f>
        <v>0</v>
      </c>
      <c r="BP204" s="17">
        <f>IF(ISERROR(SEARCH("ASMA, OSAS",Tabella1[[#This Row],[Patologia respiratoria]],1)),0,1)</f>
        <v>0</v>
      </c>
      <c r="BQ204" s="17">
        <f>IF(ISERROR(SEARCH("OSAS e BPCO",Tabella1[[#This Row],[Patologia respiratoria]],1)),0,1)</f>
        <v>0</v>
      </c>
      <c r="BR204" s="17">
        <f>IF(ISERROR(SEARCH("OSAS",Tabella1[[#This Row],[Patologia respiratoria]],1)),0,1)</f>
        <v>0</v>
      </c>
      <c r="BS204" s="7"/>
      <c r="BT204" s="7" t="s">
        <v>2206</v>
      </c>
      <c r="BU204" s="7" t="s">
        <v>8</v>
      </c>
      <c r="BV204" s="17">
        <f>IF(ISERROR(SEARCH("ndd",Tabella1[[#This Row],[O2 terapia]],1)),0,1)</f>
        <v>0</v>
      </c>
      <c r="BW204" s="17">
        <v>0</v>
      </c>
      <c r="BX204" s="7"/>
      <c r="BY204" s="7" t="s">
        <v>28</v>
      </c>
      <c r="BZ204" s="17">
        <v>1</v>
      </c>
      <c r="CA204" s="7" t="s">
        <v>28</v>
      </c>
      <c r="CB204" s="17">
        <v>1</v>
      </c>
      <c r="CC204" s="7" t="s">
        <v>28</v>
      </c>
      <c r="CD204" s="17">
        <v>1</v>
      </c>
      <c r="CE204" s="7" t="s">
        <v>8</v>
      </c>
      <c r="CF204" s="18">
        <v>0</v>
      </c>
      <c r="CG204" s="7" t="s">
        <v>8</v>
      </c>
      <c r="CH204" s="17">
        <v>0</v>
      </c>
      <c r="CI204" s="7" t="s">
        <v>28</v>
      </c>
      <c r="CJ204" s="17">
        <v>1</v>
      </c>
      <c r="CK204" s="7" t="s">
        <v>2070</v>
      </c>
      <c r="CL204" s="17">
        <v>1</v>
      </c>
      <c r="CM204" s="7" t="s">
        <v>8</v>
      </c>
      <c r="CN204" s="17">
        <v>0</v>
      </c>
      <c r="CO204" s="7" t="s">
        <v>2069</v>
      </c>
      <c r="CP204" s="17">
        <v>1</v>
      </c>
      <c r="CQ204" s="7" t="s">
        <v>368</v>
      </c>
      <c r="CR204" s="7" t="s">
        <v>2207</v>
      </c>
      <c r="CS204" s="7" t="s">
        <v>15</v>
      </c>
      <c r="CT204" s="7" t="s">
        <v>370</v>
      </c>
      <c r="CU204" s="7" t="s">
        <v>2158</v>
      </c>
      <c r="CV204" s="8" t="s">
        <v>2208</v>
      </c>
    </row>
    <row r="205" spans="1:100" ht="299.25">
      <c r="A205" s="1">
        <f t="shared" si="3"/>
        <v>204</v>
      </c>
      <c r="B205" s="9">
        <v>1183</v>
      </c>
      <c r="C205" s="10">
        <v>45266</v>
      </c>
      <c r="D205" s="11" t="s">
        <v>2209</v>
      </c>
      <c r="E205" s="10">
        <v>26604</v>
      </c>
      <c r="F205" s="29">
        <f ca="1">_xlfn.DAYS(NOW(),Tabella1[[#This Row],[Data di Nascita]])/365.25</f>
        <v>52.755646817248461</v>
      </c>
      <c r="G205" s="11" t="s">
        <v>2210</v>
      </c>
      <c r="H205" s="11" t="s">
        <v>2211</v>
      </c>
      <c r="I205" s="11" t="s">
        <v>1008</v>
      </c>
      <c r="J205" s="11" t="s">
        <v>1346</v>
      </c>
      <c r="K205" s="11" t="s">
        <v>2212</v>
      </c>
      <c r="L205" s="18">
        <f>IF(ISERROR(SEARCH("EX",Tabella1[[#This Row],[Attività lavorativa]],1)),0,1)</f>
        <v>0</v>
      </c>
      <c r="M205" s="18"/>
      <c r="N205" s="18"/>
      <c r="O205" s="18"/>
      <c r="P205" s="18">
        <v>1</v>
      </c>
      <c r="Q205" s="18"/>
      <c r="R205" s="18"/>
      <c r="S205" s="18"/>
      <c r="T205" s="17">
        <f>IF(ISERROR(SEARCH("NDD",Tabella1[[#This Row],[Attività lavorativa]],1)),0,1)</f>
        <v>0</v>
      </c>
      <c r="U205" s="11" t="s">
        <v>8</v>
      </c>
      <c r="V205" s="22"/>
      <c r="W205" s="22">
        <f>IF(ISERROR(SEARCH("ex",Tabella1[[#This Row],[Fumo]],1)),0,1)</f>
        <v>0</v>
      </c>
      <c r="X205" s="22">
        <f>IF(ISERROR(SEARCH("no",Tabella1[[#This Row],[Fumo]],1)),0,1)</f>
        <v>1</v>
      </c>
      <c r="Y205" s="11" t="s">
        <v>26</v>
      </c>
      <c r="Z205" s="18">
        <f>IF(ISERROR(SEARCH("NDD",Tabella1[[#This Row],[Bevitore alcolici]],1)),0,1)</f>
        <v>0</v>
      </c>
      <c r="AA205" s="17">
        <f>IF(ISERROR(SEARCH("raro",Tabella1[[#This Row],[Bevitore alcolici]],1)),0,1)</f>
        <v>0</v>
      </c>
      <c r="AB205" s="17">
        <f>IF(ISERROR(SEARCH("saltuariamente",Tabella1[[#This Row],[Bevitore alcolici]],1)),0,1)</f>
        <v>1</v>
      </c>
      <c r="AC205" s="17">
        <f>IF(ISERROR(SEARCH("nega",Tabella1[[#This Row],[Bevitore alcolici]],1)),0,1)</f>
        <v>0</v>
      </c>
      <c r="AD205" s="17">
        <f>IF(ISERROR(SEARCH("potus",Tabella1[[#This Row],[Bevitore alcolici]],1)),0,1)</f>
        <v>0</v>
      </c>
      <c r="AE205" s="11" t="s">
        <v>657</v>
      </c>
      <c r="AF205" s="18"/>
      <c r="AG205" s="18"/>
      <c r="AH205" s="18"/>
      <c r="AI205" s="18"/>
      <c r="AJ205" s="18"/>
      <c r="AK205" s="11" t="s">
        <v>28</v>
      </c>
      <c r="AL205" s="18">
        <f>IF(ISERROR(SEARCH("si",Tabella1[[#This Row],[Patente di guida]],1)),0,1)</f>
        <v>1</v>
      </c>
      <c r="AM205" s="11" t="s">
        <v>8</v>
      </c>
      <c r="AN205" s="18">
        <f>IF(ISERROR(SEARCH("no",Tabella1[[#This Row],[Ipertensione]],1)),0,1)</f>
        <v>1</v>
      </c>
      <c r="AO205" s="11" t="s">
        <v>382</v>
      </c>
      <c r="AP205" s="18">
        <f>IF(ISERROR(SEARCH("NO",Tabella1[[#This Row],[Cardiopatia ischemica]],1)),1,0)</f>
        <v>0</v>
      </c>
      <c r="AQ205" s="17">
        <f>IF(ISERROR(SEARCH("sconosciuto",Tabella1[[#This Row],[Cardiopatia ischemica]],1)),0,1)</f>
        <v>0</v>
      </c>
      <c r="AR205" s="11" t="s">
        <v>25</v>
      </c>
      <c r="AS205" s="22">
        <f>IF(ISERROR(SEARCH("nega",Tabella1[[#This Row],[Artimie]],1)),0,1)</f>
        <v>1</v>
      </c>
      <c r="AT205" s="11" t="s">
        <v>25</v>
      </c>
      <c r="AU205" s="22">
        <f>IF(ISERROR(SEARCH("nega",Tabella1[[#This Row],[Ipercolesterolemia]],1)),0,1)</f>
        <v>1</v>
      </c>
      <c r="AV205" s="22">
        <f>IF(ISERROR(SEARCH("boh",Tabella1[[#This Row],[Ipercolesterolemia]],1)),0,1)</f>
        <v>0</v>
      </c>
      <c r="AW205" s="11" t="s">
        <v>8</v>
      </c>
      <c r="AX205" s="22">
        <f>IF(ISERROR(SEARCH("Intolleranza",Tabella1[[#This Row],[Diabete]],1)),0,1)</f>
        <v>0</v>
      </c>
      <c r="AY205" s="22">
        <f>IF(ISERROR(SEARCH("si",Tabella1[[#This Row],[Diabete]],1)),0,1)</f>
        <v>0</v>
      </c>
      <c r="AZ205" s="11" t="s">
        <v>8</v>
      </c>
      <c r="BA205" s="18">
        <f>IF(ISERROR(SEARCH("NDD",Tabella1[[#This Row],[Patologia Tiroidea]],1)),0,1)</f>
        <v>0</v>
      </c>
      <c r="BB205" s="22">
        <f>IF(ISERROR(SEARCH("TIROIDITE",Tabella1[[#This Row],[Patologia Tiroidea]],1)),0,1)</f>
        <v>0</v>
      </c>
      <c r="BC205" s="22">
        <f>IF(ISERROR(SEARCH("HASHIMOTO",Tabella1[[#This Row],[Patologia Tiroidea]],1)),0,1)</f>
        <v>0</v>
      </c>
      <c r="BD205" s="22">
        <f>IF(ISERROR(SEARCH("BASEDOW",Tabella1[[#This Row],[Patologia Tiroidea]],1)),0,1)</f>
        <v>0</v>
      </c>
      <c r="BE205" s="22">
        <f>IF(ISERROR(SEARCH("NOD",Tabella1[[#This Row],[Patologia Tiroidea]],1)),0,1)</f>
        <v>0</v>
      </c>
      <c r="BF205" s="22">
        <f>IF(ISERROR(SEARCH("GOZ",Tabella1[[#This Row],[Patologia Tiroidea]],1)),0,1)</f>
        <v>0</v>
      </c>
      <c r="BG205" s="11" t="s">
        <v>8</v>
      </c>
      <c r="BH205" s="18">
        <f>IF(Tabella1[[#This Row],[Obesità]]="no",0,1)</f>
        <v>0</v>
      </c>
      <c r="BI205" s="11" t="s">
        <v>1036</v>
      </c>
      <c r="BJ205" s="22">
        <f>IF(ISERROR(SEARCH("nega",Tabella1[[#This Row],[Reflusso gastroesofageo]],1)),1,0)</f>
        <v>1</v>
      </c>
      <c r="BK205" s="11" t="s">
        <v>2213</v>
      </c>
      <c r="BL205" s="18">
        <f>IF(ISERROR(SEARCH("NDD",Tabella1[[#This Row],[Patologia respiratoria]],1)),0,1)</f>
        <v>0</v>
      </c>
      <c r="BM205" s="18">
        <f>IF(ISERROR(SEARCH("asma",Tabella1[[#This Row],[Patologia respiratoria]],1)),0,1)</f>
        <v>0</v>
      </c>
      <c r="BN205" s="18">
        <f>IF(ISERROR(SEARCH("BPCO",Tabella1[[#This Row],[Patologia respiratoria]],1)),0,1)</f>
        <v>0</v>
      </c>
      <c r="BO205" s="18">
        <f>IF(ISERROR(SEARCH("BRONCOPOLMONITE",Tabella1[[#This Row],[Patologia respiratoria]],1)),0,1)</f>
        <v>0</v>
      </c>
      <c r="BP205" s="18">
        <f>IF(ISERROR(SEARCH("ASMA, OSAS",Tabella1[[#This Row],[Patologia respiratoria]],1)),0,1)</f>
        <v>0</v>
      </c>
      <c r="BQ205" s="18">
        <f>IF(ISERROR(SEARCH("OSAS e BPCO",Tabella1[[#This Row],[Patologia respiratoria]],1)),0,1)</f>
        <v>0</v>
      </c>
      <c r="BR205" s="18">
        <f>IF(ISERROR(SEARCH("OSAS",Tabella1[[#This Row],[Patologia respiratoria]],1)),0,1)</f>
        <v>0</v>
      </c>
      <c r="BS205" s="11" t="s">
        <v>2214</v>
      </c>
      <c r="BT205" s="11" t="s">
        <v>2215</v>
      </c>
      <c r="BU205" s="11" t="s">
        <v>8</v>
      </c>
      <c r="BV205" s="18">
        <f>IF(ISERROR(SEARCH("ndd",Tabella1[[#This Row],[O2 terapia]],1)),0,1)</f>
        <v>0</v>
      </c>
      <c r="BW205" s="17">
        <v>0</v>
      </c>
      <c r="BX205" s="11"/>
      <c r="BY205" s="11" t="s">
        <v>8</v>
      </c>
      <c r="BZ205" s="18">
        <v>0</v>
      </c>
      <c r="CA205" s="11" t="s">
        <v>2216</v>
      </c>
      <c r="CB205" s="17">
        <v>1</v>
      </c>
      <c r="CC205" s="11" t="s">
        <v>7</v>
      </c>
      <c r="CD205" s="17">
        <v>1</v>
      </c>
      <c r="CE205" s="11" t="s">
        <v>8</v>
      </c>
      <c r="CF205" s="18">
        <v>0</v>
      </c>
      <c r="CG205" s="11" t="s">
        <v>2217</v>
      </c>
      <c r="CH205" s="17">
        <v>1</v>
      </c>
      <c r="CI205" s="11" t="s">
        <v>272</v>
      </c>
      <c r="CJ205" s="17">
        <v>1</v>
      </c>
      <c r="CK205" s="11" t="s">
        <v>2218</v>
      </c>
      <c r="CL205" s="17">
        <v>0</v>
      </c>
      <c r="CM205" s="11" t="s">
        <v>2219</v>
      </c>
      <c r="CN205" s="17">
        <v>1</v>
      </c>
      <c r="CO205" s="11" t="s">
        <v>2220</v>
      </c>
      <c r="CP205" s="17">
        <v>1</v>
      </c>
      <c r="CQ205" s="11" t="s">
        <v>13</v>
      </c>
      <c r="CR205" s="11" t="s">
        <v>850</v>
      </c>
      <c r="CS205" s="11" t="s">
        <v>355</v>
      </c>
      <c r="CT205" s="11" t="s">
        <v>2221</v>
      </c>
      <c r="CU205" s="11" t="s">
        <v>2222</v>
      </c>
      <c r="CV205" s="12" t="s">
        <v>2223</v>
      </c>
    </row>
    <row r="206" spans="1:100" ht="228">
      <c r="A206" s="1">
        <f t="shared" si="3"/>
        <v>205</v>
      </c>
      <c r="B206" s="5">
        <v>1189</v>
      </c>
      <c r="C206" s="6">
        <v>45267</v>
      </c>
      <c r="D206" s="7" t="s">
        <v>2224</v>
      </c>
      <c r="E206" s="6">
        <v>35034</v>
      </c>
      <c r="F206" s="29">
        <f ca="1">_xlfn.DAYS(NOW(),Tabella1[[#This Row],[Data di Nascita]])/365.25</f>
        <v>29.675564681724847</v>
      </c>
      <c r="G206" s="7" t="s">
        <v>2225</v>
      </c>
      <c r="H206" s="7" t="s">
        <v>2226</v>
      </c>
      <c r="I206" s="7" t="s">
        <v>2227</v>
      </c>
      <c r="J206" s="7" t="s">
        <v>457</v>
      </c>
      <c r="K206" s="7" t="s">
        <v>2228</v>
      </c>
      <c r="L206" s="17">
        <f>IF(ISERROR(SEARCH("EX",Tabella1[[#This Row],[Attività lavorativa]],1)),0,1)</f>
        <v>0</v>
      </c>
      <c r="M206" s="17"/>
      <c r="N206" s="17"/>
      <c r="O206" s="17"/>
      <c r="P206" s="17"/>
      <c r="Q206" s="17"/>
      <c r="R206" s="17"/>
      <c r="S206" s="17"/>
      <c r="T206" s="17">
        <f>IF(ISERROR(SEARCH("NDD",Tabella1[[#This Row],[Attività lavorativa]],1)),0,1)</f>
        <v>0</v>
      </c>
      <c r="U206" s="7" t="s">
        <v>8</v>
      </c>
      <c r="V206" s="22"/>
      <c r="W206" s="22">
        <f>IF(ISERROR(SEARCH("ex",Tabella1[[#This Row],[Fumo]],1)),0,1)</f>
        <v>0</v>
      </c>
      <c r="X206" s="22">
        <f>IF(ISERROR(SEARCH("no",Tabella1[[#This Row],[Fumo]],1)),0,1)</f>
        <v>1</v>
      </c>
      <c r="Y206" s="7" t="s">
        <v>3699</v>
      </c>
      <c r="Z206" s="17">
        <f>IF(ISERROR(SEARCH("NDD",Tabella1[[#This Row],[Bevitore alcolici]],1)),0,1)</f>
        <v>0</v>
      </c>
      <c r="AA206" s="17">
        <f>IF(ISERROR(SEARCH("raro",Tabella1[[#This Row],[Bevitore alcolici]],1)),0,1)</f>
        <v>1</v>
      </c>
      <c r="AB206" s="17">
        <f>IF(ISERROR(SEARCH("saltuariamente",Tabella1[[#This Row],[Bevitore alcolici]],1)),0,1)</f>
        <v>0</v>
      </c>
      <c r="AC206" s="17">
        <f>IF(ISERROR(SEARCH("nega",Tabella1[[#This Row],[Bevitore alcolici]],1)),0,1)</f>
        <v>0</v>
      </c>
      <c r="AD206" s="17">
        <f>IF(ISERROR(SEARCH("potus",Tabella1[[#This Row],[Bevitore alcolici]],1)),0,1)</f>
        <v>0</v>
      </c>
      <c r="AE206" s="7" t="s">
        <v>2229</v>
      </c>
      <c r="AF206" s="17"/>
      <c r="AG206" s="18">
        <v>1</v>
      </c>
      <c r="AH206" s="18"/>
      <c r="AI206" s="18"/>
      <c r="AJ206" s="18"/>
      <c r="AK206" s="7" t="s">
        <v>28</v>
      </c>
      <c r="AL206" s="17">
        <f>IF(ISERROR(SEARCH("si",Tabella1[[#This Row],[Patente di guida]],1)),0,1)</f>
        <v>1</v>
      </c>
      <c r="AM206" s="7" t="s">
        <v>8</v>
      </c>
      <c r="AN206" s="17">
        <f>IF(ISERROR(SEARCH("no",Tabella1[[#This Row],[Ipertensione]],1)),0,1)</f>
        <v>1</v>
      </c>
      <c r="AO206" s="7" t="s">
        <v>382</v>
      </c>
      <c r="AP206" s="18">
        <f>IF(ISERROR(SEARCH("NO",Tabella1[[#This Row],[Cardiopatia ischemica]],1)),1,0)</f>
        <v>0</v>
      </c>
      <c r="AQ206" s="17">
        <f>IF(ISERROR(SEARCH("sconosciuto",Tabella1[[#This Row],[Cardiopatia ischemica]],1)),0,1)</f>
        <v>0</v>
      </c>
      <c r="AR206" s="7" t="s">
        <v>25</v>
      </c>
      <c r="AS206" s="22">
        <f>IF(ISERROR(SEARCH("nega",Tabella1[[#This Row],[Artimie]],1)),0,1)</f>
        <v>1</v>
      </c>
      <c r="AT206" s="7" t="s">
        <v>25</v>
      </c>
      <c r="AU206" s="22">
        <f>IF(ISERROR(SEARCH("nega",Tabella1[[#This Row],[Ipercolesterolemia]],1)),0,1)</f>
        <v>1</v>
      </c>
      <c r="AV206" s="22">
        <f>IF(ISERROR(SEARCH("boh",Tabella1[[#This Row],[Ipercolesterolemia]],1)),0,1)</f>
        <v>0</v>
      </c>
      <c r="AW206" s="7" t="s">
        <v>8</v>
      </c>
      <c r="AX206" s="22">
        <f>IF(ISERROR(SEARCH("Intolleranza",Tabella1[[#This Row],[Diabete]],1)),0,1)</f>
        <v>0</v>
      </c>
      <c r="AY206" s="22">
        <f>IF(ISERROR(SEARCH("si",Tabella1[[#This Row],[Diabete]],1)),0,1)</f>
        <v>0</v>
      </c>
      <c r="AZ206" s="7" t="s">
        <v>8</v>
      </c>
      <c r="BA206" s="17">
        <f>IF(ISERROR(SEARCH("NDD",Tabella1[[#This Row],[Patologia Tiroidea]],1)),0,1)</f>
        <v>0</v>
      </c>
      <c r="BB206" s="22">
        <f>IF(ISERROR(SEARCH("TIROIDITE",Tabella1[[#This Row],[Patologia Tiroidea]],1)),0,1)</f>
        <v>0</v>
      </c>
      <c r="BC206" s="22">
        <f>IF(ISERROR(SEARCH("HASHIMOTO",Tabella1[[#This Row],[Patologia Tiroidea]],1)),0,1)</f>
        <v>0</v>
      </c>
      <c r="BD206" s="22">
        <f>IF(ISERROR(SEARCH("BASEDOW",Tabella1[[#This Row],[Patologia Tiroidea]],1)),0,1)</f>
        <v>0</v>
      </c>
      <c r="BE206" s="22">
        <f>IF(ISERROR(SEARCH("NOD",Tabella1[[#This Row],[Patologia Tiroidea]],1)),0,1)</f>
        <v>0</v>
      </c>
      <c r="BF206" s="22">
        <f>IF(ISERROR(SEARCH("GOZ",Tabella1[[#This Row],[Patologia Tiroidea]],1)),0,1)</f>
        <v>0</v>
      </c>
      <c r="BG206" s="7" t="s">
        <v>28</v>
      </c>
      <c r="BH206" s="17">
        <f>IF(Tabella1[[#This Row],[Obesità]]="no",0,1)</f>
        <v>1</v>
      </c>
      <c r="BI206" s="7" t="s">
        <v>25</v>
      </c>
      <c r="BJ206" s="22">
        <f>IF(ISERROR(SEARCH("nega",Tabella1[[#This Row],[Reflusso gastroesofageo]],1)),1,0)</f>
        <v>0</v>
      </c>
      <c r="BK206" s="7" t="s">
        <v>8</v>
      </c>
      <c r="BL206" s="17">
        <f>IF(ISERROR(SEARCH("NDD",Tabella1[[#This Row],[Patologia respiratoria]],1)),0,1)</f>
        <v>0</v>
      </c>
      <c r="BM206" s="17">
        <f>IF(ISERROR(SEARCH("asma",Tabella1[[#This Row],[Patologia respiratoria]],1)),0,1)</f>
        <v>0</v>
      </c>
      <c r="BN206" s="17">
        <f>IF(ISERROR(SEARCH("BPCO",Tabella1[[#This Row],[Patologia respiratoria]],1)),0,1)</f>
        <v>0</v>
      </c>
      <c r="BO206" s="17">
        <f>IF(ISERROR(SEARCH("BRONCOPOLMONITE",Tabella1[[#This Row],[Patologia respiratoria]],1)),0,1)</f>
        <v>0</v>
      </c>
      <c r="BP206" s="17">
        <f>IF(ISERROR(SEARCH("ASMA, OSAS",Tabella1[[#This Row],[Patologia respiratoria]],1)),0,1)</f>
        <v>0</v>
      </c>
      <c r="BQ206" s="17">
        <f>IF(ISERROR(SEARCH("OSAS e BPCO",Tabella1[[#This Row],[Patologia respiratoria]],1)),0,1)</f>
        <v>0</v>
      </c>
      <c r="BR206" s="17">
        <f>IF(ISERROR(SEARCH("OSAS",Tabella1[[#This Row],[Patologia respiratoria]],1)),0,1)</f>
        <v>0</v>
      </c>
      <c r="BS206" s="7" t="s">
        <v>2230</v>
      </c>
      <c r="BT206" s="7" t="s">
        <v>8</v>
      </c>
      <c r="BU206" s="7" t="s">
        <v>8</v>
      </c>
      <c r="BV206" s="17">
        <f>IF(ISERROR(SEARCH("ndd",Tabella1[[#This Row],[O2 terapia]],1)),0,1)</f>
        <v>0</v>
      </c>
      <c r="BW206" s="17">
        <v>0</v>
      </c>
      <c r="BX206" s="7" t="s">
        <v>8</v>
      </c>
      <c r="BY206" s="7" t="s">
        <v>2231</v>
      </c>
      <c r="BZ206" s="17">
        <v>1</v>
      </c>
      <c r="CA206" s="7" t="s">
        <v>8</v>
      </c>
      <c r="CB206" s="17">
        <v>0</v>
      </c>
      <c r="CC206" s="7" t="s">
        <v>8</v>
      </c>
      <c r="CD206" s="18">
        <v>0</v>
      </c>
      <c r="CE206" s="7" t="s">
        <v>8</v>
      </c>
      <c r="CF206" s="18">
        <v>0</v>
      </c>
      <c r="CG206" s="7" t="s">
        <v>8</v>
      </c>
      <c r="CH206" s="17">
        <v>0</v>
      </c>
      <c r="CI206" s="7" t="s">
        <v>8</v>
      </c>
      <c r="CJ206" s="18">
        <v>0</v>
      </c>
      <c r="CK206" s="7" t="s">
        <v>289</v>
      </c>
      <c r="CL206" s="17">
        <v>1</v>
      </c>
      <c r="CM206" s="7" t="s">
        <v>8</v>
      </c>
      <c r="CN206" s="17">
        <v>0</v>
      </c>
      <c r="CO206" s="7" t="s">
        <v>28</v>
      </c>
      <c r="CP206" s="17">
        <v>1</v>
      </c>
      <c r="CQ206" s="7" t="s">
        <v>85</v>
      </c>
      <c r="CR206" s="7" t="s">
        <v>2232</v>
      </c>
      <c r="CS206" s="7" t="s">
        <v>71</v>
      </c>
      <c r="CT206" s="7" t="s">
        <v>122</v>
      </c>
      <c r="CU206" s="7" t="s">
        <v>2233</v>
      </c>
      <c r="CV206" s="8" t="s">
        <v>2234</v>
      </c>
    </row>
    <row r="207" spans="1:100" ht="370.5">
      <c r="A207" s="1">
        <f t="shared" si="3"/>
        <v>206</v>
      </c>
      <c r="B207" s="9">
        <v>1228</v>
      </c>
      <c r="C207" s="10">
        <v>45306</v>
      </c>
      <c r="D207" s="11" t="s">
        <v>2235</v>
      </c>
      <c r="E207" s="10">
        <v>22890</v>
      </c>
      <c r="F207" s="29">
        <f ca="1">_xlfn.DAYS(NOW(),Tabella1[[#This Row],[Data di Nascita]])/365.25</f>
        <v>62.924024640657088</v>
      </c>
      <c r="G207" s="11" t="s">
        <v>2236</v>
      </c>
      <c r="H207" s="11" t="s">
        <v>2237</v>
      </c>
      <c r="I207" s="11" t="s">
        <v>2142</v>
      </c>
      <c r="J207" s="11" t="s">
        <v>2238</v>
      </c>
      <c r="K207" s="11" t="s">
        <v>2239</v>
      </c>
      <c r="L207" s="18">
        <f>IF(ISERROR(SEARCH("EX",Tabella1[[#This Row],[Attività lavorativa]],1)),0,1)</f>
        <v>1</v>
      </c>
      <c r="M207" s="18"/>
      <c r="N207" s="18"/>
      <c r="O207" s="18"/>
      <c r="P207" s="18">
        <v>1</v>
      </c>
      <c r="Q207" s="18"/>
      <c r="R207" s="18"/>
      <c r="S207" s="18"/>
      <c r="T207" s="17">
        <f>IF(ISERROR(SEARCH("NDD",Tabella1[[#This Row],[Attività lavorativa]],1)),0,1)</f>
        <v>0</v>
      </c>
      <c r="U207" s="11" t="s">
        <v>8</v>
      </c>
      <c r="V207" s="22"/>
      <c r="W207" s="22">
        <f>IF(ISERROR(SEARCH("ex",Tabella1[[#This Row],[Fumo]],1)),0,1)</f>
        <v>0</v>
      </c>
      <c r="X207" s="22">
        <f>IF(ISERROR(SEARCH("no",Tabella1[[#This Row],[Fumo]],1)),0,1)</f>
        <v>1</v>
      </c>
      <c r="Y207" s="11" t="s">
        <v>26</v>
      </c>
      <c r="Z207" s="18">
        <f>IF(ISERROR(SEARCH("NDD",Tabella1[[#This Row],[Bevitore alcolici]],1)),0,1)</f>
        <v>0</v>
      </c>
      <c r="AA207" s="17">
        <f>IF(ISERROR(SEARCH("raro",Tabella1[[#This Row],[Bevitore alcolici]],1)),0,1)</f>
        <v>0</v>
      </c>
      <c r="AB207" s="17">
        <f>IF(ISERROR(SEARCH("saltuariamente",Tabella1[[#This Row],[Bevitore alcolici]],1)),0,1)</f>
        <v>1</v>
      </c>
      <c r="AC207" s="17">
        <f>IF(ISERROR(SEARCH("nega",Tabella1[[#This Row],[Bevitore alcolici]],1)),0,1)</f>
        <v>0</v>
      </c>
      <c r="AD207" s="17">
        <f>IF(ISERROR(SEARCH("potus",Tabella1[[#This Row],[Bevitore alcolici]],1)),0,1)</f>
        <v>0</v>
      </c>
      <c r="AE207" s="11" t="s">
        <v>657</v>
      </c>
      <c r="AF207" s="18"/>
      <c r="AG207" s="18"/>
      <c r="AH207" s="18"/>
      <c r="AI207" s="18"/>
      <c r="AJ207" s="18"/>
      <c r="AK207" s="11" t="s">
        <v>8</v>
      </c>
      <c r="AL207" s="18">
        <f>IF(ISERROR(SEARCH("si",Tabella1[[#This Row],[Patente di guida]],1)),0,1)</f>
        <v>0</v>
      </c>
      <c r="AM207" s="11" t="s">
        <v>28</v>
      </c>
      <c r="AN207" s="18">
        <f>IF(ISERROR(SEARCH("no",Tabella1[[#This Row],[Ipertensione]],1)),0,1)</f>
        <v>0</v>
      </c>
      <c r="AO207" s="11" t="s">
        <v>382</v>
      </c>
      <c r="AP207" s="18">
        <f>IF(ISERROR(SEARCH("NO",Tabella1[[#This Row],[Cardiopatia ischemica]],1)),1,0)</f>
        <v>0</v>
      </c>
      <c r="AQ207" s="17">
        <f>IF(ISERROR(SEARCH("sconosciuto",Tabella1[[#This Row],[Cardiopatia ischemica]],1)),0,1)</f>
        <v>0</v>
      </c>
      <c r="AR207" s="11" t="s">
        <v>25</v>
      </c>
      <c r="AS207" s="22">
        <f>IF(ISERROR(SEARCH("nega",Tabella1[[#This Row],[Artimie]],1)),0,1)</f>
        <v>1</v>
      </c>
      <c r="AT207" s="11" t="s">
        <v>25</v>
      </c>
      <c r="AU207" s="22">
        <f>IF(ISERROR(SEARCH("nega",Tabella1[[#This Row],[Ipercolesterolemia]],1)),0,1)</f>
        <v>1</v>
      </c>
      <c r="AV207" s="22">
        <f>IF(ISERROR(SEARCH("boh",Tabella1[[#This Row],[Ipercolesterolemia]],1)),0,1)</f>
        <v>0</v>
      </c>
      <c r="AW207" s="11" t="s">
        <v>8</v>
      </c>
      <c r="AX207" s="22">
        <f>IF(ISERROR(SEARCH("Intolleranza",Tabella1[[#This Row],[Diabete]],1)),0,1)</f>
        <v>0</v>
      </c>
      <c r="AY207" s="22">
        <f>IF(ISERROR(SEARCH("si",Tabella1[[#This Row],[Diabete]],1)),0,1)</f>
        <v>0</v>
      </c>
      <c r="AZ207" s="11" t="s">
        <v>8</v>
      </c>
      <c r="BA207" s="18">
        <f>IF(ISERROR(SEARCH("NDD",Tabella1[[#This Row],[Patologia Tiroidea]],1)),0,1)</f>
        <v>0</v>
      </c>
      <c r="BB207" s="22">
        <f>IF(ISERROR(SEARCH("TIROIDITE",Tabella1[[#This Row],[Patologia Tiroidea]],1)),0,1)</f>
        <v>0</v>
      </c>
      <c r="BC207" s="22">
        <f>IF(ISERROR(SEARCH("HASHIMOTO",Tabella1[[#This Row],[Patologia Tiroidea]],1)),0,1)</f>
        <v>0</v>
      </c>
      <c r="BD207" s="22">
        <f>IF(ISERROR(SEARCH("BASEDOW",Tabella1[[#This Row],[Patologia Tiroidea]],1)),0,1)</f>
        <v>0</v>
      </c>
      <c r="BE207" s="22">
        <f>IF(ISERROR(SEARCH("NOD",Tabella1[[#This Row],[Patologia Tiroidea]],1)),0,1)</f>
        <v>0</v>
      </c>
      <c r="BF207" s="22">
        <f>IF(ISERROR(SEARCH("GOZ",Tabella1[[#This Row],[Patologia Tiroidea]],1)),0,1)</f>
        <v>0</v>
      </c>
      <c r="BG207" s="11" t="s">
        <v>7</v>
      </c>
      <c r="BH207" s="18">
        <f>IF(Tabella1[[#This Row],[Obesità]]="no",0,1)</f>
        <v>1</v>
      </c>
      <c r="BI207" s="11" t="s">
        <v>25</v>
      </c>
      <c r="BJ207" s="22">
        <f>IF(ISERROR(SEARCH("nega",Tabella1[[#This Row],[Reflusso gastroesofageo]],1)),1,0)</f>
        <v>0</v>
      </c>
      <c r="BK207" s="11" t="s">
        <v>8</v>
      </c>
      <c r="BL207" s="18">
        <f>IF(ISERROR(SEARCH("NDD",Tabella1[[#This Row],[Patologia respiratoria]],1)),0,1)</f>
        <v>0</v>
      </c>
      <c r="BM207" s="18">
        <f>IF(ISERROR(SEARCH("asma",Tabella1[[#This Row],[Patologia respiratoria]],1)),0,1)</f>
        <v>0</v>
      </c>
      <c r="BN207" s="18">
        <f>IF(ISERROR(SEARCH("BPCO",Tabella1[[#This Row],[Patologia respiratoria]],1)),0,1)</f>
        <v>0</v>
      </c>
      <c r="BO207" s="18">
        <f>IF(ISERROR(SEARCH("BRONCOPOLMONITE",Tabella1[[#This Row],[Patologia respiratoria]],1)),0,1)</f>
        <v>0</v>
      </c>
      <c r="BP207" s="18">
        <f>IF(ISERROR(SEARCH("ASMA, OSAS",Tabella1[[#This Row],[Patologia respiratoria]],1)),0,1)</f>
        <v>0</v>
      </c>
      <c r="BQ207" s="18">
        <f>IF(ISERROR(SEARCH("OSAS e BPCO",Tabella1[[#This Row],[Patologia respiratoria]],1)),0,1)</f>
        <v>0</v>
      </c>
      <c r="BR207" s="18">
        <f>IF(ISERROR(SEARCH("OSAS",Tabella1[[#This Row],[Patologia respiratoria]],1)),0,1)</f>
        <v>0</v>
      </c>
      <c r="BS207" s="11"/>
      <c r="BT207" s="11" t="s">
        <v>2240</v>
      </c>
      <c r="BU207" s="11" t="s">
        <v>8</v>
      </c>
      <c r="BV207" s="18">
        <f>IF(ISERROR(SEARCH("ndd",Tabella1[[#This Row],[O2 terapia]],1)),0,1)</f>
        <v>0</v>
      </c>
      <c r="BW207" s="17">
        <v>0</v>
      </c>
      <c r="BX207" s="11"/>
      <c r="BY207" s="11" t="s">
        <v>8</v>
      </c>
      <c r="BZ207" s="18">
        <v>0</v>
      </c>
      <c r="CA207" s="11" t="s">
        <v>2241</v>
      </c>
      <c r="CB207" s="17">
        <v>1</v>
      </c>
      <c r="CC207" s="11" t="s">
        <v>7</v>
      </c>
      <c r="CD207" s="17">
        <v>1</v>
      </c>
      <c r="CE207" s="11" t="s">
        <v>8</v>
      </c>
      <c r="CF207" s="18">
        <v>0</v>
      </c>
      <c r="CG207" s="11" t="s">
        <v>2242</v>
      </c>
      <c r="CH207" s="17">
        <v>1</v>
      </c>
      <c r="CI207" s="11" t="s">
        <v>8</v>
      </c>
      <c r="CJ207" s="18">
        <v>0</v>
      </c>
      <c r="CK207" s="11" t="s">
        <v>2243</v>
      </c>
      <c r="CL207" s="17">
        <v>1</v>
      </c>
      <c r="CM207" s="11" t="s">
        <v>8</v>
      </c>
      <c r="CN207" s="17">
        <v>0</v>
      </c>
      <c r="CO207" s="11" t="s">
        <v>8</v>
      </c>
      <c r="CP207" s="18">
        <v>0</v>
      </c>
      <c r="CQ207" s="11" t="s">
        <v>69</v>
      </c>
      <c r="CR207" s="11" t="s">
        <v>369</v>
      </c>
      <c r="CS207" s="11" t="s">
        <v>105</v>
      </c>
      <c r="CT207" s="11" t="s">
        <v>248</v>
      </c>
      <c r="CU207" s="11" t="s">
        <v>2244</v>
      </c>
      <c r="CV207" s="12" t="s">
        <v>2245</v>
      </c>
    </row>
    <row r="208" spans="1:100" ht="356.25">
      <c r="A208" s="1">
        <f t="shared" si="3"/>
        <v>207</v>
      </c>
      <c r="B208" s="5">
        <v>1240</v>
      </c>
      <c r="C208" s="6">
        <v>45309</v>
      </c>
      <c r="D208" s="7" t="s">
        <v>2246</v>
      </c>
      <c r="E208" s="6">
        <v>23048</v>
      </c>
      <c r="F208" s="29">
        <f ca="1">_xlfn.DAYS(NOW(),Tabella1[[#This Row],[Data di Nascita]])/365.25</f>
        <v>62.491444216290212</v>
      </c>
      <c r="G208" s="7" t="s">
        <v>2247</v>
      </c>
      <c r="H208" s="7" t="s">
        <v>2248</v>
      </c>
      <c r="I208" s="7" t="s">
        <v>2142</v>
      </c>
      <c r="J208" s="7" t="s">
        <v>1346</v>
      </c>
      <c r="K208" s="7" t="s">
        <v>1804</v>
      </c>
      <c r="L208" s="17">
        <f>IF(ISERROR(SEARCH("EX",Tabella1[[#This Row],[Attività lavorativa]],1)),0,1)</f>
        <v>0</v>
      </c>
      <c r="M208" s="17"/>
      <c r="N208" s="17">
        <v>1</v>
      </c>
      <c r="O208" s="17"/>
      <c r="P208" s="17"/>
      <c r="Q208" s="17"/>
      <c r="R208" s="17"/>
      <c r="S208" s="17"/>
      <c r="T208" s="17">
        <f>IF(ISERROR(SEARCH("NDD",Tabella1[[#This Row],[Attività lavorativa]],1)),0,1)</f>
        <v>0</v>
      </c>
      <c r="U208" s="7" t="s">
        <v>2249</v>
      </c>
      <c r="V208" s="22">
        <v>11</v>
      </c>
      <c r="W208" s="22">
        <f>IF(ISERROR(SEARCH("ex",Tabella1[[#This Row],[Fumo]],1)),0,1)</f>
        <v>1</v>
      </c>
      <c r="X208" s="22">
        <f>IF(ISERROR(SEARCH("no",Tabella1[[#This Row],[Fumo]],1)),0,1)</f>
        <v>0</v>
      </c>
      <c r="Y208" s="7" t="s">
        <v>26</v>
      </c>
      <c r="Z208" s="17">
        <f>IF(ISERROR(SEARCH("NDD",Tabella1[[#This Row],[Bevitore alcolici]],1)),0,1)</f>
        <v>0</v>
      </c>
      <c r="AA208" s="17">
        <f>IF(ISERROR(SEARCH("raro",Tabella1[[#This Row],[Bevitore alcolici]],1)),0,1)</f>
        <v>0</v>
      </c>
      <c r="AB208" s="17">
        <f>IF(ISERROR(SEARCH("saltuariamente",Tabella1[[#This Row],[Bevitore alcolici]],1)),0,1)</f>
        <v>1</v>
      </c>
      <c r="AC208" s="17">
        <f>IF(ISERROR(SEARCH("nega",Tabella1[[#This Row],[Bevitore alcolici]],1)),0,1)</f>
        <v>0</v>
      </c>
      <c r="AD208" s="17">
        <f>IF(ISERROR(SEARCH("potus",Tabella1[[#This Row],[Bevitore alcolici]],1)),0,1)</f>
        <v>0</v>
      </c>
      <c r="AE208" s="7" t="s">
        <v>2250</v>
      </c>
      <c r="AF208" s="17"/>
      <c r="AG208" s="18">
        <v>1</v>
      </c>
      <c r="AH208" s="18"/>
      <c r="AI208" s="18"/>
      <c r="AJ208" s="18"/>
      <c r="AK208" s="7" t="s">
        <v>28</v>
      </c>
      <c r="AL208" s="17">
        <f>IF(ISERROR(SEARCH("si",Tabella1[[#This Row],[Patente di guida]],1)),0,1)</f>
        <v>1</v>
      </c>
      <c r="AM208" s="7" t="s">
        <v>28</v>
      </c>
      <c r="AN208" s="17">
        <f>IF(ISERROR(SEARCH("no",Tabella1[[#This Row],[Ipertensione]],1)),0,1)</f>
        <v>0</v>
      </c>
      <c r="AO208" s="7" t="s">
        <v>382</v>
      </c>
      <c r="AP208" s="18">
        <f>IF(ISERROR(SEARCH("NO",Tabella1[[#This Row],[Cardiopatia ischemica]],1)),1,0)</f>
        <v>0</v>
      </c>
      <c r="AQ208" s="17">
        <f>IF(ISERROR(SEARCH("sconosciuto",Tabella1[[#This Row],[Cardiopatia ischemica]],1)),0,1)</f>
        <v>0</v>
      </c>
      <c r="AR208" s="7" t="s">
        <v>25</v>
      </c>
      <c r="AS208" s="22">
        <f>IF(ISERROR(SEARCH("nega",Tabella1[[#This Row],[Artimie]],1)),0,1)</f>
        <v>1</v>
      </c>
      <c r="AT208" s="7" t="s">
        <v>7</v>
      </c>
      <c r="AU208" s="22">
        <f>IF(ISERROR(SEARCH("nega",Tabella1[[#This Row],[Ipercolesterolemia]],1)),0,1)</f>
        <v>0</v>
      </c>
      <c r="AV208" s="22">
        <f>IF(ISERROR(SEARCH("boh",Tabella1[[#This Row],[Ipercolesterolemia]],1)),0,1)</f>
        <v>0</v>
      </c>
      <c r="AW208" s="7" t="s">
        <v>8</v>
      </c>
      <c r="AX208" s="22">
        <f>IF(ISERROR(SEARCH("Intolleranza",Tabella1[[#This Row],[Diabete]],1)),0,1)</f>
        <v>0</v>
      </c>
      <c r="AY208" s="22">
        <f>IF(ISERROR(SEARCH("si",Tabella1[[#This Row],[Diabete]],1)),0,1)</f>
        <v>0</v>
      </c>
      <c r="AZ208" s="7" t="s">
        <v>8</v>
      </c>
      <c r="BA208" s="17">
        <f>IF(ISERROR(SEARCH("NDD",Tabella1[[#This Row],[Patologia Tiroidea]],1)),0,1)</f>
        <v>0</v>
      </c>
      <c r="BB208" s="22">
        <f>IF(ISERROR(SEARCH("TIROIDITE",Tabella1[[#This Row],[Patologia Tiroidea]],1)),0,1)</f>
        <v>0</v>
      </c>
      <c r="BC208" s="22">
        <f>IF(ISERROR(SEARCH("HASHIMOTO",Tabella1[[#This Row],[Patologia Tiroidea]],1)),0,1)</f>
        <v>0</v>
      </c>
      <c r="BD208" s="22">
        <f>IF(ISERROR(SEARCH("BASEDOW",Tabella1[[#This Row],[Patologia Tiroidea]],1)),0,1)</f>
        <v>0</v>
      </c>
      <c r="BE208" s="22">
        <f>IF(ISERROR(SEARCH("NOD",Tabella1[[#This Row],[Patologia Tiroidea]],1)),0,1)</f>
        <v>0</v>
      </c>
      <c r="BF208" s="22">
        <f>IF(ISERROR(SEARCH("GOZ",Tabella1[[#This Row],[Patologia Tiroidea]],1)),0,1)</f>
        <v>0</v>
      </c>
      <c r="BG208" s="7" t="s">
        <v>7</v>
      </c>
      <c r="BH208" s="17">
        <f>IF(Tabella1[[#This Row],[Obesità]]="no",0,1)</f>
        <v>1</v>
      </c>
      <c r="BI208" s="7" t="s">
        <v>7</v>
      </c>
      <c r="BJ208" s="22">
        <f>IF(ISERROR(SEARCH("nega",Tabella1[[#This Row],[Reflusso gastroesofageo]],1)),1,0)</f>
        <v>1</v>
      </c>
      <c r="BK208" s="7" t="s">
        <v>1959</v>
      </c>
      <c r="BL208" s="17">
        <f>IF(ISERROR(SEARCH("NDD",Tabella1[[#This Row],[Patologia respiratoria]],1)),0,1)</f>
        <v>0</v>
      </c>
      <c r="BM208" s="17">
        <f>IF(ISERROR(SEARCH("asma",Tabella1[[#This Row],[Patologia respiratoria]],1)),0,1)</f>
        <v>0</v>
      </c>
      <c r="BN208" s="17">
        <f>IF(ISERROR(SEARCH("BPCO",Tabella1[[#This Row],[Patologia respiratoria]],1)),0,1)</f>
        <v>0</v>
      </c>
      <c r="BO208" s="17">
        <f>IF(ISERROR(SEARCH("BRONCOPOLMONITE",Tabella1[[#This Row],[Patologia respiratoria]],1)),0,1)</f>
        <v>0</v>
      </c>
      <c r="BP208" s="17">
        <f>IF(ISERROR(SEARCH("ASMA, OSAS",Tabella1[[#This Row],[Patologia respiratoria]],1)),0,1)</f>
        <v>0</v>
      </c>
      <c r="BQ208" s="17">
        <f>IF(ISERROR(SEARCH("OSAS e BPCO",Tabella1[[#This Row],[Patologia respiratoria]],1)),0,1)</f>
        <v>0</v>
      </c>
      <c r="BR208" s="17">
        <f>IF(ISERROR(SEARCH("OSAS",Tabella1[[#This Row],[Patologia respiratoria]],1)),0,1)</f>
        <v>0</v>
      </c>
      <c r="BS208" s="7"/>
      <c r="BT208" s="7" t="s">
        <v>2251</v>
      </c>
      <c r="BU208" s="7" t="s">
        <v>8</v>
      </c>
      <c r="BV208" s="17">
        <f>IF(ISERROR(SEARCH("ndd",Tabella1[[#This Row],[O2 terapia]],1)),0,1)</f>
        <v>0</v>
      </c>
      <c r="BW208" s="17">
        <v>0</v>
      </c>
      <c r="BX208" s="7" t="s">
        <v>2252</v>
      </c>
      <c r="BY208" s="7" t="s">
        <v>8</v>
      </c>
      <c r="BZ208" s="18">
        <v>0</v>
      </c>
      <c r="CA208" s="7" t="s">
        <v>2253</v>
      </c>
      <c r="CB208" s="17">
        <v>1</v>
      </c>
      <c r="CC208" s="7" t="s">
        <v>7</v>
      </c>
      <c r="CD208" s="17">
        <v>1</v>
      </c>
      <c r="CE208" s="7" t="s">
        <v>8</v>
      </c>
      <c r="CF208" s="18">
        <v>0</v>
      </c>
      <c r="CG208" s="7" t="s">
        <v>2254</v>
      </c>
      <c r="CH208" s="17">
        <v>1</v>
      </c>
      <c r="CI208" s="7" t="s">
        <v>5477</v>
      </c>
      <c r="CJ208" s="17"/>
      <c r="CK208" s="7" t="s">
        <v>386</v>
      </c>
      <c r="CL208" s="17">
        <v>1</v>
      </c>
      <c r="CM208" s="7" t="s">
        <v>2255</v>
      </c>
      <c r="CN208" s="17">
        <v>1</v>
      </c>
      <c r="CO208" s="7" t="s">
        <v>2256</v>
      </c>
      <c r="CP208" s="17">
        <v>1</v>
      </c>
      <c r="CQ208" s="7" t="s">
        <v>85</v>
      </c>
      <c r="CR208" s="7" t="s">
        <v>203</v>
      </c>
      <c r="CS208" s="7" t="s">
        <v>219</v>
      </c>
      <c r="CT208" s="7" t="s">
        <v>72</v>
      </c>
      <c r="CU208" s="7" t="s">
        <v>2257</v>
      </c>
      <c r="CV208" s="8" t="s">
        <v>2258</v>
      </c>
    </row>
    <row r="209" spans="1:100" ht="409.5">
      <c r="A209" s="1">
        <f t="shared" si="3"/>
        <v>208</v>
      </c>
      <c r="B209" s="9">
        <v>1243</v>
      </c>
      <c r="C209" s="10">
        <v>45309</v>
      </c>
      <c r="D209" s="11" t="s">
        <v>2259</v>
      </c>
      <c r="E209" s="10">
        <v>22730</v>
      </c>
      <c r="F209" s="29">
        <f ca="1">_xlfn.DAYS(NOW(),Tabella1[[#This Row],[Data di Nascita]])/365.25</f>
        <v>63.362080766598218</v>
      </c>
      <c r="G209" s="11" t="s">
        <v>2260</v>
      </c>
      <c r="H209" s="11" t="s">
        <v>2261</v>
      </c>
      <c r="I209" s="11" t="s">
        <v>2262</v>
      </c>
      <c r="J209" s="11" t="s">
        <v>1346</v>
      </c>
      <c r="K209" s="11" t="s">
        <v>2263</v>
      </c>
      <c r="L209" s="18">
        <f>IF(ISERROR(SEARCH("EX",Tabella1[[#This Row],[Attività lavorativa]],1)),0,1)</f>
        <v>0</v>
      </c>
      <c r="M209" s="18"/>
      <c r="N209" s="18"/>
      <c r="O209" s="18"/>
      <c r="P209" s="18"/>
      <c r="Q209" s="18"/>
      <c r="R209" s="18"/>
      <c r="S209" s="17">
        <v>1</v>
      </c>
      <c r="T209" s="17">
        <f>IF(ISERROR(SEARCH("NDD",Tabella1[[#This Row],[Attività lavorativa]],1)),0,1)</f>
        <v>0</v>
      </c>
      <c r="U209" s="11" t="s">
        <v>8</v>
      </c>
      <c r="V209" s="22"/>
      <c r="W209" s="22">
        <f>IF(ISERROR(SEARCH("ex",Tabella1[[#This Row],[Fumo]],1)),0,1)</f>
        <v>0</v>
      </c>
      <c r="X209" s="22">
        <f>IF(ISERROR(SEARCH("no",Tabella1[[#This Row],[Fumo]],1)),0,1)</f>
        <v>1</v>
      </c>
      <c r="Y209" s="11" t="s">
        <v>25</v>
      </c>
      <c r="Z209" s="18">
        <f>IF(ISERROR(SEARCH("NDD",Tabella1[[#This Row],[Bevitore alcolici]],1)),0,1)</f>
        <v>0</v>
      </c>
      <c r="AA209" s="17">
        <f>IF(ISERROR(SEARCH("raro",Tabella1[[#This Row],[Bevitore alcolici]],1)),0,1)</f>
        <v>0</v>
      </c>
      <c r="AB209" s="17">
        <f>IF(ISERROR(SEARCH("saltuariamente",Tabella1[[#This Row],[Bevitore alcolici]],1)),0,1)</f>
        <v>0</v>
      </c>
      <c r="AC209" s="17">
        <f>IF(ISERROR(SEARCH("nega",Tabella1[[#This Row],[Bevitore alcolici]],1)),0,1)</f>
        <v>1</v>
      </c>
      <c r="AD209" s="17">
        <f>IF(ISERROR(SEARCH("potus",Tabella1[[#This Row],[Bevitore alcolici]],1)),0,1)</f>
        <v>0</v>
      </c>
      <c r="AE209" s="11" t="s">
        <v>657</v>
      </c>
      <c r="AF209" s="18"/>
      <c r="AG209" s="18"/>
      <c r="AH209" s="18"/>
      <c r="AI209" s="18"/>
      <c r="AJ209" s="18"/>
      <c r="AK209" s="11" t="s">
        <v>28</v>
      </c>
      <c r="AL209" s="18">
        <f>IF(ISERROR(SEARCH("si",Tabella1[[#This Row],[Patente di guida]],1)),0,1)</f>
        <v>1</v>
      </c>
      <c r="AM209" s="11" t="s">
        <v>28</v>
      </c>
      <c r="AN209" s="18">
        <f>IF(ISERROR(SEARCH("no",Tabella1[[#This Row],[Ipertensione]],1)),0,1)</f>
        <v>0</v>
      </c>
      <c r="AO209" s="11" t="s">
        <v>2264</v>
      </c>
      <c r="AP209" s="18">
        <f>IF(ISERROR(SEARCH("NO",Tabella1[[#This Row],[Cardiopatia ischemica]],1)),1,0)</f>
        <v>1</v>
      </c>
      <c r="AQ209" s="17">
        <f>IF(ISERROR(SEARCH("sconosciuto",Tabella1[[#This Row],[Cardiopatia ischemica]],1)),0,1)</f>
        <v>0</v>
      </c>
      <c r="AR209" s="11" t="s">
        <v>25</v>
      </c>
      <c r="AS209" s="22">
        <f>IF(ISERROR(SEARCH("nega",Tabella1[[#This Row],[Artimie]],1)),0,1)</f>
        <v>1</v>
      </c>
      <c r="AT209" s="11" t="s">
        <v>7</v>
      </c>
      <c r="AU209" s="22">
        <f>IF(ISERROR(SEARCH("nega",Tabella1[[#This Row],[Ipercolesterolemia]],1)),0,1)</f>
        <v>0</v>
      </c>
      <c r="AV209" s="22">
        <f>IF(ISERROR(SEARCH("boh",Tabella1[[#This Row],[Ipercolesterolemia]],1)),0,1)</f>
        <v>0</v>
      </c>
      <c r="AW209" s="11" t="s">
        <v>8</v>
      </c>
      <c r="AX209" s="22">
        <f>IF(ISERROR(SEARCH("Intolleranza",Tabella1[[#This Row],[Diabete]],1)),0,1)</f>
        <v>0</v>
      </c>
      <c r="AY209" s="22">
        <f>IF(ISERROR(SEARCH("si",Tabella1[[#This Row],[Diabete]],1)),0,1)</f>
        <v>0</v>
      </c>
      <c r="AZ209" s="7" t="s">
        <v>5477</v>
      </c>
      <c r="BA209" s="17">
        <f>IF(ISERROR(SEARCH("NDD",Tabella1[[#This Row],[Patologia Tiroidea]],1)),0,1)</f>
        <v>1</v>
      </c>
      <c r="BB209" s="22">
        <f>IF(ISERROR(SEARCH("TIROIDITE",Tabella1[[#This Row],[Patologia Tiroidea]],1)),0,1)</f>
        <v>0</v>
      </c>
      <c r="BC209" s="22">
        <f>IF(ISERROR(SEARCH("HASHIMOTO",Tabella1[[#This Row],[Patologia Tiroidea]],1)),0,1)</f>
        <v>0</v>
      </c>
      <c r="BD209" s="22">
        <f>IF(ISERROR(SEARCH("BASEDOW",Tabella1[[#This Row],[Patologia Tiroidea]],1)),0,1)</f>
        <v>0</v>
      </c>
      <c r="BE209" s="22">
        <f>IF(ISERROR(SEARCH("NOD",Tabella1[[#This Row],[Patologia Tiroidea]],1)),0,1)</f>
        <v>0</v>
      </c>
      <c r="BF209" s="22">
        <f>IF(ISERROR(SEARCH("GOZ",Tabella1[[#This Row],[Patologia Tiroidea]],1)),0,1)</f>
        <v>0</v>
      </c>
      <c r="BG209" s="11" t="s">
        <v>8</v>
      </c>
      <c r="BH209" s="18">
        <f>IF(Tabella1[[#This Row],[Obesità]]="no",0,1)</f>
        <v>0</v>
      </c>
      <c r="BI209" s="11" t="s">
        <v>5477</v>
      </c>
      <c r="BJ209" s="22">
        <v>0</v>
      </c>
      <c r="BK209" s="11" t="s">
        <v>3831</v>
      </c>
      <c r="BL209" s="18">
        <f>IF(ISERROR(SEARCH("NDD",Tabella1[[#This Row],[Patologia respiratoria]],1)),0,1)</f>
        <v>0</v>
      </c>
      <c r="BM209" s="18">
        <f>IF(ISERROR(SEARCH("asma",Tabella1[[#This Row],[Patologia respiratoria]],1)),0,1)</f>
        <v>0</v>
      </c>
      <c r="BN209" s="18">
        <f>IF(ISERROR(SEARCH("BPCO",Tabella1[[#This Row],[Patologia respiratoria]],1)),0,1)</f>
        <v>0</v>
      </c>
      <c r="BO209" s="18">
        <f>IF(ISERROR(SEARCH("BRONCOPOLMONITE",Tabella1[[#This Row],[Patologia respiratoria]],1)),0,1)</f>
        <v>0</v>
      </c>
      <c r="BP209" s="18">
        <f>IF(ISERROR(SEARCH("ASMA, OSAS",Tabella1[[#This Row],[Patologia respiratoria]],1)),0,1)</f>
        <v>0</v>
      </c>
      <c r="BQ209" s="18">
        <f>IF(ISERROR(SEARCH("OSAS e BPCO",Tabella1[[#This Row],[Patologia respiratoria]],1)),0,1)</f>
        <v>0</v>
      </c>
      <c r="BR209" s="18">
        <f>IF(ISERROR(SEARCH("OSAS",Tabella1[[#This Row],[Patologia respiratoria]],1)),0,1)</f>
        <v>1</v>
      </c>
      <c r="BS209" s="11"/>
      <c r="BT209" s="11" t="s">
        <v>2265</v>
      </c>
      <c r="BU209" s="11" t="s">
        <v>8</v>
      </c>
      <c r="BV209" s="18">
        <f>IF(ISERROR(SEARCH("ndd",Tabella1[[#This Row],[O2 terapia]],1)),0,1)</f>
        <v>0</v>
      </c>
      <c r="BW209" s="17">
        <v>0</v>
      </c>
      <c r="BX209" s="11" t="s">
        <v>2266</v>
      </c>
      <c r="BY209" s="11" t="s">
        <v>2267</v>
      </c>
      <c r="BZ209" s="17">
        <v>1</v>
      </c>
      <c r="CA209" s="11" t="s">
        <v>2080</v>
      </c>
      <c r="CB209" s="17">
        <v>1</v>
      </c>
      <c r="CC209" s="11" t="s">
        <v>7</v>
      </c>
      <c r="CD209" s="17">
        <v>1</v>
      </c>
      <c r="CE209" s="11" t="s">
        <v>8</v>
      </c>
      <c r="CF209" s="18">
        <v>0</v>
      </c>
      <c r="CG209" s="11" t="s">
        <v>8</v>
      </c>
      <c r="CH209" s="17">
        <v>0</v>
      </c>
      <c r="CI209" s="7" t="s">
        <v>5477</v>
      </c>
      <c r="CJ209" s="18"/>
      <c r="CK209" s="11" t="s">
        <v>2268</v>
      </c>
      <c r="CL209" s="17">
        <v>1</v>
      </c>
      <c r="CM209" s="11" t="s">
        <v>2269</v>
      </c>
      <c r="CN209" s="17">
        <v>1</v>
      </c>
      <c r="CO209" s="11" t="s">
        <v>8</v>
      </c>
      <c r="CP209" s="18">
        <v>0</v>
      </c>
      <c r="CQ209" s="11" t="s">
        <v>13</v>
      </c>
      <c r="CR209" s="11" t="s">
        <v>318</v>
      </c>
      <c r="CS209" s="11"/>
      <c r="CT209" s="11"/>
      <c r="CU209" s="11" t="s">
        <v>2270</v>
      </c>
      <c r="CV209" s="12" t="s">
        <v>2271</v>
      </c>
    </row>
    <row r="210" spans="1:100" ht="409.5">
      <c r="A210" s="1">
        <f t="shared" si="3"/>
        <v>209</v>
      </c>
      <c r="B210" s="5">
        <v>1250</v>
      </c>
      <c r="C210" s="6">
        <v>45314</v>
      </c>
      <c r="D210" s="7" t="s">
        <v>2272</v>
      </c>
      <c r="E210" s="6">
        <v>17598</v>
      </c>
      <c r="F210" s="29">
        <f ca="1">_xlfn.DAYS(NOW(),Tabella1[[#This Row],[Data di Nascita]])/365.25</f>
        <v>77.412731006160158</v>
      </c>
      <c r="G210" s="7" t="s">
        <v>2273</v>
      </c>
      <c r="H210" s="7" t="s">
        <v>2274</v>
      </c>
      <c r="I210" s="7" t="s">
        <v>2142</v>
      </c>
      <c r="J210" s="7" t="s">
        <v>1346</v>
      </c>
      <c r="K210" s="7" t="s">
        <v>5616</v>
      </c>
      <c r="L210" s="17">
        <f>IF(ISERROR(SEARCH("EX",Tabella1[[#This Row],[Attività lavorativa]],1)),0,1)</f>
        <v>1</v>
      </c>
      <c r="M210" s="17"/>
      <c r="N210" s="17"/>
      <c r="O210" s="18">
        <v>1</v>
      </c>
      <c r="P210" s="18"/>
      <c r="Q210" s="18"/>
      <c r="R210" s="18"/>
      <c r="S210" s="18"/>
      <c r="T210" s="17">
        <f>IF(ISERROR(SEARCH("NDD",Tabella1[[#This Row],[Attività lavorativa]],1)),0,1)</f>
        <v>0</v>
      </c>
      <c r="U210" s="7" t="s">
        <v>2275</v>
      </c>
      <c r="V210" s="22">
        <v>60</v>
      </c>
      <c r="W210" s="22">
        <f>IF(ISERROR(SEARCH("ex",Tabella1[[#This Row],[Fumo]],1)),0,1)</f>
        <v>1</v>
      </c>
      <c r="X210" s="22">
        <f>IF(ISERROR(SEARCH("no",Tabella1[[#This Row],[Fumo]],1)),0,1)</f>
        <v>1</v>
      </c>
      <c r="Y210" s="11" t="s">
        <v>5477</v>
      </c>
      <c r="Z210" s="18">
        <f>IF(ISERROR(SEARCH("NDD",Tabella1[[#This Row],[Bevitore alcolici]],1)),0,1)</f>
        <v>1</v>
      </c>
      <c r="AA210" s="17">
        <f>IF(ISERROR(SEARCH("raro",Tabella1[[#This Row],[Bevitore alcolici]],1)),0,1)</f>
        <v>0</v>
      </c>
      <c r="AB210" s="17">
        <f>IF(ISERROR(SEARCH("saltuariamente",Tabella1[[#This Row],[Bevitore alcolici]],1)),0,1)</f>
        <v>0</v>
      </c>
      <c r="AC210" s="17">
        <f>IF(ISERROR(SEARCH("nega",Tabella1[[#This Row],[Bevitore alcolici]],1)),0,1)</f>
        <v>0</v>
      </c>
      <c r="AD210" s="17">
        <f>IF(ISERROR(SEARCH("potus",Tabella1[[#This Row],[Bevitore alcolici]],1)),0,1)</f>
        <v>0</v>
      </c>
      <c r="AE210" s="7" t="s">
        <v>2276</v>
      </c>
      <c r="AF210" s="17"/>
      <c r="AG210" s="17"/>
      <c r="AH210" s="18">
        <v>1</v>
      </c>
      <c r="AI210" s="18"/>
      <c r="AJ210" s="18"/>
      <c r="AK210" s="7" t="s">
        <v>28</v>
      </c>
      <c r="AL210" s="17">
        <f>IF(ISERROR(SEARCH("si",Tabella1[[#This Row],[Patente di guida]],1)),0,1)</f>
        <v>1</v>
      </c>
      <c r="AM210" s="7" t="s">
        <v>5477</v>
      </c>
      <c r="AN210" s="17">
        <f>IF(ISERROR(SEARCH("no",Tabella1[[#This Row],[Ipertensione]],1)),0,1)</f>
        <v>0</v>
      </c>
      <c r="AO210" s="7" t="s">
        <v>2277</v>
      </c>
      <c r="AP210" s="18">
        <f>IF(ISERROR(SEARCH("NO",Tabella1[[#This Row],[Cardiopatia ischemica]],1)),1,0)</f>
        <v>1</v>
      </c>
      <c r="AQ210" s="17">
        <f>IF(ISERROR(SEARCH("sconosciuto",Tabella1[[#This Row],[Cardiopatia ischemica]],1)),0,1)</f>
        <v>0</v>
      </c>
      <c r="AR210" s="7" t="s">
        <v>25</v>
      </c>
      <c r="AS210" s="17">
        <f>IF(ISERROR(SEARCH("nega",Tabella1[[#This Row],[Artimie]],1)),0,1)</f>
        <v>1</v>
      </c>
      <c r="AT210" s="7" t="s">
        <v>7</v>
      </c>
      <c r="AU210" s="17">
        <f>IF(ISERROR(SEARCH("nega",Tabella1[[#This Row],[Ipercolesterolemia]],1)),0,1)</f>
        <v>0</v>
      </c>
      <c r="AV210" s="17">
        <f>IF(ISERROR(SEARCH("boh",Tabella1[[#This Row],[Ipercolesterolemia]],1)),0,1)</f>
        <v>0</v>
      </c>
      <c r="AW210" s="7" t="s">
        <v>28</v>
      </c>
      <c r="AX210" s="17">
        <f>IF(ISERROR(SEARCH("Intolleranza",Tabella1[[#This Row],[Diabete]],1)),0,1)</f>
        <v>0</v>
      </c>
      <c r="AY210" s="17">
        <f>IF(ISERROR(SEARCH("si",Tabella1[[#This Row],[Diabete]],1)),0,1)</f>
        <v>1</v>
      </c>
      <c r="AZ210" s="7" t="s">
        <v>8</v>
      </c>
      <c r="BA210" s="17">
        <f>IF(ISERROR(SEARCH("NDD",Tabella1[[#This Row],[Patologia Tiroidea]],1)),0,1)</f>
        <v>0</v>
      </c>
      <c r="BB210" s="17">
        <f>IF(ISERROR(SEARCH("TIROIDITE",Tabella1[[#This Row],[Patologia Tiroidea]],1)),0,1)</f>
        <v>0</v>
      </c>
      <c r="BC210" s="17">
        <f>IF(ISERROR(SEARCH("HASHIMOTO",Tabella1[[#This Row],[Patologia Tiroidea]],1)),0,1)</f>
        <v>0</v>
      </c>
      <c r="BD210" s="17">
        <f>IF(ISERROR(SEARCH("BASEDOW",Tabella1[[#This Row],[Patologia Tiroidea]],1)),0,1)</f>
        <v>0</v>
      </c>
      <c r="BE210" s="17">
        <f>IF(ISERROR(SEARCH("NOD",Tabella1[[#This Row],[Patologia Tiroidea]],1)),0,1)</f>
        <v>0</v>
      </c>
      <c r="BF210" s="17">
        <f>IF(ISERROR(SEARCH("GOZ",Tabella1[[#This Row],[Patologia Tiroidea]],1)),0,1)</f>
        <v>0</v>
      </c>
      <c r="BG210" s="7" t="s">
        <v>8</v>
      </c>
      <c r="BH210" s="17">
        <f>IF(Tabella1[[#This Row],[Obesità]]="no",0,1)</f>
        <v>0</v>
      </c>
      <c r="BI210" s="7" t="s">
        <v>25</v>
      </c>
      <c r="BJ210" s="22">
        <f>IF(ISERROR(SEARCH("nega",Tabella1[[#This Row],[Reflusso gastroesofageo]],1)),1,0)</f>
        <v>0</v>
      </c>
      <c r="BK210" s="7" t="s">
        <v>8</v>
      </c>
      <c r="BL210" s="17">
        <f>IF(ISERROR(SEARCH("NDD",Tabella1[[#This Row],[Patologia respiratoria]],1)),0,1)</f>
        <v>0</v>
      </c>
      <c r="BM210" s="17">
        <f>IF(ISERROR(SEARCH("asma",Tabella1[[#This Row],[Patologia respiratoria]],1)),0,1)</f>
        <v>0</v>
      </c>
      <c r="BN210" s="17">
        <f>IF(ISERROR(SEARCH("BPCO",Tabella1[[#This Row],[Patologia respiratoria]],1)),0,1)</f>
        <v>0</v>
      </c>
      <c r="BO210" s="17">
        <f>IF(ISERROR(SEARCH("BRONCOPOLMONITE",Tabella1[[#This Row],[Patologia respiratoria]],1)),0,1)</f>
        <v>0</v>
      </c>
      <c r="BP210" s="17">
        <f>IF(ISERROR(SEARCH("ASMA, OSAS",Tabella1[[#This Row],[Patologia respiratoria]],1)),0,1)</f>
        <v>0</v>
      </c>
      <c r="BQ210" s="17">
        <f>IF(ISERROR(SEARCH("OSAS e BPCO",Tabella1[[#This Row],[Patologia respiratoria]],1)),0,1)</f>
        <v>0</v>
      </c>
      <c r="BR210" s="17">
        <f>IF(ISERROR(SEARCH("OSAS",Tabella1[[#This Row],[Patologia respiratoria]],1)),0,1)</f>
        <v>0</v>
      </c>
      <c r="BS210" s="7" t="s">
        <v>2278</v>
      </c>
      <c r="BT210" s="7" t="s">
        <v>2279</v>
      </c>
      <c r="BU210" s="7" t="s">
        <v>2280</v>
      </c>
      <c r="BV210" s="17">
        <f>IF(ISERROR(SEARCH("ndd",Tabella1[[#This Row],[O2 terapia]],1)),0,1)</f>
        <v>0</v>
      </c>
      <c r="BW210" s="22">
        <v>1</v>
      </c>
      <c r="BX210" s="7" t="s">
        <v>2281</v>
      </c>
      <c r="BY210" s="7" t="s">
        <v>2282</v>
      </c>
      <c r="BZ210" s="17">
        <v>1</v>
      </c>
      <c r="CA210" s="7" t="s">
        <v>2283</v>
      </c>
      <c r="CB210" s="17">
        <v>0</v>
      </c>
      <c r="CC210" s="7" t="s">
        <v>7</v>
      </c>
      <c r="CD210" s="17">
        <v>1</v>
      </c>
      <c r="CE210" s="7" t="s">
        <v>2284</v>
      </c>
      <c r="CF210" s="17">
        <v>1</v>
      </c>
      <c r="CG210" s="7" t="s">
        <v>8</v>
      </c>
      <c r="CH210" s="17">
        <v>0</v>
      </c>
      <c r="CI210" s="7" t="s">
        <v>2285</v>
      </c>
      <c r="CJ210" s="17">
        <v>1</v>
      </c>
      <c r="CK210" s="7" t="s">
        <v>2286</v>
      </c>
      <c r="CL210" s="17">
        <v>1</v>
      </c>
      <c r="CM210" s="7" t="s">
        <v>8</v>
      </c>
      <c r="CN210" s="17">
        <v>0</v>
      </c>
      <c r="CO210" s="7" t="s">
        <v>8</v>
      </c>
      <c r="CP210" s="18">
        <v>0</v>
      </c>
      <c r="CQ210" s="7" t="s">
        <v>69</v>
      </c>
      <c r="CR210" s="7" t="s">
        <v>663</v>
      </c>
      <c r="CS210" s="7" t="s">
        <v>16</v>
      </c>
      <c r="CT210" s="7" t="s">
        <v>2287</v>
      </c>
      <c r="CU210" s="7" t="s">
        <v>2288</v>
      </c>
      <c r="CV210" s="8" t="s">
        <v>2289</v>
      </c>
    </row>
    <row r="211" spans="1:100" ht="370.5">
      <c r="A211" s="1">
        <f t="shared" si="3"/>
        <v>210</v>
      </c>
      <c r="B211" s="9">
        <v>1266</v>
      </c>
      <c r="C211" s="10">
        <v>45321</v>
      </c>
      <c r="D211" s="11" t="s">
        <v>2290</v>
      </c>
      <c r="E211" s="10">
        <v>24122</v>
      </c>
      <c r="F211" s="29">
        <f ca="1">_xlfn.DAYS(NOW(),Tabella1[[#This Row],[Data di Nascita]])/365.25</f>
        <v>59.550992470910337</v>
      </c>
      <c r="G211" s="11" t="s">
        <v>2291</v>
      </c>
      <c r="H211" s="11" t="s">
        <v>2292</v>
      </c>
      <c r="I211" s="11" t="s">
        <v>2293</v>
      </c>
      <c r="J211" s="11" t="s">
        <v>473</v>
      </c>
      <c r="K211" s="11" t="s">
        <v>2294</v>
      </c>
      <c r="L211" s="18">
        <f>IF(ISERROR(SEARCH("EX",Tabella1[[#This Row],[Attività lavorativa]],1)),0,1)</f>
        <v>0</v>
      </c>
      <c r="M211" s="18"/>
      <c r="N211" s="18"/>
      <c r="O211" s="18"/>
      <c r="P211" s="18">
        <v>1</v>
      </c>
      <c r="Q211" s="17"/>
      <c r="R211" s="17"/>
      <c r="S211" s="17"/>
      <c r="T211" s="17">
        <f>IF(ISERROR(SEARCH("NDD",Tabella1[[#This Row],[Attività lavorativa]],1)),0,1)</f>
        <v>0</v>
      </c>
      <c r="U211" s="11" t="s">
        <v>2295</v>
      </c>
      <c r="V211" s="22">
        <v>50</v>
      </c>
      <c r="W211" s="22">
        <f>IF(ISERROR(SEARCH("ex",Tabella1[[#This Row],[Fumo]],1)),0,1)</f>
        <v>0</v>
      </c>
      <c r="X211" s="22">
        <f>IF(ISERROR(SEARCH("no",Tabella1[[#This Row],[Fumo]],1)),0,1)</f>
        <v>0</v>
      </c>
      <c r="Y211" s="11" t="s">
        <v>309</v>
      </c>
      <c r="Z211" s="18">
        <f>IF(ISERROR(SEARCH("NDD",Tabella1[[#This Row],[Bevitore alcolici]],1)),0,1)</f>
        <v>0</v>
      </c>
      <c r="AA211" s="17">
        <f>IF(ISERROR(SEARCH("raro",Tabella1[[#This Row],[Bevitore alcolici]],1)),0,1)</f>
        <v>0</v>
      </c>
      <c r="AB211" s="17">
        <f>IF(ISERROR(SEARCH("saltuariamente",Tabella1[[#This Row],[Bevitore alcolici]],1)),0,1)</f>
        <v>0</v>
      </c>
      <c r="AC211" s="17">
        <f>IF(ISERROR(SEARCH("nega",Tabella1[[#This Row],[Bevitore alcolici]],1)),0,1)</f>
        <v>1</v>
      </c>
      <c r="AD211" s="17">
        <f>IF(ISERROR(SEARCH("potus",Tabella1[[#This Row],[Bevitore alcolici]],1)),0,1)</f>
        <v>0</v>
      </c>
      <c r="AE211" s="11" t="s">
        <v>2296</v>
      </c>
      <c r="AF211" s="18"/>
      <c r="AG211" s="18">
        <v>1</v>
      </c>
      <c r="AH211" s="18"/>
      <c r="AI211" s="18"/>
      <c r="AJ211" s="18"/>
      <c r="AK211" s="11" t="s">
        <v>28</v>
      </c>
      <c r="AL211" s="18">
        <f>IF(ISERROR(SEARCH("si",Tabella1[[#This Row],[Patente di guida]],1)),0,1)</f>
        <v>1</v>
      </c>
      <c r="AM211" s="11" t="s">
        <v>2297</v>
      </c>
      <c r="AN211" s="18">
        <f>IF(ISERROR(SEARCH("no",Tabella1[[#This Row],[Ipertensione]],1)),0,1)</f>
        <v>0</v>
      </c>
      <c r="AO211" s="11" t="s">
        <v>382</v>
      </c>
      <c r="AP211" s="18">
        <f>IF(ISERROR(SEARCH("NO",Tabella1[[#This Row],[Cardiopatia ischemica]],1)),1,0)</f>
        <v>0</v>
      </c>
      <c r="AQ211" s="17">
        <f>IF(ISERROR(SEARCH("sconosciuto",Tabella1[[#This Row],[Cardiopatia ischemica]],1)),0,1)</f>
        <v>0</v>
      </c>
      <c r="AR211" s="11" t="s">
        <v>309</v>
      </c>
      <c r="AS211" s="22">
        <f>IF(ISERROR(SEARCH("nega",Tabella1[[#This Row],[Artimie]],1)),0,1)</f>
        <v>1</v>
      </c>
      <c r="AT211" s="11" t="s">
        <v>309</v>
      </c>
      <c r="AU211" s="22">
        <f>IF(ISERROR(SEARCH("nega",Tabella1[[#This Row],[Ipercolesterolemia]],1)),0,1)</f>
        <v>1</v>
      </c>
      <c r="AV211" s="22">
        <f>IF(ISERROR(SEARCH("boh",Tabella1[[#This Row],[Ipercolesterolemia]],1)),0,1)</f>
        <v>0</v>
      </c>
      <c r="AW211" s="11" t="s">
        <v>309</v>
      </c>
      <c r="AX211" s="22">
        <f>IF(ISERROR(SEARCH("Intolleranza",Tabella1[[#This Row],[Diabete]],1)),0,1)</f>
        <v>0</v>
      </c>
      <c r="AY211" s="22">
        <f>IF(ISERROR(SEARCH("si",Tabella1[[#This Row],[Diabete]],1)),0,1)</f>
        <v>0</v>
      </c>
      <c r="AZ211" s="11" t="s">
        <v>3781</v>
      </c>
      <c r="BA211" s="18">
        <f>IF(ISERROR(SEARCH("NDD",Tabella1[[#This Row],[Patologia Tiroidea]],1)),0,1)</f>
        <v>0</v>
      </c>
      <c r="BB211" s="22">
        <f>IF(ISERROR(SEARCH("TIROIDITE",Tabella1[[#This Row],[Patologia Tiroidea]],1)),0,1)</f>
        <v>1</v>
      </c>
      <c r="BC211" s="22">
        <f>IF(ISERROR(SEARCH("HASHIMOTO",Tabella1[[#This Row],[Patologia Tiroidea]],1)),0,1)</f>
        <v>1</v>
      </c>
      <c r="BD211" s="22">
        <f>IF(ISERROR(SEARCH("BASEDOW",Tabella1[[#This Row],[Patologia Tiroidea]],1)),0,1)</f>
        <v>0</v>
      </c>
      <c r="BE211" s="22">
        <f>IF(ISERROR(SEARCH("NOD",Tabella1[[#This Row],[Patologia Tiroidea]],1)),0,1)</f>
        <v>0</v>
      </c>
      <c r="BF211" s="22">
        <f>IF(ISERROR(SEARCH("GOZ",Tabella1[[#This Row],[Patologia Tiroidea]],1)),0,1)</f>
        <v>0</v>
      </c>
      <c r="BG211" s="11" t="s">
        <v>194</v>
      </c>
      <c r="BH211" s="18">
        <f>IF(Tabella1[[#This Row],[Obesità]]="no",0,1)</f>
        <v>1</v>
      </c>
      <c r="BI211" s="11" t="s">
        <v>194</v>
      </c>
      <c r="BJ211" s="22">
        <f>IF(ISERROR(SEARCH("nega",Tabella1[[#This Row],[Reflusso gastroesofageo]],1)),1,0)</f>
        <v>1</v>
      </c>
      <c r="BK211" s="11" t="s">
        <v>3810</v>
      </c>
      <c r="BL211" s="18">
        <f>IF(ISERROR(SEARCH("NDD",Tabella1[[#This Row],[Patologia respiratoria]],1)),0,1)</f>
        <v>0</v>
      </c>
      <c r="BM211" s="18">
        <f>IF(ISERROR(SEARCH("asma",Tabella1[[#This Row],[Patologia respiratoria]],1)),0,1)</f>
        <v>1</v>
      </c>
      <c r="BN211" s="18">
        <f>IF(ISERROR(SEARCH("BPCO",Tabella1[[#This Row],[Patologia respiratoria]],1)),0,1)</f>
        <v>0</v>
      </c>
      <c r="BO211" s="18">
        <f>IF(ISERROR(SEARCH("BRONCOPOLMONITE",Tabella1[[#This Row],[Patologia respiratoria]],1)),0,1)</f>
        <v>0</v>
      </c>
      <c r="BP211" s="18">
        <f>IF(ISERROR(SEARCH("ASMA, OSAS",Tabella1[[#This Row],[Patologia respiratoria]],1)),0,1)</f>
        <v>0</v>
      </c>
      <c r="BQ211" s="18">
        <f>IF(ISERROR(SEARCH("OSAS e BPCO",Tabella1[[#This Row],[Patologia respiratoria]],1)),0,1)</f>
        <v>0</v>
      </c>
      <c r="BR211" s="18">
        <f>IF(ISERROR(SEARCH("OSAS",Tabella1[[#This Row],[Patologia respiratoria]],1)),0,1)</f>
        <v>0</v>
      </c>
      <c r="BS211" s="11" t="s">
        <v>2298</v>
      </c>
      <c r="BT211" s="11" t="s">
        <v>2299</v>
      </c>
      <c r="BU211" s="11" t="s">
        <v>309</v>
      </c>
      <c r="BV211" s="18">
        <f>IF(ISERROR(SEARCH("ndd",Tabella1[[#This Row],[O2 terapia]],1)),0,1)</f>
        <v>0</v>
      </c>
      <c r="BW211" s="17">
        <v>0</v>
      </c>
      <c r="BX211" s="11" t="s">
        <v>2300</v>
      </c>
      <c r="BY211" s="11" t="s">
        <v>2301</v>
      </c>
      <c r="BZ211" s="17">
        <v>1</v>
      </c>
      <c r="CA211" s="11" t="s">
        <v>698</v>
      </c>
      <c r="CB211" s="17">
        <v>1</v>
      </c>
      <c r="CC211" s="11" t="s">
        <v>2302</v>
      </c>
      <c r="CD211" s="17">
        <v>1</v>
      </c>
      <c r="CE211" s="11" t="s">
        <v>309</v>
      </c>
      <c r="CF211" s="18">
        <v>0</v>
      </c>
      <c r="CG211" s="11" t="s">
        <v>2303</v>
      </c>
      <c r="CH211" s="17">
        <v>1</v>
      </c>
      <c r="CI211" s="11" t="s">
        <v>2304</v>
      </c>
      <c r="CJ211" s="17">
        <v>1</v>
      </c>
      <c r="CK211" s="11" t="s">
        <v>2305</v>
      </c>
      <c r="CL211" s="17">
        <v>1</v>
      </c>
      <c r="CM211" s="11" t="s">
        <v>2306</v>
      </c>
      <c r="CN211" s="17">
        <v>1</v>
      </c>
      <c r="CO211" s="11" t="s">
        <v>28</v>
      </c>
      <c r="CP211" s="17">
        <v>1</v>
      </c>
      <c r="CQ211" s="11" t="s">
        <v>368</v>
      </c>
      <c r="CR211" s="11" t="s">
        <v>911</v>
      </c>
      <c r="CS211" s="11" t="s">
        <v>2307</v>
      </c>
      <c r="CT211" s="11" t="s">
        <v>2308</v>
      </c>
      <c r="CU211" s="11" t="s">
        <v>2309</v>
      </c>
      <c r="CV211" s="12" t="s">
        <v>2310</v>
      </c>
    </row>
    <row r="212" spans="1:100">
      <c r="A212" s="1">
        <f t="shared" si="3"/>
        <v>211</v>
      </c>
      <c r="B212" s="5">
        <v>1268</v>
      </c>
      <c r="C212" s="6">
        <v>45322</v>
      </c>
      <c r="D212" s="7" t="s">
        <v>2311</v>
      </c>
      <c r="E212" s="6">
        <v>30226</v>
      </c>
      <c r="F212" s="29">
        <f ca="1">_xlfn.DAYS(NOW(),Tabella1[[#This Row],[Data di Nascita]])/365.25</f>
        <v>42.839151266255989</v>
      </c>
      <c r="G212" s="7" t="s">
        <v>2312</v>
      </c>
      <c r="H212" s="7" t="s">
        <v>2313</v>
      </c>
      <c r="I212" s="7" t="s">
        <v>2314</v>
      </c>
      <c r="J212" s="7" t="s">
        <v>2315</v>
      </c>
      <c r="K212" s="11" t="s">
        <v>5477</v>
      </c>
      <c r="L212" s="17">
        <f>IF(ISERROR(SEARCH("EX",Tabella1[[#This Row],[Attività lavorativa]],1)),0,1)</f>
        <v>0</v>
      </c>
      <c r="M212" s="17"/>
      <c r="N212" s="17"/>
      <c r="O212" s="17"/>
      <c r="P212" s="17"/>
      <c r="Q212" s="17"/>
      <c r="R212" s="17"/>
      <c r="S212" s="17"/>
      <c r="T212" s="17">
        <f>IF(ISERROR(SEARCH("NDD",Tabella1[[#This Row],[Attività lavorativa]],1)),0,1)</f>
        <v>1</v>
      </c>
      <c r="U212" s="7" t="s">
        <v>8</v>
      </c>
      <c r="V212" s="22"/>
      <c r="W212" s="22">
        <f>IF(ISERROR(SEARCH("ex",Tabella1[[#This Row],[Fumo]],1)),0,1)</f>
        <v>0</v>
      </c>
      <c r="X212" s="22">
        <f>IF(ISERROR(SEARCH("no",Tabella1[[#This Row],[Fumo]],1)),0,1)</f>
        <v>1</v>
      </c>
      <c r="Y212" s="7" t="s">
        <v>25</v>
      </c>
      <c r="Z212" s="17">
        <f>IF(ISERROR(SEARCH("NDD",Tabella1[[#This Row],[Bevitore alcolici]],1)),0,1)</f>
        <v>0</v>
      </c>
      <c r="AA212" s="17">
        <f>IF(ISERROR(SEARCH("raro",Tabella1[[#This Row],[Bevitore alcolici]],1)),0,1)</f>
        <v>0</v>
      </c>
      <c r="AB212" s="17">
        <f>IF(ISERROR(SEARCH("saltuariamente",Tabella1[[#This Row],[Bevitore alcolici]],1)),0,1)</f>
        <v>0</v>
      </c>
      <c r="AC212" s="17">
        <f>IF(ISERROR(SEARCH("nega",Tabella1[[#This Row],[Bevitore alcolici]],1)),0,1)</f>
        <v>1</v>
      </c>
      <c r="AD212" s="17">
        <f>IF(ISERROR(SEARCH("potus",Tabella1[[#This Row],[Bevitore alcolici]],1)),0,1)</f>
        <v>0</v>
      </c>
      <c r="AE212" s="11" t="s">
        <v>5477</v>
      </c>
      <c r="AF212" s="17">
        <v>1</v>
      </c>
      <c r="AG212" s="17"/>
      <c r="AH212" s="17"/>
      <c r="AI212" s="17"/>
      <c r="AJ212" s="17"/>
      <c r="AK212" s="7" t="s">
        <v>5477</v>
      </c>
      <c r="AL212" s="17">
        <f>IF(ISERROR(SEARCH("si",Tabella1[[#This Row],[Patente di guida]],1)),0,1)</f>
        <v>0</v>
      </c>
      <c r="AM212" s="7" t="s">
        <v>28</v>
      </c>
      <c r="AN212" s="17">
        <f>IF(ISERROR(SEARCH("no",Tabella1[[#This Row],[Ipertensione]],1)),0,1)</f>
        <v>0</v>
      </c>
      <c r="AO212" s="7" t="s">
        <v>382</v>
      </c>
      <c r="AP212" s="18">
        <f>IF(ISERROR(SEARCH("NO",Tabella1[[#This Row],[Cardiopatia ischemica]],1)),1,0)</f>
        <v>0</v>
      </c>
      <c r="AQ212" s="17">
        <f>IF(ISERROR(SEARCH("sconosciuto",Tabella1[[#This Row],[Cardiopatia ischemica]],1)),0,1)</f>
        <v>0</v>
      </c>
      <c r="AR212" s="7" t="s">
        <v>25</v>
      </c>
      <c r="AS212" s="22">
        <f>IF(ISERROR(SEARCH("nega",Tabella1[[#This Row],[Artimie]],1)),0,1)</f>
        <v>1</v>
      </c>
      <c r="AT212" s="7" t="s">
        <v>28</v>
      </c>
      <c r="AU212" s="22">
        <f>IF(ISERROR(SEARCH("nega",Tabella1[[#This Row],[Ipercolesterolemia]],1)),0,1)</f>
        <v>0</v>
      </c>
      <c r="AV212" s="22">
        <f>IF(ISERROR(SEARCH("boh",Tabella1[[#This Row],[Ipercolesterolemia]],1)),0,1)</f>
        <v>0</v>
      </c>
      <c r="AW212" s="7" t="s">
        <v>28</v>
      </c>
      <c r="AX212" s="22">
        <f>IF(ISERROR(SEARCH("Intolleranza",Tabella1[[#This Row],[Diabete]],1)),0,1)</f>
        <v>0</v>
      </c>
      <c r="AY212" s="22">
        <f>IF(ISERROR(SEARCH("si",Tabella1[[#This Row],[Diabete]],1)),0,1)</f>
        <v>1</v>
      </c>
      <c r="AZ212" s="7" t="s">
        <v>2316</v>
      </c>
      <c r="BA212" s="17">
        <f>IF(ISERROR(SEARCH("NDD",Tabella1[[#This Row],[Patologia Tiroidea]],1)),0,1)</f>
        <v>0</v>
      </c>
      <c r="BB212" s="22">
        <f>IF(ISERROR(SEARCH("TIROIDITE",Tabella1[[#This Row],[Patologia Tiroidea]],1)),0,1)</f>
        <v>0</v>
      </c>
      <c r="BC212" s="22">
        <f>IF(ISERROR(SEARCH("HASHIMOTO",Tabella1[[#This Row],[Patologia Tiroidea]],1)),0,1)</f>
        <v>0</v>
      </c>
      <c r="BD212" s="22">
        <f>IF(ISERROR(SEARCH("BASEDOW",Tabella1[[#This Row],[Patologia Tiroidea]],1)),0,1)</f>
        <v>0</v>
      </c>
      <c r="BE212" s="22">
        <f>IF(ISERROR(SEARCH("NOD",Tabella1[[#This Row],[Patologia Tiroidea]],1)),0,1)</f>
        <v>0</v>
      </c>
      <c r="BF212" s="22">
        <f>IF(ISERROR(SEARCH("GOZ",Tabella1[[#This Row],[Patologia Tiroidea]],1)),0,1)</f>
        <v>0</v>
      </c>
      <c r="BG212" s="7" t="s">
        <v>28</v>
      </c>
      <c r="BH212" s="17">
        <f>IF(Tabella1[[#This Row],[Obesità]]="no",0,1)</f>
        <v>1</v>
      </c>
      <c r="BI212" s="7" t="s">
        <v>28</v>
      </c>
      <c r="BJ212" s="22">
        <f>IF(ISERROR(SEARCH("nega",Tabella1[[#This Row],[Reflusso gastroesofageo]],1)),1,0)</f>
        <v>1</v>
      </c>
      <c r="BK212" s="7" t="s">
        <v>8</v>
      </c>
      <c r="BL212" s="17">
        <f>IF(ISERROR(SEARCH("NDD",Tabella1[[#This Row],[Patologia respiratoria]],1)),0,1)</f>
        <v>0</v>
      </c>
      <c r="BM212" s="17">
        <f>IF(ISERROR(SEARCH("asma",Tabella1[[#This Row],[Patologia respiratoria]],1)),0,1)</f>
        <v>0</v>
      </c>
      <c r="BN212" s="17">
        <f>IF(ISERROR(SEARCH("BPCO",Tabella1[[#This Row],[Patologia respiratoria]],1)),0,1)</f>
        <v>0</v>
      </c>
      <c r="BO212" s="17">
        <f>IF(ISERROR(SEARCH("BRONCOPOLMONITE",Tabella1[[#This Row],[Patologia respiratoria]],1)),0,1)</f>
        <v>0</v>
      </c>
      <c r="BP212" s="17">
        <f>IF(ISERROR(SEARCH("ASMA, OSAS",Tabella1[[#This Row],[Patologia respiratoria]],1)),0,1)</f>
        <v>0</v>
      </c>
      <c r="BQ212" s="17">
        <f>IF(ISERROR(SEARCH("OSAS e BPCO",Tabella1[[#This Row],[Patologia respiratoria]],1)),0,1)</f>
        <v>0</v>
      </c>
      <c r="BR212" s="17">
        <f>IF(ISERROR(SEARCH("OSAS",Tabella1[[#This Row],[Patologia respiratoria]],1)),0,1)</f>
        <v>0</v>
      </c>
      <c r="BS212" s="7" t="s">
        <v>2317</v>
      </c>
      <c r="BT212" s="7" t="s">
        <v>2318</v>
      </c>
      <c r="BU212" s="7" t="s">
        <v>8</v>
      </c>
      <c r="BV212" s="17">
        <f>IF(ISERROR(SEARCH("ndd",Tabella1[[#This Row],[O2 terapia]],1)),0,1)</f>
        <v>0</v>
      </c>
      <c r="BW212" s="17">
        <v>0</v>
      </c>
      <c r="BX212" s="7"/>
      <c r="BY212" s="7" t="s">
        <v>8</v>
      </c>
      <c r="BZ212" s="18">
        <v>0</v>
      </c>
      <c r="CA212" s="7" t="s">
        <v>2319</v>
      </c>
      <c r="CB212" s="17">
        <v>1</v>
      </c>
      <c r="CC212" s="7" t="s">
        <v>2320</v>
      </c>
      <c r="CD212" s="17">
        <v>1</v>
      </c>
      <c r="CE212" s="11" t="s">
        <v>5705</v>
      </c>
      <c r="CF212" s="17">
        <v>1</v>
      </c>
      <c r="CG212" s="7" t="s">
        <v>5477</v>
      </c>
      <c r="CH212" s="17"/>
      <c r="CI212" s="7" t="s">
        <v>5477</v>
      </c>
      <c r="CJ212" s="17"/>
      <c r="CK212" s="7" t="s">
        <v>2321</v>
      </c>
      <c r="CL212" s="17">
        <v>1</v>
      </c>
      <c r="CM212" s="7" t="s">
        <v>1901</v>
      </c>
      <c r="CN212" s="17">
        <v>1</v>
      </c>
      <c r="CO212" s="7" t="s">
        <v>8</v>
      </c>
      <c r="CP212" s="18">
        <v>0</v>
      </c>
      <c r="CQ212" s="7" t="s">
        <v>85</v>
      </c>
      <c r="CR212" s="7"/>
      <c r="CS212" s="7"/>
      <c r="CT212" s="7"/>
      <c r="CU212" s="7"/>
      <c r="CV212" s="8"/>
    </row>
    <row r="213" spans="1:100" ht="114">
      <c r="A213" s="1">
        <f t="shared" si="3"/>
        <v>212</v>
      </c>
      <c r="B213" s="9">
        <v>1272</v>
      </c>
      <c r="C213" s="10">
        <v>45322</v>
      </c>
      <c r="D213" s="11" t="s">
        <v>2322</v>
      </c>
      <c r="E213" s="10">
        <v>18630</v>
      </c>
      <c r="F213" s="29">
        <f ca="1">_xlfn.DAYS(NOW(),Tabella1[[#This Row],[Data di Nascita]])/365.25</f>
        <v>74.587268993839842</v>
      </c>
      <c r="G213" s="11" t="s">
        <v>2323</v>
      </c>
      <c r="H213" s="11" t="s">
        <v>2324</v>
      </c>
      <c r="I213" s="11" t="s">
        <v>325</v>
      </c>
      <c r="J213" s="11" t="s">
        <v>2325</v>
      </c>
      <c r="K213" s="11" t="s">
        <v>2326</v>
      </c>
      <c r="L213" s="18">
        <f>IF(ISERROR(SEARCH("EX",Tabella1[[#This Row],[Attività lavorativa]],1)),0,1)</f>
        <v>1</v>
      </c>
      <c r="M213" s="18"/>
      <c r="N213" s="18"/>
      <c r="O213" s="18"/>
      <c r="P213" s="18"/>
      <c r="Q213" s="18"/>
      <c r="R213" s="18"/>
      <c r="S213" s="18"/>
      <c r="T213" s="17">
        <f>IF(ISERROR(SEARCH("NDD",Tabella1[[#This Row],[Attività lavorativa]],1)),0,1)</f>
        <v>0</v>
      </c>
      <c r="U213" s="11" t="s">
        <v>8</v>
      </c>
      <c r="V213" s="22"/>
      <c r="W213" s="22">
        <f>IF(ISERROR(SEARCH("ex",Tabella1[[#This Row],[Fumo]],1)),0,1)</f>
        <v>0</v>
      </c>
      <c r="X213" s="22">
        <f>IF(ISERROR(SEARCH("no",Tabella1[[#This Row],[Fumo]],1)),0,1)</f>
        <v>1</v>
      </c>
      <c r="Y213" s="11" t="s">
        <v>2327</v>
      </c>
      <c r="Z213" s="18">
        <f>IF(ISERROR(SEARCH("NDD",Tabella1[[#This Row],[Bevitore alcolici]],1)),0,1)</f>
        <v>0</v>
      </c>
      <c r="AA213" s="17">
        <f>IF(ISERROR(SEARCH("raro",Tabella1[[#This Row],[Bevitore alcolici]],1)),0,1)</f>
        <v>0</v>
      </c>
      <c r="AB213" s="17">
        <f>IF(ISERROR(SEARCH("saltuariamente",Tabella1[[#This Row],[Bevitore alcolici]],1)),0,1)</f>
        <v>0</v>
      </c>
      <c r="AC213" s="17">
        <f>IF(ISERROR(SEARCH("nega",Tabella1[[#This Row],[Bevitore alcolici]],1)),0,1)</f>
        <v>0</v>
      </c>
      <c r="AD213" s="17">
        <f>IF(ISERROR(SEARCH("potus",Tabella1[[#This Row],[Bevitore alcolici]],1)),0,1)</f>
        <v>0</v>
      </c>
      <c r="AE213" s="11" t="s">
        <v>657</v>
      </c>
      <c r="AF213" s="18"/>
      <c r="AG213" s="18"/>
      <c r="AH213" s="18"/>
      <c r="AI213" s="18"/>
      <c r="AJ213" s="18"/>
      <c r="AK213" s="11" t="s">
        <v>28</v>
      </c>
      <c r="AL213" s="18">
        <f>IF(ISERROR(SEARCH("si",Tabella1[[#This Row],[Patente di guida]],1)),0,1)</f>
        <v>1</v>
      </c>
      <c r="AM213" s="11" t="s">
        <v>28</v>
      </c>
      <c r="AN213" s="18">
        <f>IF(ISERROR(SEARCH("no",Tabella1[[#This Row],[Ipertensione]],1)),0,1)</f>
        <v>0</v>
      </c>
      <c r="AO213" s="11" t="s">
        <v>382</v>
      </c>
      <c r="AP213" s="18">
        <f>IF(ISERROR(SEARCH("NO",Tabella1[[#This Row],[Cardiopatia ischemica]],1)),1,0)</f>
        <v>0</v>
      </c>
      <c r="AQ213" s="17">
        <f>IF(ISERROR(SEARCH("sconosciuto",Tabella1[[#This Row],[Cardiopatia ischemica]],1)),0,1)</f>
        <v>0</v>
      </c>
      <c r="AR213" s="11" t="s">
        <v>859</v>
      </c>
      <c r="AS213" s="22">
        <f>IF(ISERROR(SEARCH("nega",Tabella1[[#This Row],[Artimie]],1)),0,1)</f>
        <v>0</v>
      </c>
      <c r="AT213" s="11" t="s">
        <v>25</v>
      </c>
      <c r="AU213" s="22">
        <f>IF(ISERROR(SEARCH("nega",Tabella1[[#This Row],[Ipercolesterolemia]],1)),0,1)</f>
        <v>1</v>
      </c>
      <c r="AV213" s="22">
        <f>IF(ISERROR(SEARCH("boh",Tabella1[[#This Row],[Ipercolesterolemia]],1)),0,1)</f>
        <v>0</v>
      </c>
      <c r="AW213" s="11" t="s">
        <v>8</v>
      </c>
      <c r="AX213" s="22">
        <f>IF(ISERROR(SEARCH("Intolleranza",Tabella1[[#This Row],[Diabete]],1)),0,1)</f>
        <v>0</v>
      </c>
      <c r="AY213" s="22">
        <f>IF(ISERROR(SEARCH("si",Tabella1[[#This Row],[Diabete]],1)),0,1)</f>
        <v>0</v>
      </c>
      <c r="AZ213" s="11" t="s">
        <v>8</v>
      </c>
      <c r="BA213" s="18">
        <f>IF(ISERROR(SEARCH("NDD",Tabella1[[#This Row],[Patologia Tiroidea]],1)),0,1)</f>
        <v>0</v>
      </c>
      <c r="BB213" s="22">
        <f>IF(ISERROR(SEARCH("TIROIDITE",Tabella1[[#This Row],[Patologia Tiroidea]],1)),0,1)</f>
        <v>0</v>
      </c>
      <c r="BC213" s="22">
        <f>IF(ISERROR(SEARCH("HASHIMOTO",Tabella1[[#This Row],[Patologia Tiroidea]],1)),0,1)</f>
        <v>0</v>
      </c>
      <c r="BD213" s="22">
        <f>IF(ISERROR(SEARCH("BASEDOW",Tabella1[[#This Row],[Patologia Tiroidea]],1)),0,1)</f>
        <v>0</v>
      </c>
      <c r="BE213" s="22">
        <f>IF(ISERROR(SEARCH("NOD",Tabella1[[#This Row],[Patologia Tiroidea]],1)),0,1)</f>
        <v>0</v>
      </c>
      <c r="BF213" s="22">
        <f>IF(ISERROR(SEARCH("GOZ",Tabella1[[#This Row],[Patologia Tiroidea]],1)),0,1)</f>
        <v>0</v>
      </c>
      <c r="BG213" s="11" t="s">
        <v>28</v>
      </c>
      <c r="BH213" s="18">
        <f>IF(Tabella1[[#This Row],[Obesità]]="no",0,1)</f>
        <v>1</v>
      </c>
      <c r="BI213" s="11" t="s">
        <v>28</v>
      </c>
      <c r="BJ213" s="22">
        <f>IF(ISERROR(SEARCH("nega",Tabella1[[#This Row],[Reflusso gastroesofageo]],1)),1,0)</f>
        <v>1</v>
      </c>
      <c r="BK213" s="11" t="s">
        <v>8</v>
      </c>
      <c r="BL213" s="18">
        <f>IF(ISERROR(SEARCH("NDD",Tabella1[[#This Row],[Patologia respiratoria]],1)),0,1)</f>
        <v>0</v>
      </c>
      <c r="BM213" s="18">
        <f>IF(ISERROR(SEARCH("asma",Tabella1[[#This Row],[Patologia respiratoria]],1)),0,1)</f>
        <v>0</v>
      </c>
      <c r="BN213" s="18">
        <f>IF(ISERROR(SEARCH("BPCO",Tabella1[[#This Row],[Patologia respiratoria]],1)),0,1)</f>
        <v>0</v>
      </c>
      <c r="BO213" s="18">
        <f>IF(ISERROR(SEARCH("BRONCOPOLMONITE",Tabella1[[#This Row],[Patologia respiratoria]],1)),0,1)</f>
        <v>0</v>
      </c>
      <c r="BP213" s="18">
        <f>IF(ISERROR(SEARCH("ASMA, OSAS",Tabella1[[#This Row],[Patologia respiratoria]],1)),0,1)</f>
        <v>0</v>
      </c>
      <c r="BQ213" s="18">
        <f>IF(ISERROR(SEARCH("OSAS e BPCO",Tabella1[[#This Row],[Patologia respiratoria]],1)),0,1)</f>
        <v>0</v>
      </c>
      <c r="BR213" s="18">
        <f>IF(ISERROR(SEARCH("OSAS",Tabella1[[#This Row],[Patologia respiratoria]],1)),0,1)</f>
        <v>0</v>
      </c>
      <c r="BS213" s="11" t="s">
        <v>8</v>
      </c>
      <c r="BT213" s="11" t="s">
        <v>2328</v>
      </c>
      <c r="BU213" s="11" t="s">
        <v>8</v>
      </c>
      <c r="BV213" s="18">
        <f>IF(ISERROR(SEARCH("ndd",Tabella1[[#This Row],[O2 terapia]],1)),0,1)</f>
        <v>0</v>
      </c>
      <c r="BW213" s="17">
        <v>0</v>
      </c>
      <c r="BX213" s="11" t="s">
        <v>2329</v>
      </c>
      <c r="BY213" s="11" t="s">
        <v>8</v>
      </c>
      <c r="BZ213" s="18">
        <v>0</v>
      </c>
      <c r="CA213" s="11" t="s">
        <v>8</v>
      </c>
      <c r="CB213" s="17">
        <v>0</v>
      </c>
      <c r="CC213" s="11" t="s">
        <v>2330</v>
      </c>
      <c r="CD213" s="17">
        <v>1</v>
      </c>
      <c r="CE213" s="11" t="s">
        <v>8</v>
      </c>
      <c r="CF213" s="18">
        <v>0</v>
      </c>
      <c r="CG213" s="11" t="s">
        <v>8</v>
      </c>
      <c r="CH213" s="17">
        <v>0</v>
      </c>
      <c r="CI213" s="11" t="s">
        <v>8</v>
      </c>
      <c r="CJ213" s="18">
        <v>0</v>
      </c>
      <c r="CK213" s="11" t="s">
        <v>2268</v>
      </c>
      <c r="CL213" s="17">
        <v>1</v>
      </c>
      <c r="CM213" s="11" t="s">
        <v>2035</v>
      </c>
      <c r="CN213" s="17">
        <v>1</v>
      </c>
      <c r="CO213" s="11" t="s">
        <v>8</v>
      </c>
      <c r="CP213" s="18">
        <v>0</v>
      </c>
      <c r="CQ213" s="11" t="s">
        <v>368</v>
      </c>
      <c r="CR213" s="11" t="s">
        <v>1301</v>
      </c>
      <c r="CS213" s="11" t="s">
        <v>71</v>
      </c>
      <c r="CT213" s="11" t="s">
        <v>121</v>
      </c>
      <c r="CU213" s="11" t="s">
        <v>2331</v>
      </c>
      <c r="CV213" s="12"/>
    </row>
    <row r="214" spans="1:100" ht="213.75">
      <c r="A214" s="1">
        <f t="shared" si="3"/>
        <v>213</v>
      </c>
      <c r="B214" s="5">
        <v>1285</v>
      </c>
      <c r="C214" s="6">
        <v>45328</v>
      </c>
      <c r="D214" s="7" t="s">
        <v>2332</v>
      </c>
      <c r="E214" s="6">
        <v>23610</v>
      </c>
      <c r="F214" s="29">
        <f ca="1">_xlfn.DAYS(NOW(),Tabella1[[#This Row],[Data di Nascita]])/365.25</f>
        <v>60.95277207392197</v>
      </c>
      <c r="G214" s="7" t="s">
        <v>2333</v>
      </c>
      <c r="H214" s="7" t="s">
        <v>2334</v>
      </c>
      <c r="I214" s="7" t="s">
        <v>2142</v>
      </c>
      <c r="J214" s="7" t="s">
        <v>1346</v>
      </c>
      <c r="K214" s="7" t="s">
        <v>2335</v>
      </c>
      <c r="L214" s="17">
        <f>IF(ISERROR(SEARCH("EX",Tabella1[[#This Row],[Attività lavorativa]],1)),0,1)</f>
        <v>0</v>
      </c>
      <c r="M214" s="17"/>
      <c r="N214" s="17"/>
      <c r="O214" s="17"/>
      <c r="P214" s="17"/>
      <c r="Q214" s="17"/>
      <c r="R214" s="17"/>
      <c r="S214" s="17"/>
      <c r="T214" s="17">
        <f>IF(ISERROR(SEARCH("NDD",Tabella1[[#This Row],[Attività lavorativa]],1)),0,1)</f>
        <v>0</v>
      </c>
      <c r="U214" s="7" t="s">
        <v>8</v>
      </c>
      <c r="V214" s="22"/>
      <c r="W214" s="22">
        <f>IF(ISERROR(SEARCH("ex",Tabella1[[#This Row],[Fumo]],1)),0,1)</f>
        <v>0</v>
      </c>
      <c r="X214" s="22">
        <f>IF(ISERROR(SEARCH("no",Tabella1[[#This Row],[Fumo]],1)),0,1)</f>
        <v>1</v>
      </c>
      <c r="Y214" s="7" t="s">
        <v>26</v>
      </c>
      <c r="Z214" s="17">
        <f>IF(ISERROR(SEARCH("NDD",Tabella1[[#This Row],[Bevitore alcolici]],1)),0,1)</f>
        <v>0</v>
      </c>
      <c r="AA214" s="17">
        <f>IF(ISERROR(SEARCH("raro",Tabella1[[#This Row],[Bevitore alcolici]],1)),0,1)</f>
        <v>0</v>
      </c>
      <c r="AB214" s="17">
        <f>IF(ISERROR(SEARCH("saltuariamente",Tabella1[[#This Row],[Bevitore alcolici]],1)),0,1)</f>
        <v>1</v>
      </c>
      <c r="AC214" s="17">
        <f>IF(ISERROR(SEARCH("nega",Tabella1[[#This Row],[Bevitore alcolici]],1)),0,1)</f>
        <v>0</v>
      </c>
      <c r="AD214" s="17">
        <f>IF(ISERROR(SEARCH("potus",Tabella1[[#This Row],[Bevitore alcolici]],1)),0,1)</f>
        <v>0</v>
      </c>
      <c r="AE214" s="7" t="s">
        <v>657</v>
      </c>
      <c r="AF214" s="17"/>
      <c r="AG214" s="17"/>
      <c r="AH214" s="17"/>
      <c r="AI214" s="17"/>
      <c r="AJ214" s="17"/>
      <c r="AK214" s="7" t="s">
        <v>28</v>
      </c>
      <c r="AL214" s="17">
        <f>IF(ISERROR(SEARCH("si",Tabella1[[#This Row],[Patente di guida]],1)),0,1)</f>
        <v>1</v>
      </c>
      <c r="AM214" s="7" t="s">
        <v>8</v>
      </c>
      <c r="AN214" s="17">
        <f>IF(ISERROR(SEARCH("no",Tabella1[[#This Row],[Ipertensione]],1)),0,1)</f>
        <v>1</v>
      </c>
      <c r="AO214" s="7" t="s">
        <v>382</v>
      </c>
      <c r="AP214" s="18">
        <f>IF(ISERROR(SEARCH("NO",Tabella1[[#This Row],[Cardiopatia ischemica]],1)),1,0)</f>
        <v>0</v>
      </c>
      <c r="AQ214" s="17">
        <f>IF(ISERROR(SEARCH("sconosciuto",Tabella1[[#This Row],[Cardiopatia ischemica]],1)),0,1)</f>
        <v>0</v>
      </c>
      <c r="AR214" s="7" t="s">
        <v>25</v>
      </c>
      <c r="AS214" s="17">
        <f>IF(ISERROR(SEARCH("nega",Tabella1[[#This Row],[Artimie]],1)),0,1)</f>
        <v>1</v>
      </c>
      <c r="AT214" s="7" t="s">
        <v>25</v>
      </c>
      <c r="AU214" s="17">
        <f>IF(ISERROR(SEARCH("nega",Tabella1[[#This Row],[Ipercolesterolemia]],1)),0,1)</f>
        <v>1</v>
      </c>
      <c r="AV214" s="17">
        <f>IF(ISERROR(SEARCH("boh",Tabella1[[#This Row],[Ipercolesterolemia]],1)),0,1)</f>
        <v>0</v>
      </c>
      <c r="AW214" s="7" t="s">
        <v>8</v>
      </c>
      <c r="AX214" s="17">
        <f>IF(ISERROR(SEARCH("Intolleranza",Tabella1[[#This Row],[Diabete]],1)),0,1)</f>
        <v>0</v>
      </c>
      <c r="AY214" s="17">
        <f>IF(ISERROR(SEARCH("si",Tabella1[[#This Row],[Diabete]],1)),0,1)</f>
        <v>0</v>
      </c>
      <c r="AZ214" s="7" t="s">
        <v>8</v>
      </c>
      <c r="BA214" s="17">
        <f>IF(ISERROR(SEARCH("NDD",Tabella1[[#This Row],[Patologia Tiroidea]],1)),0,1)</f>
        <v>0</v>
      </c>
      <c r="BB214" s="17">
        <f>IF(ISERROR(SEARCH("TIROIDITE",Tabella1[[#This Row],[Patologia Tiroidea]],1)),0,1)</f>
        <v>0</v>
      </c>
      <c r="BC214" s="17">
        <f>IF(ISERROR(SEARCH("HASHIMOTO",Tabella1[[#This Row],[Patologia Tiroidea]],1)),0,1)</f>
        <v>0</v>
      </c>
      <c r="BD214" s="17">
        <f>IF(ISERROR(SEARCH("BASEDOW",Tabella1[[#This Row],[Patologia Tiroidea]],1)),0,1)</f>
        <v>0</v>
      </c>
      <c r="BE214" s="17">
        <f>IF(ISERROR(SEARCH("NOD",Tabella1[[#This Row],[Patologia Tiroidea]],1)),0,1)</f>
        <v>0</v>
      </c>
      <c r="BF214" s="17">
        <f>IF(ISERROR(SEARCH("GOZ",Tabella1[[#This Row],[Patologia Tiroidea]],1)),0,1)</f>
        <v>0</v>
      </c>
      <c r="BG214" s="7" t="s">
        <v>8</v>
      </c>
      <c r="BH214" s="17">
        <f>IF(Tabella1[[#This Row],[Obesità]]="no",0,1)</f>
        <v>0</v>
      </c>
      <c r="BI214" s="7" t="s">
        <v>7</v>
      </c>
      <c r="BJ214" s="22">
        <f>IF(ISERROR(SEARCH("nega",Tabella1[[#This Row],[Reflusso gastroesofageo]],1)),1,0)</f>
        <v>1</v>
      </c>
      <c r="BK214" s="7" t="s">
        <v>8</v>
      </c>
      <c r="BL214" s="17">
        <f>IF(ISERROR(SEARCH("NDD",Tabella1[[#This Row],[Patologia respiratoria]],1)),0,1)</f>
        <v>0</v>
      </c>
      <c r="BM214" s="17">
        <f>IF(ISERROR(SEARCH("asma",Tabella1[[#This Row],[Patologia respiratoria]],1)),0,1)</f>
        <v>0</v>
      </c>
      <c r="BN214" s="17">
        <f>IF(ISERROR(SEARCH("BPCO",Tabella1[[#This Row],[Patologia respiratoria]],1)),0,1)</f>
        <v>0</v>
      </c>
      <c r="BO214" s="17">
        <f>IF(ISERROR(SEARCH("BRONCOPOLMONITE",Tabella1[[#This Row],[Patologia respiratoria]],1)),0,1)</f>
        <v>0</v>
      </c>
      <c r="BP214" s="17">
        <f>IF(ISERROR(SEARCH("ASMA, OSAS",Tabella1[[#This Row],[Patologia respiratoria]],1)),0,1)</f>
        <v>0</v>
      </c>
      <c r="BQ214" s="17">
        <f>IF(ISERROR(SEARCH("OSAS e BPCO",Tabella1[[#This Row],[Patologia respiratoria]],1)),0,1)</f>
        <v>0</v>
      </c>
      <c r="BR214" s="17">
        <f>IF(ISERROR(SEARCH("OSAS",Tabella1[[#This Row],[Patologia respiratoria]],1)),0,1)</f>
        <v>0</v>
      </c>
      <c r="BS214" s="7"/>
      <c r="BT214" s="7" t="s">
        <v>8</v>
      </c>
      <c r="BU214" s="7" t="s">
        <v>5477</v>
      </c>
      <c r="BV214" s="17">
        <f>IF(ISERROR(SEARCH("ndd",Tabella1[[#This Row],[O2 terapia]],1)),0,1)</f>
        <v>1</v>
      </c>
      <c r="BW214" s="17"/>
      <c r="BX214" s="7"/>
      <c r="BY214" s="7" t="s">
        <v>8</v>
      </c>
      <c r="BZ214" s="18">
        <v>0</v>
      </c>
      <c r="CA214" s="7" t="s">
        <v>2336</v>
      </c>
      <c r="CB214" s="17">
        <v>1</v>
      </c>
      <c r="CC214" s="7" t="s">
        <v>1036</v>
      </c>
      <c r="CD214" s="17">
        <v>1</v>
      </c>
      <c r="CE214" s="7" t="s">
        <v>8</v>
      </c>
      <c r="CF214" s="18">
        <v>0</v>
      </c>
      <c r="CG214" s="7" t="s">
        <v>8</v>
      </c>
      <c r="CH214" s="17">
        <v>0</v>
      </c>
      <c r="CI214" s="7" t="s">
        <v>2337</v>
      </c>
      <c r="CJ214" s="17">
        <v>1</v>
      </c>
      <c r="CK214" s="7" t="s">
        <v>2338</v>
      </c>
      <c r="CL214" s="17">
        <v>1</v>
      </c>
      <c r="CM214" s="7" t="s">
        <v>8</v>
      </c>
      <c r="CN214" s="17">
        <v>0</v>
      </c>
      <c r="CO214" s="7" t="s">
        <v>8</v>
      </c>
      <c r="CP214" s="18">
        <v>0</v>
      </c>
      <c r="CQ214" s="7" t="s">
        <v>85</v>
      </c>
      <c r="CR214" s="7" t="s">
        <v>318</v>
      </c>
      <c r="CS214" s="7" t="s">
        <v>219</v>
      </c>
      <c r="CT214" s="7" t="s">
        <v>38</v>
      </c>
      <c r="CU214" s="7" t="s">
        <v>2339</v>
      </c>
      <c r="CV214" s="8" t="s">
        <v>2340</v>
      </c>
    </row>
    <row r="215" spans="1:100" ht="299.25">
      <c r="A215" s="1">
        <f t="shared" si="3"/>
        <v>214</v>
      </c>
      <c r="B215" s="9">
        <v>1291</v>
      </c>
      <c r="C215" s="10">
        <v>45330</v>
      </c>
      <c r="D215" s="11" t="s">
        <v>2341</v>
      </c>
      <c r="E215" s="10">
        <v>22198</v>
      </c>
      <c r="F215" s="29">
        <f ca="1">_xlfn.DAYS(NOW(),Tabella1[[#This Row],[Data di Nascita]])/365.25</f>
        <v>64.818617385352496</v>
      </c>
      <c r="G215" s="11" t="s">
        <v>2342</v>
      </c>
      <c r="H215" s="11" t="s">
        <v>2343</v>
      </c>
      <c r="I215" s="11" t="s">
        <v>2344</v>
      </c>
      <c r="J215" s="11"/>
      <c r="K215" s="11" t="s">
        <v>2345</v>
      </c>
      <c r="L215" s="18">
        <f>IF(ISERROR(SEARCH("EX",Tabella1[[#This Row],[Attività lavorativa]],1)),0,1)</f>
        <v>0</v>
      </c>
      <c r="M215" s="18"/>
      <c r="N215" s="18"/>
      <c r="O215" s="18"/>
      <c r="P215" s="18"/>
      <c r="Q215" s="18"/>
      <c r="R215" s="18"/>
      <c r="S215" s="18"/>
      <c r="T215" s="17">
        <f>IF(ISERROR(SEARCH("NDD",Tabella1[[#This Row],[Attività lavorativa]],1)),0,1)</f>
        <v>0</v>
      </c>
      <c r="U215" s="11" t="s">
        <v>8</v>
      </c>
      <c r="V215" s="22"/>
      <c r="W215" s="22">
        <f>IF(ISERROR(SEARCH("ex",Tabella1[[#This Row],[Fumo]],1)),0,1)</f>
        <v>0</v>
      </c>
      <c r="X215" s="22">
        <f>IF(ISERROR(SEARCH("no",Tabella1[[#This Row],[Fumo]],1)),0,1)</f>
        <v>1</v>
      </c>
      <c r="Y215" s="11" t="s">
        <v>309</v>
      </c>
      <c r="Z215" s="18">
        <f>IF(ISERROR(SEARCH("NDD",Tabella1[[#This Row],[Bevitore alcolici]],1)),0,1)</f>
        <v>0</v>
      </c>
      <c r="AA215" s="17">
        <f>IF(ISERROR(SEARCH("raro",Tabella1[[#This Row],[Bevitore alcolici]],1)),0,1)</f>
        <v>0</v>
      </c>
      <c r="AB215" s="17">
        <f>IF(ISERROR(SEARCH("saltuariamente",Tabella1[[#This Row],[Bevitore alcolici]],1)),0,1)</f>
        <v>0</v>
      </c>
      <c r="AC215" s="17">
        <f>IF(ISERROR(SEARCH("nega",Tabella1[[#This Row],[Bevitore alcolici]],1)),0,1)</f>
        <v>1</v>
      </c>
      <c r="AD215" s="17">
        <f>IF(ISERROR(SEARCH("potus",Tabella1[[#This Row],[Bevitore alcolici]],1)),0,1)</f>
        <v>0</v>
      </c>
      <c r="AE215" s="11" t="s">
        <v>5678</v>
      </c>
      <c r="AF215" s="18"/>
      <c r="AG215" s="18"/>
      <c r="AH215" s="18">
        <v>1</v>
      </c>
      <c r="AI215" s="18"/>
      <c r="AJ215" s="18"/>
      <c r="AK215" s="11" t="s">
        <v>194</v>
      </c>
      <c r="AL215" s="18">
        <f>IF(ISERROR(SEARCH("si",Tabella1[[#This Row],[Patente di guida]],1)),0,1)</f>
        <v>1</v>
      </c>
      <c r="AM215" s="11" t="s">
        <v>28</v>
      </c>
      <c r="AN215" s="18">
        <f>IF(ISERROR(SEARCH("no",Tabella1[[#This Row],[Ipertensione]],1)),0,1)</f>
        <v>0</v>
      </c>
      <c r="AO215" s="11" t="s">
        <v>3726</v>
      </c>
      <c r="AP215" s="18">
        <f>IF(ISERROR(SEARCH("NO",Tabella1[[#This Row],[Cardiopatia ischemica]],1)),1,0)</f>
        <v>0</v>
      </c>
      <c r="AQ215" s="17">
        <f>IF(ISERROR(SEARCH("sconosciuto",Tabella1[[#This Row],[Cardiopatia ischemica]],1)),0,1)</f>
        <v>1</v>
      </c>
      <c r="AR215" s="11" t="s">
        <v>194</v>
      </c>
      <c r="AS215" s="22">
        <f>IF(ISERROR(SEARCH("nega",Tabella1[[#This Row],[Artimie]],1)),0,1)</f>
        <v>0</v>
      </c>
      <c r="AT215" s="11" t="s">
        <v>25</v>
      </c>
      <c r="AU215" s="22">
        <f>IF(ISERROR(SEARCH("nega",Tabella1[[#This Row],[Ipercolesterolemia]],1)),0,1)</f>
        <v>1</v>
      </c>
      <c r="AV215" s="22">
        <f>IF(ISERROR(SEARCH("boh",Tabella1[[#This Row],[Ipercolesterolemia]],1)),0,1)</f>
        <v>0</v>
      </c>
      <c r="AW215" s="11" t="s">
        <v>195</v>
      </c>
      <c r="AX215" s="22">
        <f>IF(ISERROR(SEARCH("Intolleranza",Tabella1[[#This Row],[Diabete]],1)),0,1)</f>
        <v>0</v>
      </c>
      <c r="AY215" s="22">
        <f>IF(ISERROR(SEARCH("si",Tabella1[[#This Row],[Diabete]],1)),0,1)</f>
        <v>0</v>
      </c>
      <c r="AZ215" s="11" t="s">
        <v>309</v>
      </c>
      <c r="BA215" s="18">
        <f>IF(ISERROR(SEARCH("NDD",Tabella1[[#This Row],[Patologia Tiroidea]],1)),0,1)</f>
        <v>0</v>
      </c>
      <c r="BB215" s="22">
        <f>IF(ISERROR(SEARCH("TIROIDITE",Tabella1[[#This Row],[Patologia Tiroidea]],1)),0,1)</f>
        <v>0</v>
      </c>
      <c r="BC215" s="22">
        <f>IF(ISERROR(SEARCH("HASHIMOTO",Tabella1[[#This Row],[Patologia Tiroidea]],1)),0,1)</f>
        <v>0</v>
      </c>
      <c r="BD215" s="22">
        <f>IF(ISERROR(SEARCH("BASEDOW",Tabella1[[#This Row],[Patologia Tiroidea]],1)),0,1)</f>
        <v>0</v>
      </c>
      <c r="BE215" s="22">
        <f>IF(ISERROR(SEARCH("NOD",Tabella1[[#This Row],[Patologia Tiroidea]],1)),0,1)</f>
        <v>0</v>
      </c>
      <c r="BF215" s="22">
        <f>IF(ISERROR(SEARCH("GOZ",Tabella1[[#This Row],[Patologia Tiroidea]],1)),0,1)</f>
        <v>0</v>
      </c>
      <c r="BG215" s="11" t="s">
        <v>194</v>
      </c>
      <c r="BH215" s="18">
        <f>IF(Tabella1[[#This Row],[Obesità]]="no",0,1)</f>
        <v>1</v>
      </c>
      <c r="BI215" s="11" t="s">
        <v>2346</v>
      </c>
      <c r="BJ215" s="22">
        <f>IF(ISERROR(SEARCH("nega",Tabella1[[#This Row],[Reflusso gastroesofageo]],1)),1,0)</f>
        <v>1</v>
      </c>
      <c r="BK215" s="11" t="s">
        <v>2347</v>
      </c>
      <c r="BL215" s="18">
        <f>IF(ISERROR(SEARCH("NDD",Tabella1[[#This Row],[Patologia respiratoria]],1)),0,1)</f>
        <v>0</v>
      </c>
      <c r="BM215" s="18">
        <f>IF(ISERROR(SEARCH("asma",Tabella1[[#This Row],[Patologia respiratoria]],1)),0,1)</f>
        <v>0</v>
      </c>
      <c r="BN215" s="18">
        <f>IF(ISERROR(SEARCH("BPCO",Tabella1[[#This Row],[Patologia respiratoria]],1)),0,1)</f>
        <v>0</v>
      </c>
      <c r="BO215" s="18">
        <f>IF(ISERROR(SEARCH("BRONCOPOLMONITE",Tabella1[[#This Row],[Patologia respiratoria]],1)),0,1)</f>
        <v>0</v>
      </c>
      <c r="BP215" s="18">
        <f>IF(ISERROR(SEARCH("ASMA, OSAS",Tabella1[[#This Row],[Patologia respiratoria]],1)),0,1)</f>
        <v>0</v>
      </c>
      <c r="BQ215" s="18">
        <f>IF(ISERROR(SEARCH("OSAS e BPCO",Tabella1[[#This Row],[Patologia respiratoria]],1)),0,1)</f>
        <v>0</v>
      </c>
      <c r="BR215" s="18">
        <f>IF(ISERROR(SEARCH("OSAS",Tabella1[[#This Row],[Patologia respiratoria]],1)),0,1)</f>
        <v>0</v>
      </c>
      <c r="BS215" s="11" t="s">
        <v>2348</v>
      </c>
      <c r="BT215" s="11" t="s">
        <v>2349</v>
      </c>
      <c r="BU215" s="11" t="s">
        <v>309</v>
      </c>
      <c r="BV215" s="18">
        <f>IF(ISERROR(SEARCH("ndd",Tabella1[[#This Row],[O2 terapia]],1)),0,1)</f>
        <v>0</v>
      </c>
      <c r="BW215" s="17">
        <v>0</v>
      </c>
      <c r="BX215" s="11" t="s">
        <v>2350</v>
      </c>
      <c r="BY215" s="11" t="s">
        <v>2351</v>
      </c>
      <c r="BZ215" s="17">
        <v>1</v>
      </c>
      <c r="CA215" s="11" t="s">
        <v>2352</v>
      </c>
      <c r="CB215" s="17">
        <v>0</v>
      </c>
      <c r="CC215" s="11" t="s">
        <v>2353</v>
      </c>
      <c r="CD215" s="17">
        <v>1</v>
      </c>
      <c r="CE215" s="11" t="s">
        <v>309</v>
      </c>
      <c r="CF215" s="18">
        <v>0</v>
      </c>
      <c r="CG215" s="11" t="s">
        <v>2354</v>
      </c>
      <c r="CH215" s="17">
        <v>1</v>
      </c>
      <c r="CI215" s="11" t="s">
        <v>309</v>
      </c>
      <c r="CJ215" s="18">
        <v>0</v>
      </c>
      <c r="CK215" s="11" t="s">
        <v>2355</v>
      </c>
      <c r="CL215" s="17">
        <v>1</v>
      </c>
      <c r="CM215" s="11" t="s">
        <v>312</v>
      </c>
      <c r="CN215" s="17">
        <v>1</v>
      </c>
      <c r="CO215" s="11" t="s">
        <v>2356</v>
      </c>
      <c r="CP215" s="17">
        <v>1</v>
      </c>
      <c r="CQ215" s="11" t="s">
        <v>69</v>
      </c>
      <c r="CR215" s="11" t="s">
        <v>2357</v>
      </c>
      <c r="CS215" s="11" t="s">
        <v>389</v>
      </c>
      <c r="CT215" s="11" t="s">
        <v>2358</v>
      </c>
      <c r="CU215" s="11" t="s">
        <v>2359</v>
      </c>
      <c r="CV215" s="12"/>
    </row>
    <row r="216" spans="1:100" ht="370.5">
      <c r="A216" s="1">
        <f t="shared" si="3"/>
        <v>215</v>
      </c>
      <c r="B216" s="5">
        <v>1296</v>
      </c>
      <c r="C216" s="6">
        <v>45331</v>
      </c>
      <c r="D216" s="7" t="s">
        <v>2360</v>
      </c>
      <c r="E216" s="6">
        <v>29072</v>
      </c>
      <c r="F216" s="29">
        <f ca="1">_xlfn.DAYS(NOW(),Tabella1[[#This Row],[Data di Nascita]])/365.25</f>
        <v>45.998631074606436</v>
      </c>
      <c r="G216" s="7" t="s">
        <v>2361</v>
      </c>
      <c r="H216" s="7" t="s">
        <v>2362</v>
      </c>
      <c r="I216" s="7" t="s">
        <v>2293</v>
      </c>
      <c r="J216" s="7" t="s">
        <v>2363</v>
      </c>
      <c r="K216" s="7" t="s">
        <v>2364</v>
      </c>
      <c r="L216" s="17">
        <f>IF(ISERROR(SEARCH("EX",Tabella1[[#This Row],[Attività lavorativa]],1)),0,1)</f>
        <v>0</v>
      </c>
      <c r="M216" s="17"/>
      <c r="N216" s="17">
        <v>1</v>
      </c>
      <c r="O216" s="17"/>
      <c r="P216" s="17"/>
      <c r="Q216" s="17"/>
      <c r="R216" s="17"/>
      <c r="S216" s="17"/>
      <c r="T216" s="17">
        <f>IF(ISERROR(SEARCH("NDD",Tabella1[[#This Row],[Attività lavorativa]],1)),0,1)</f>
        <v>0</v>
      </c>
      <c r="U216" s="7" t="s">
        <v>8</v>
      </c>
      <c r="V216" s="22"/>
      <c r="W216" s="22">
        <f>IF(ISERROR(SEARCH("ex",Tabella1[[#This Row],[Fumo]],1)),0,1)</f>
        <v>0</v>
      </c>
      <c r="X216" s="22">
        <f>IF(ISERROR(SEARCH("no",Tabella1[[#This Row],[Fumo]],1)),0,1)</f>
        <v>1</v>
      </c>
      <c r="Y216" s="7" t="s">
        <v>26</v>
      </c>
      <c r="Z216" s="17">
        <f>IF(ISERROR(SEARCH("NDD",Tabella1[[#This Row],[Bevitore alcolici]],1)),0,1)</f>
        <v>0</v>
      </c>
      <c r="AA216" s="17">
        <f>IF(ISERROR(SEARCH("raro",Tabella1[[#This Row],[Bevitore alcolici]],1)),0,1)</f>
        <v>0</v>
      </c>
      <c r="AB216" s="17">
        <f>IF(ISERROR(SEARCH("saltuariamente",Tabella1[[#This Row],[Bevitore alcolici]],1)),0,1)</f>
        <v>1</v>
      </c>
      <c r="AC216" s="17">
        <f>IF(ISERROR(SEARCH("nega",Tabella1[[#This Row],[Bevitore alcolici]],1)),0,1)</f>
        <v>0</v>
      </c>
      <c r="AD216" s="17">
        <f>IF(ISERROR(SEARCH("potus",Tabella1[[#This Row],[Bevitore alcolici]],1)),0,1)</f>
        <v>0</v>
      </c>
      <c r="AE216" s="7" t="s">
        <v>5650</v>
      </c>
      <c r="AF216" s="17"/>
      <c r="AG216" s="18">
        <v>1</v>
      </c>
      <c r="AH216" s="18"/>
      <c r="AI216" s="18"/>
      <c r="AJ216" s="18"/>
      <c r="AK216" s="7" t="s">
        <v>194</v>
      </c>
      <c r="AL216" s="17">
        <f>IF(ISERROR(SEARCH("si",Tabella1[[#This Row],[Patente di guida]],1)),0,1)</f>
        <v>1</v>
      </c>
      <c r="AM216" s="7" t="s">
        <v>195</v>
      </c>
      <c r="AN216" s="17">
        <f>IF(ISERROR(SEARCH("no",Tabella1[[#This Row],[Ipertensione]],1)),0,1)</f>
        <v>1</v>
      </c>
      <c r="AO216" s="7" t="s">
        <v>382</v>
      </c>
      <c r="AP216" s="18">
        <f>IF(ISERROR(SEARCH("NO",Tabella1[[#This Row],[Cardiopatia ischemica]],1)),1,0)</f>
        <v>0</v>
      </c>
      <c r="AQ216" s="17">
        <f>IF(ISERROR(SEARCH("sconosciuto",Tabella1[[#This Row],[Cardiopatia ischemica]],1)),0,1)</f>
        <v>0</v>
      </c>
      <c r="AR216" s="7" t="s">
        <v>25</v>
      </c>
      <c r="AS216" s="22">
        <f>IF(ISERROR(SEARCH("nega",Tabella1[[#This Row],[Artimie]],1)),0,1)</f>
        <v>1</v>
      </c>
      <c r="AT216" s="7" t="s">
        <v>25</v>
      </c>
      <c r="AU216" s="22">
        <f>IF(ISERROR(SEARCH("nega",Tabella1[[#This Row],[Ipercolesterolemia]],1)),0,1)</f>
        <v>1</v>
      </c>
      <c r="AV216" s="22">
        <f>IF(ISERROR(SEARCH("boh",Tabella1[[#This Row],[Ipercolesterolemia]],1)),0,1)</f>
        <v>0</v>
      </c>
      <c r="AW216" s="7" t="s">
        <v>8</v>
      </c>
      <c r="AX216" s="22">
        <f>IF(ISERROR(SEARCH("Intolleranza",Tabella1[[#This Row],[Diabete]],1)),0,1)</f>
        <v>0</v>
      </c>
      <c r="AY216" s="22">
        <f>IF(ISERROR(SEARCH("si",Tabella1[[#This Row],[Diabete]],1)),0,1)</f>
        <v>0</v>
      </c>
      <c r="AZ216" s="7" t="s">
        <v>8</v>
      </c>
      <c r="BA216" s="17">
        <f>IF(ISERROR(SEARCH("NDD",Tabella1[[#This Row],[Patologia Tiroidea]],1)),0,1)</f>
        <v>0</v>
      </c>
      <c r="BB216" s="22">
        <f>IF(ISERROR(SEARCH("TIROIDITE",Tabella1[[#This Row],[Patologia Tiroidea]],1)),0,1)</f>
        <v>0</v>
      </c>
      <c r="BC216" s="22">
        <f>IF(ISERROR(SEARCH("HASHIMOTO",Tabella1[[#This Row],[Patologia Tiroidea]],1)),0,1)</f>
        <v>0</v>
      </c>
      <c r="BD216" s="22">
        <f>IF(ISERROR(SEARCH("BASEDOW",Tabella1[[#This Row],[Patologia Tiroidea]],1)),0,1)</f>
        <v>0</v>
      </c>
      <c r="BE216" s="22">
        <f>IF(ISERROR(SEARCH("NOD",Tabella1[[#This Row],[Patologia Tiroidea]],1)),0,1)</f>
        <v>0</v>
      </c>
      <c r="BF216" s="22">
        <f>IF(ISERROR(SEARCH("GOZ",Tabella1[[#This Row],[Patologia Tiroidea]],1)),0,1)</f>
        <v>0</v>
      </c>
      <c r="BG216" s="7" t="s">
        <v>8</v>
      </c>
      <c r="BH216" s="17">
        <f>IF(Tabella1[[#This Row],[Obesità]]="no",0,1)</f>
        <v>0</v>
      </c>
      <c r="BI216" s="7" t="s">
        <v>25</v>
      </c>
      <c r="BJ216" s="22">
        <f>IF(ISERROR(SEARCH("nega",Tabella1[[#This Row],[Reflusso gastroesofageo]],1)),1,0)</f>
        <v>0</v>
      </c>
      <c r="BK216" s="7" t="s">
        <v>3811</v>
      </c>
      <c r="BL216" s="17">
        <f>IF(ISERROR(SEARCH("NDD",Tabella1[[#This Row],[Patologia respiratoria]],1)),0,1)</f>
        <v>0</v>
      </c>
      <c r="BM216" s="17">
        <f>IF(ISERROR(SEARCH("asma",Tabella1[[#This Row],[Patologia respiratoria]],1)),0,1)</f>
        <v>1</v>
      </c>
      <c r="BN216" s="17">
        <f>IF(ISERROR(SEARCH("BPCO",Tabella1[[#This Row],[Patologia respiratoria]],1)),0,1)</f>
        <v>0</v>
      </c>
      <c r="BO216" s="17">
        <f>IF(ISERROR(SEARCH("BRONCOPOLMONITE",Tabella1[[#This Row],[Patologia respiratoria]],1)),0,1)</f>
        <v>0</v>
      </c>
      <c r="BP216" s="17">
        <f>IF(ISERROR(SEARCH("ASMA, OSAS",Tabella1[[#This Row],[Patologia respiratoria]],1)),0,1)</f>
        <v>0</v>
      </c>
      <c r="BQ216" s="17">
        <f>IF(ISERROR(SEARCH("OSAS e BPCO",Tabella1[[#This Row],[Patologia respiratoria]],1)),0,1)</f>
        <v>0</v>
      </c>
      <c r="BR216" s="17">
        <f>IF(ISERROR(SEARCH("OSAS",Tabella1[[#This Row],[Patologia respiratoria]],1)),0,1)</f>
        <v>0</v>
      </c>
      <c r="BS216" s="7" t="s">
        <v>2366</v>
      </c>
      <c r="BT216" s="7" t="s">
        <v>2367</v>
      </c>
      <c r="BU216" s="7" t="s">
        <v>8</v>
      </c>
      <c r="BV216" s="17">
        <f>IF(ISERROR(SEARCH("ndd",Tabella1[[#This Row],[O2 terapia]],1)),0,1)</f>
        <v>0</v>
      </c>
      <c r="BW216" s="17">
        <v>0</v>
      </c>
      <c r="BX216" s="7" t="s">
        <v>2368</v>
      </c>
      <c r="BY216" s="7" t="s">
        <v>2369</v>
      </c>
      <c r="BZ216" s="17">
        <v>1</v>
      </c>
      <c r="CA216" s="7" t="s">
        <v>309</v>
      </c>
      <c r="CB216" s="17">
        <v>0</v>
      </c>
      <c r="CC216" s="7" t="s">
        <v>2370</v>
      </c>
      <c r="CD216" s="17">
        <v>1</v>
      </c>
      <c r="CE216" s="7" t="s">
        <v>309</v>
      </c>
      <c r="CF216" s="18">
        <v>0</v>
      </c>
      <c r="CG216" s="7" t="s">
        <v>2371</v>
      </c>
      <c r="CH216" s="17">
        <v>1</v>
      </c>
      <c r="CI216" s="7" t="s">
        <v>309</v>
      </c>
      <c r="CJ216" s="18">
        <v>0</v>
      </c>
      <c r="CK216" s="7" t="s">
        <v>2372</v>
      </c>
      <c r="CL216" s="17">
        <v>1</v>
      </c>
      <c r="CM216" s="7" t="s">
        <v>2373</v>
      </c>
      <c r="CN216" s="17">
        <v>1</v>
      </c>
      <c r="CO216" s="7" t="s">
        <v>195</v>
      </c>
      <c r="CP216" s="18">
        <v>0</v>
      </c>
      <c r="CQ216" s="7" t="s">
        <v>1571</v>
      </c>
      <c r="CR216" s="7" t="s">
        <v>55</v>
      </c>
      <c r="CS216" s="7" t="s">
        <v>2374</v>
      </c>
      <c r="CT216" s="7" t="s">
        <v>2375</v>
      </c>
      <c r="CU216" s="7" t="s">
        <v>2376</v>
      </c>
      <c r="CV216" s="8" t="s">
        <v>2377</v>
      </c>
    </row>
    <row r="217" spans="1:100" ht="409.5">
      <c r="A217" s="1">
        <f t="shared" si="3"/>
        <v>216</v>
      </c>
      <c r="B217" s="9">
        <v>1305</v>
      </c>
      <c r="C217" s="10">
        <v>45336</v>
      </c>
      <c r="D217" s="11" t="s">
        <v>2378</v>
      </c>
      <c r="E217" s="10">
        <v>22028</v>
      </c>
      <c r="F217" s="29">
        <f ca="1">_xlfn.DAYS(NOW(),Tabella1[[#This Row],[Data di Nascita]])/365.25</f>
        <v>65.28405201916496</v>
      </c>
      <c r="G217" s="11" t="s">
        <v>2379</v>
      </c>
      <c r="H217" s="11" t="s">
        <v>2380</v>
      </c>
      <c r="I217" s="11" t="s">
        <v>2381</v>
      </c>
      <c r="J217" s="11" t="s">
        <v>473</v>
      </c>
      <c r="K217" s="11" t="s">
        <v>2382</v>
      </c>
      <c r="L217" s="18">
        <f>IF(ISERROR(SEARCH("EX",Tabella1[[#This Row],[Attività lavorativa]],1)),0,1)</f>
        <v>0</v>
      </c>
      <c r="M217" s="18"/>
      <c r="N217" s="18"/>
      <c r="O217" s="18"/>
      <c r="P217" s="18"/>
      <c r="Q217" s="18"/>
      <c r="R217" s="18"/>
      <c r="S217" s="17">
        <v>1</v>
      </c>
      <c r="T217" s="17">
        <f>IF(ISERROR(SEARCH("NDD",Tabella1[[#This Row],[Attività lavorativa]],1)),0,1)</f>
        <v>0</v>
      </c>
      <c r="U217" s="11" t="s">
        <v>8</v>
      </c>
      <c r="V217" s="22"/>
      <c r="W217" s="22">
        <f>IF(ISERROR(SEARCH("ex",Tabella1[[#This Row],[Fumo]],1)),0,1)</f>
        <v>0</v>
      </c>
      <c r="X217" s="22">
        <f>IF(ISERROR(SEARCH("no",Tabella1[[#This Row],[Fumo]],1)),0,1)</f>
        <v>1</v>
      </c>
      <c r="Y217" s="11" t="s">
        <v>2383</v>
      </c>
      <c r="Z217" s="18">
        <f>IF(ISERROR(SEARCH("NDD",Tabella1[[#This Row],[Bevitore alcolici]],1)),0,1)</f>
        <v>0</v>
      </c>
      <c r="AA217" s="17">
        <f>IF(ISERROR(SEARCH("raro",Tabella1[[#This Row],[Bevitore alcolici]],1)),0,1)</f>
        <v>0</v>
      </c>
      <c r="AB217" s="17">
        <f>IF(ISERROR(SEARCH("saltuariamente",Tabella1[[#This Row],[Bevitore alcolici]],1)),0,1)</f>
        <v>0</v>
      </c>
      <c r="AC217" s="17">
        <f>IF(ISERROR(SEARCH("nega",Tabella1[[#This Row],[Bevitore alcolici]],1)),0,1)</f>
        <v>0</v>
      </c>
      <c r="AD217" s="17">
        <f>IF(ISERROR(SEARCH("potus",Tabella1[[#This Row],[Bevitore alcolici]],1)),0,1)</f>
        <v>0</v>
      </c>
      <c r="AE217" s="11" t="s">
        <v>5651</v>
      </c>
      <c r="AF217" s="18"/>
      <c r="AG217" s="18"/>
      <c r="AH217" s="18"/>
      <c r="AI217" s="18"/>
      <c r="AJ217" s="18"/>
      <c r="AK217" s="11" t="s">
        <v>194</v>
      </c>
      <c r="AL217" s="18">
        <f>IF(ISERROR(SEARCH("si",Tabella1[[#This Row],[Patente di guida]],1)),0,1)</f>
        <v>1</v>
      </c>
      <c r="AM217" s="11" t="s">
        <v>28</v>
      </c>
      <c r="AN217" s="18">
        <f>IF(ISERROR(SEARCH("no",Tabella1[[#This Row],[Ipertensione]],1)),0,1)</f>
        <v>0</v>
      </c>
      <c r="AO217" s="11" t="s">
        <v>2384</v>
      </c>
      <c r="AP217" s="18">
        <f>IF(ISERROR(SEARCH("NO",Tabella1[[#This Row],[Cardiopatia ischemica]],1)),1,0)</f>
        <v>1</v>
      </c>
      <c r="AQ217" s="17">
        <f>IF(ISERROR(SEARCH("sconosciuto",Tabella1[[#This Row],[Cardiopatia ischemica]],1)),0,1)</f>
        <v>0</v>
      </c>
      <c r="AR217" s="11" t="s">
        <v>25</v>
      </c>
      <c r="AS217" s="22">
        <f>IF(ISERROR(SEARCH("nega",Tabella1[[#This Row],[Artimie]],1)),0,1)</f>
        <v>1</v>
      </c>
      <c r="AT217" s="11" t="s">
        <v>25</v>
      </c>
      <c r="AU217" s="22">
        <f>IF(ISERROR(SEARCH("nega",Tabella1[[#This Row],[Ipercolesterolemia]],1)),0,1)</f>
        <v>1</v>
      </c>
      <c r="AV217" s="22">
        <f>IF(ISERROR(SEARCH("boh",Tabella1[[#This Row],[Ipercolesterolemia]],1)),0,1)</f>
        <v>0</v>
      </c>
      <c r="AW217" s="11" t="s">
        <v>382</v>
      </c>
      <c r="AX217" s="22">
        <f>IF(ISERROR(SEARCH("Intolleranza",Tabella1[[#This Row],[Diabete]],1)),0,1)</f>
        <v>0</v>
      </c>
      <c r="AY217" s="22">
        <f>IF(ISERROR(SEARCH("si",Tabella1[[#This Row],[Diabete]],1)),0,1)</f>
        <v>0</v>
      </c>
      <c r="AZ217" s="11" t="s">
        <v>2385</v>
      </c>
      <c r="BA217" s="18">
        <f>IF(ISERROR(SEARCH("NDD",Tabella1[[#This Row],[Patologia Tiroidea]],1)),0,1)</f>
        <v>0</v>
      </c>
      <c r="BB217" s="22">
        <f>IF(ISERROR(SEARCH("TIROIDITE",Tabella1[[#This Row],[Patologia Tiroidea]],1)),0,1)</f>
        <v>0</v>
      </c>
      <c r="BC217" s="22">
        <f>IF(ISERROR(SEARCH("HASHIMOTO",Tabella1[[#This Row],[Patologia Tiroidea]],1)),0,1)</f>
        <v>0</v>
      </c>
      <c r="BD217" s="22">
        <f>IF(ISERROR(SEARCH("BASEDOW",Tabella1[[#This Row],[Patologia Tiroidea]],1)),0,1)</f>
        <v>0</v>
      </c>
      <c r="BE217" s="22">
        <f>IF(ISERROR(SEARCH("NOD",Tabella1[[#This Row],[Patologia Tiroidea]],1)),0,1)</f>
        <v>0</v>
      </c>
      <c r="BF217" s="22">
        <f>IF(ISERROR(SEARCH("GOZ",Tabella1[[#This Row],[Patologia Tiroidea]],1)),0,1)</f>
        <v>0</v>
      </c>
      <c r="BG217" s="11" t="s">
        <v>309</v>
      </c>
      <c r="BH217" s="18">
        <f>IF(Tabella1[[#This Row],[Obesità]]="no",0,1)</f>
        <v>1</v>
      </c>
      <c r="BI217" s="11" t="s">
        <v>354</v>
      </c>
      <c r="BJ217" s="22">
        <f>IF(ISERROR(SEARCH("nega",Tabella1[[#This Row],[Reflusso gastroesofageo]],1)),1,0)</f>
        <v>1</v>
      </c>
      <c r="BK217" s="11" t="s">
        <v>2386</v>
      </c>
      <c r="BL217" s="18">
        <f>IF(ISERROR(SEARCH("NDD",Tabella1[[#This Row],[Patologia respiratoria]],1)),0,1)</f>
        <v>0</v>
      </c>
      <c r="BM217" s="18">
        <f>IF(ISERROR(SEARCH("asma",Tabella1[[#This Row],[Patologia respiratoria]],1)),0,1)</f>
        <v>0</v>
      </c>
      <c r="BN217" s="18">
        <f>IF(ISERROR(SEARCH("BPCO",Tabella1[[#This Row],[Patologia respiratoria]],1)),0,1)</f>
        <v>0</v>
      </c>
      <c r="BO217" s="18">
        <f>IF(ISERROR(SEARCH("BRONCOPOLMONITE",Tabella1[[#This Row],[Patologia respiratoria]],1)),0,1)</f>
        <v>0</v>
      </c>
      <c r="BP217" s="18">
        <f>IF(ISERROR(SEARCH("ASMA, OSAS",Tabella1[[#This Row],[Patologia respiratoria]],1)),0,1)</f>
        <v>0</v>
      </c>
      <c r="BQ217" s="18">
        <f>IF(ISERROR(SEARCH("OSAS e BPCO",Tabella1[[#This Row],[Patologia respiratoria]],1)),0,1)</f>
        <v>0</v>
      </c>
      <c r="BR217" s="18">
        <f>IF(ISERROR(SEARCH("OSAS",Tabella1[[#This Row],[Patologia respiratoria]],1)),0,1)</f>
        <v>0</v>
      </c>
      <c r="BS217" s="11" t="s">
        <v>2387</v>
      </c>
      <c r="BT217" s="11" t="s">
        <v>2388</v>
      </c>
      <c r="BU217" s="11" t="s">
        <v>309</v>
      </c>
      <c r="BV217" s="18">
        <f>IF(ISERROR(SEARCH("ndd",Tabella1[[#This Row],[O2 terapia]],1)),0,1)</f>
        <v>0</v>
      </c>
      <c r="BW217" s="17">
        <v>0</v>
      </c>
      <c r="BX217" s="11"/>
      <c r="BY217" s="11" t="s">
        <v>2389</v>
      </c>
      <c r="BZ217" s="17">
        <v>1</v>
      </c>
      <c r="CA217" s="11" t="s">
        <v>2390</v>
      </c>
      <c r="CB217" s="17">
        <v>0</v>
      </c>
      <c r="CC217" s="11" t="s">
        <v>309</v>
      </c>
      <c r="CD217" s="18">
        <v>0</v>
      </c>
      <c r="CE217" s="11" t="s">
        <v>309</v>
      </c>
      <c r="CF217" s="18">
        <v>0</v>
      </c>
      <c r="CG217" s="11" t="s">
        <v>309</v>
      </c>
      <c r="CH217" s="17">
        <v>0</v>
      </c>
      <c r="CI217" s="7" t="s">
        <v>5477</v>
      </c>
      <c r="CJ217" s="18"/>
      <c r="CK217" s="11" t="s">
        <v>935</v>
      </c>
      <c r="CL217" s="17">
        <v>1</v>
      </c>
      <c r="CM217" s="11" t="s">
        <v>309</v>
      </c>
      <c r="CN217" s="17">
        <v>0</v>
      </c>
      <c r="CO217" s="11" t="s">
        <v>309</v>
      </c>
      <c r="CP217" s="18">
        <v>0</v>
      </c>
      <c r="CQ217" s="11" t="s">
        <v>85</v>
      </c>
      <c r="CR217" s="11" t="s">
        <v>663</v>
      </c>
      <c r="CS217" s="11" t="s">
        <v>355</v>
      </c>
      <c r="CT217" s="11" t="s">
        <v>976</v>
      </c>
      <c r="CU217" s="11" t="s">
        <v>2391</v>
      </c>
      <c r="CV217" s="12" t="s">
        <v>2392</v>
      </c>
    </row>
    <row r="218" spans="1:100" ht="384.75">
      <c r="A218" s="1">
        <f t="shared" si="3"/>
        <v>217</v>
      </c>
      <c r="B218" s="5">
        <v>1313</v>
      </c>
      <c r="C218" s="6">
        <v>45341</v>
      </c>
      <c r="D218" s="7" t="s">
        <v>2393</v>
      </c>
      <c r="E218" s="6">
        <v>26600</v>
      </c>
      <c r="F218" s="29">
        <f ca="1">_xlfn.DAYS(NOW(),Tabella1[[#This Row],[Data di Nascita]])/365.25</f>
        <v>52.766598220396986</v>
      </c>
      <c r="G218" s="7" t="s">
        <v>2394</v>
      </c>
      <c r="H218" s="7" t="s">
        <v>2395</v>
      </c>
      <c r="I218" s="7" t="s">
        <v>2396</v>
      </c>
      <c r="J218" s="7" t="s">
        <v>211</v>
      </c>
      <c r="K218" s="7" t="s">
        <v>2397</v>
      </c>
      <c r="L218" s="17">
        <f>IF(ISERROR(SEARCH("EX",Tabella1[[#This Row],[Attività lavorativa]],1)),0,1)</f>
        <v>0</v>
      </c>
      <c r="M218" s="17"/>
      <c r="N218" s="17"/>
      <c r="O218" s="17"/>
      <c r="P218" s="18">
        <v>1</v>
      </c>
      <c r="Q218" s="17"/>
      <c r="R218" s="17"/>
      <c r="S218" s="17"/>
      <c r="T218" s="17">
        <f>IF(ISERROR(SEARCH("NDD",Tabella1[[#This Row],[Attività lavorativa]],1)),0,1)</f>
        <v>0</v>
      </c>
      <c r="U218" s="7" t="s">
        <v>195</v>
      </c>
      <c r="V218" s="22"/>
      <c r="W218" s="22">
        <f>IF(ISERROR(SEARCH("ex",Tabella1[[#This Row],[Fumo]],1)),0,1)</f>
        <v>0</v>
      </c>
      <c r="X218" s="22">
        <f>IF(ISERROR(SEARCH("no",Tabella1[[#This Row],[Fumo]],1)),0,1)</f>
        <v>1</v>
      </c>
      <c r="Y218" s="7" t="s">
        <v>25</v>
      </c>
      <c r="Z218" s="17">
        <f>IF(ISERROR(SEARCH("NDD",Tabella1[[#This Row],[Bevitore alcolici]],1)),0,1)</f>
        <v>0</v>
      </c>
      <c r="AA218" s="17">
        <f>IF(ISERROR(SEARCH("raro",Tabella1[[#This Row],[Bevitore alcolici]],1)),0,1)</f>
        <v>0</v>
      </c>
      <c r="AB218" s="17">
        <f>IF(ISERROR(SEARCH("saltuariamente",Tabella1[[#This Row],[Bevitore alcolici]],1)),0,1)</f>
        <v>0</v>
      </c>
      <c r="AC218" s="17">
        <f>IF(ISERROR(SEARCH("nega",Tabella1[[#This Row],[Bevitore alcolici]],1)),0,1)</f>
        <v>1</v>
      </c>
      <c r="AD218" s="17">
        <f>IF(ISERROR(SEARCH("potus",Tabella1[[#This Row],[Bevitore alcolici]],1)),0,1)</f>
        <v>0</v>
      </c>
      <c r="AE218" s="7" t="s">
        <v>5652</v>
      </c>
      <c r="AF218" s="17"/>
      <c r="AG218" s="18">
        <v>1</v>
      </c>
      <c r="AH218" s="18"/>
      <c r="AI218" s="18"/>
      <c r="AJ218" s="18"/>
      <c r="AK218" s="7" t="s">
        <v>194</v>
      </c>
      <c r="AL218" s="17">
        <f>IF(ISERROR(SEARCH("si",Tabella1[[#This Row],[Patente di guida]],1)),0,1)</f>
        <v>1</v>
      </c>
      <c r="AM218" s="7" t="s">
        <v>195</v>
      </c>
      <c r="AN218" s="17">
        <f>IF(ISERROR(SEARCH("no",Tabella1[[#This Row],[Ipertensione]],1)),0,1)</f>
        <v>1</v>
      </c>
      <c r="AO218" s="7" t="s">
        <v>3738</v>
      </c>
      <c r="AP218" s="18">
        <f>IF(ISERROR(SEARCH("NO",Tabella1[[#This Row],[Cardiopatia ischemica]],1)),1,0)</f>
        <v>0</v>
      </c>
      <c r="AQ218" s="17">
        <f>IF(ISERROR(SEARCH("sconosciuto",Tabella1[[#This Row],[Cardiopatia ischemica]],1)),0,1)</f>
        <v>0</v>
      </c>
      <c r="AR218" s="7" t="s">
        <v>25</v>
      </c>
      <c r="AS218" s="22">
        <f>IF(ISERROR(SEARCH("nega",Tabella1[[#This Row],[Artimie]],1)),0,1)</f>
        <v>1</v>
      </c>
      <c r="AT218" s="7" t="s">
        <v>25</v>
      </c>
      <c r="AU218" s="22">
        <f>IF(ISERROR(SEARCH("nega",Tabella1[[#This Row],[Ipercolesterolemia]],1)),0,1)</f>
        <v>1</v>
      </c>
      <c r="AV218" s="22">
        <f>IF(ISERROR(SEARCH("boh",Tabella1[[#This Row],[Ipercolesterolemia]],1)),0,1)</f>
        <v>0</v>
      </c>
      <c r="AW218" s="7" t="s">
        <v>8</v>
      </c>
      <c r="AX218" s="22">
        <f>IF(ISERROR(SEARCH("Intolleranza",Tabella1[[#This Row],[Diabete]],1)),0,1)</f>
        <v>0</v>
      </c>
      <c r="AY218" s="22">
        <f>IF(ISERROR(SEARCH("si",Tabella1[[#This Row],[Diabete]],1)),0,1)</f>
        <v>0</v>
      </c>
      <c r="AZ218" s="7" t="s">
        <v>195</v>
      </c>
      <c r="BA218" s="17">
        <f>IF(ISERROR(SEARCH("NDD",Tabella1[[#This Row],[Patologia Tiroidea]],1)),0,1)</f>
        <v>0</v>
      </c>
      <c r="BB218" s="22">
        <f>IF(ISERROR(SEARCH("TIROIDITE",Tabella1[[#This Row],[Patologia Tiroidea]],1)),0,1)</f>
        <v>0</v>
      </c>
      <c r="BC218" s="22">
        <f>IF(ISERROR(SEARCH("HASHIMOTO",Tabella1[[#This Row],[Patologia Tiroidea]],1)),0,1)</f>
        <v>0</v>
      </c>
      <c r="BD218" s="22">
        <f>IF(ISERROR(SEARCH("BASEDOW",Tabella1[[#This Row],[Patologia Tiroidea]],1)),0,1)</f>
        <v>0</v>
      </c>
      <c r="BE218" s="22">
        <f>IF(ISERROR(SEARCH("NOD",Tabella1[[#This Row],[Patologia Tiroidea]],1)),0,1)</f>
        <v>0</v>
      </c>
      <c r="BF218" s="22">
        <f>IF(ISERROR(SEARCH("GOZ",Tabella1[[#This Row],[Patologia Tiroidea]],1)),0,1)</f>
        <v>0</v>
      </c>
      <c r="BG218" s="7" t="s">
        <v>8</v>
      </c>
      <c r="BH218" s="17">
        <f>IF(Tabella1[[#This Row],[Obesità]]="no",0,1)</f>
        <v>0</v>
      </c>
      <c r="BI218" s="7" t="s">
        <v>2398</v>
      </c>
      <c r="BJ218" s="22">
        <f>IF(ISERROR(SEARCH("nega",Tabella1[[#This Row],[Reflusso gastroesofageo]],1)),1,0)</f>
        <v>1</v>
      </c>
      <c r="BK218" s="7" t="s">
        <v>195</v>
      </c>
      <c r="BL218" s="17">
        <f>IF(ISERROR(SEARCH("NDD",Tabella1[[#This Row],[Patologia respiratoria]],1)),0,1)</f>
        <v>0</v>
      </c>
      <c r="BM218" s="17">
        <f>IF(ISERROR(SEARCH("asma",Tabella1[[#This Row],[Patologia respiratoria]],1)),0,1)</f>
        <v>0</v>
      </c>
      <c r="BN218" s="17">
        <f>IF(ISERROR(SEARCH("BPCO",Tabella1[[#This Row],[Patologia respiratoria]],1)),0,1)</f>
        <v>0</v>
      </c>
      <c r="BO218" s="17">
        <f>IF(ISERROR(SEARCH("BRONCOPOLMONITE",Tabella1[[#This Row],[Patologia respiratoria]],1)),0,1)</f>
        <v>0</v>
      </c>
      <c r="BP218" s="17">
        <f>IF(ISERROR(SEARCH("ASMA, OSAS",Tabella1[[#This Row],[Patologia respiratoria]],1)),0,1)</f>
        <v>0</v>
      </c>
      <c r="BQ218" s="17">
        <f>IF(ISERROR(SEARCH("OSAS e BPCO",Tabella1[[#This Row],[Patologia respiratoria]],1)),0,1)</f>
        <v>0</v>
      </c>
      <c r="BR218" s="17">
        <f>IF(ISERROR(SEARCH("OSAS",Tabella1[[#This Row],[Patologia respiratoria]],1)),0,1)</f>
        <v>0</v>
      </c>
      <c r="BS218" s="7" t="s">
        <v>2399</v>
      </c>
      <c r="BT218" s="7" t="s">
        <v>2400</v>
      </c>
      <c r="BU218" s="7" t="s">
        <v>309</v>
      </c>
      <c r="BV218" s="17">
        <f>IF(ISERROR(SEARCH("ndd",Tabella1[[#This Row],[O2 terapia]],1)),0,1)</f>
        <v>0</v>
      </c>
      <c r="BW218" s="17">
        <v>0</v>
      </c>
      <c r="BX218" s="7"/>
      <c r="BY218" s="7" t="s">
        <v>2401</v>
      </c>
      <c r="BZ218" s="17">
        <v>1</v>
      </c>
      <c r="CA218" s="7" t="s">
        <v>2402</v>
      </c>
      <c r="CB218" s="17">
        <v>1</v>
      </c>
      <c r="CC218" s="7" t="s">
        <v>309</v>
      </c>
      <c r="CD218" s="18">
        <v>0</v>
      </c>
      <c r="CE218" s="7" t="s">
        <v>2403</v>
      </c>
      <c r="CF218" s="17">
        <v>1</v>
      </c>
      <c r="CG218" s="7" t="s">
        <v>194</v>
      </c>
      <c r="CH218" s="17">
        <v>1</v>
      </c>
      <c r="CI218" s="7" t="s">
        <v>5477</v>
      </c>
      <c r="CJ218" s="17"/>
      <c r="CK218" s="7" t="s">
        <v>195</v>
      </c>
      <c r="CL218" s="17">
        <v>0</v>
      </c>
      <c r="CM218" s="7" t="s">
        <v>2404</v>
      </c>
      <c r="CN218" s="17">
        <v>1</v>
      </c>
      <c r="CO218" s="7" t="s">
        <v>195</v>
      </c>
      <c r="CP218" s="18">
        <v>0</v>
      </c>
      <c r="CQ218" s="7" t="s">
        <v>69</v>
      </c>
      <c r="CR218" s="7" t="s">
        <v>103</v>
      </c>
      <c r="CS218" s="7" t="s">
        <v>71</v>
      </c>
      <c r="CT218" s="7" t="s">
        <v>122</v>
      </c>
      <c r="CU218" s="7" t="s">
        <v>2405</v>
      </c>
      <c r="CV218" s="8" t="s">
        <v>2406</v>
      </c>
    </row>
    <row r="219" spans="1:100" ht="370.5">
      <c r="A219" s="1">
        <f t="shared" si="3"/>
        <v>218</v>
      </c>
      <c r="B219" s="9">
        <v>1320</v>
      </c>
      <c r="C219" s="10">
        <v>45343</v>
      </c>
      <c r="D219" s="11" t="s">
        <v>2407</v>
      </c>
      <c r="E219" s="10">
        <v>26133</v>
      </c>
      <c r="F219" s="29">
        <f ca="1">_xlfn.DAYS(NOW(),Tabella1[[#This Row],[Data di Nascita]])/365.25</f>
        <v>54.045174537987677</v>
      </c>
      <c r="G219" s="11" t="s">
        <v>2408</v>
      </c>
      <c r="H219" s="11" t="s">
        <v>2409</v>
      </c>
      <c r="I219" s="11" t="s">
        <v>2293</v>
      </c>
      <c r="J219" s="11" t="s">
        <v>2410</v>
      </c>
      <c r="K219" s="11" t="s">
        <v>2411</v>
      </c>
      <c r="L219" s="18">
        <f>IF(ISERROR(SEARCH("EX",Tabella1[[#This Row],[Attività lavorativa]],1)),0,1)</f>
        <v>0</v>
      </c>
      <c r="M219" s="18">
        <v>1</v>
      </c>
      <c r="N219" s="18"/>
      <c r="O219" s="18"/>
      <c r="P219" s="18"/>
      <c r="Q219" s="18"/>
      <c r="R219" s="18"/>
      <c r="S219" s="18"/>
      <c r="T219" s="17">
        <f>IF(ISERROR(SEARCH("NDD",Tabella1[[#This Row],[Attività lavorativa]],1)),0,1)</f>
        <v>0</v>
      </c>
      <c r="U219" s="11" t="s">
        <v>8</v>
      </c>
      <c r="V219" s="22"/>
      <c r="W219" s="22">
        <f>IF(ISERROR(SEARCH("ex",Tabella1[[#This Row],[Fumo]],1)),0,1)</f>
        <v>0</v>
      </c>
      <c r="X219" s="22">
        <f>IF(ISERROR(SEARCH("no",Tabella1[[#This Row],[Fumo]],1)),0,1)</f>
        <v>1</v>
      </c>
      <c r="Y219" s="11" t="s">
        <v>3693</v>
      </c>
      <c r="Z219" s="18">
        <f>IF(ISERROR(SEARCH("NDD",Tabella1[[#This Row],[Bevitore alcolici]],1)),0,1)</f>
        <v>0</v>
      </c>
      <c r="AA219" s="17">
        <f>IF(ISERROR(SEARCH("raro",Tabella1[[#This Row],[Bevitore alcolici]],1)),0,1)</f>
        <v>0</v>
      </c>
      <c r="AB219" s="17">
        <f>IF(ISERROR(SEARCH("saltuariamente",Tabella1[[#This Row],[Bevitore alcolici]],1)),0,1)</f>
        <v>0</v>
      </c>
      <c r="AC219" s="17">
        <f>IF(ISERROR(SEARCH("nega",Tabella1[[#This Row],[Bevitore alcolici]],1)),0,1)</f>
        <v>1</v>
      </c>
      <c r="AD219" s="17">
        <f>IF(ISERROR(SEARCH("potus",Tabella1[[#This Row],[Bevitore alcolici]],1)),0,1)</f>
        <v>0</v>
      </c>
      <c r="AE219" s="11" t="s">
        <v>5653</v>
      </c>
      <c r="AF219" s="18"/>
      <c r="AG219" s="18"/>
      <c r="AH219" s="18"/>
      <c r="AI219" s="18"/>
      <c r="AJ219" s="18"/>
      <c r="AK219" s="11" t="s">
        <v>194</v>
      </c>
      <c r="AL219" s="18">
        <f>IF(ISERROR(SEARCH("si",Tabella1[[#This Row],[Patente di guida]],1)),0,1)</f>
        <v>1</v>
      </c>
      <c r="AM219" s="11" t="s">
        <v>195</v>
      </c>
      <c r="AN219" s="18">
        <f>IF(ISERROR(SEARCH("no",Tabella1[[#This Row],[Ipertensione]],1)),0,1)</f>
        <v>1</v>
      </c>
      <c r="AO219" s="11" t="s">
        <v>382</v>
      </c>
      <c r="AP219" s="18">
        <f>IF(ISERROR(SEARCH("NO",Tabella1[[#This Row],[Cardiopatia ischemica]],1)),1,0)</f>
        <v>0</v>
      </c>
      <c r="AQ219" s="17">
        <f>IF(ISERROR(SEARCH("sconosciuto",Tabella1[[#This Row],[Cardiopatia ischemica]],1)),0,1)</f>
        <v>0</v>
      </c>
      <c r="AR219" s="11" t="s">
        <v>25</v>
      </c>
      <c r="AS219" s="22">
        <f>IF(ISERROR(SEARCH("nega",Tabella1[[#This Row],[Artimie]],1)),0,1)</f>
        <v>1</v>
      </c>
      <c r="AT219" s="11" t="s">
        <v>2412</v>
      </c>
      <c r="AU219" s="22">
        <f>IF(ISERROR(SEARCH("nega",Tabella1[[#This Row],[Ipercolesterolemia]],1)),0,1)</f>
        <v>0</v>
      </c>
      <c r="AV219" s="22">
        <f>IF(ISERROR(SEARCH("boh",Tabella1[[#This Row],[Ipercolesterolemia]],1)),0,1)</f>
        <v>0</v>
      </c>
      <c r="AW219" s="11" t="s">
        <v>195</v>
      </c>
      <c r="AX219" s="22">
        <f>IF(ISERROR(SEARCH("Intolleranza",Tabella1[[#This Row],[Diabete]],1)),0,1)</f>
        <v>0</v>
      </c>
      <c r="AY219" s="22">
        <f>IF(ISERROR(SEARCH("si",Tabella1[[#This Row],[Diabete]],1)),0,1)</f>
        <v>0</v>
      </c>
      <c r="AZ219" s="11" t="s">
        <v>3771</v>
      </c>
      <c r="BA219" s="18">
        <f>IF(ISERROR(SEARCH("NDD",Tabella1[[#This Row],[Patologia Tiroidea]],1)),0,1)</f>
        <v>0</v>
      </c>
      <c r="BB219" s="22">
        <f>IF(ISERROR(SEARCH("TIROIDITE",Tabella1[[#This Row],[Patologia Tiroidea]],1)),0,1)</f>
        <v>0</v>
      </c>
      <c r="BC219" s="22">
        <f>IF(ISERROR(SEARCH("HASHIMOTO",Tabella1[[#This Row],[Patologia Tiroidea]],1)),0,1)</f>
        <v>0</v>
      </c>
      <c r="BD219" s="22">
        <f>IF(ISERROR(SEARCH("BASEDOW",Tabella1[[#This Row],[Patologia Tiroidea]],1)),0,1)</f>
        <v>0</v>
      </c>
      <c r="BE219" s="22">
        <f>IF(ISERROR(SEARCH("NOD",Tabella1[[#This Row],[Patologia Tiroidea]],1)),0,1)</f>
        <v>0</v>
      </c>
      <c r="BF219" s="22">
        <f>IF(ISERROR(SEARCH("GOZ",Tabella1[[#This Row],[Patologia Tiroidea]],1)),0,1)</f>
        <v>0</v>
      </c>
      <c r="BG219" s="11" t="s">
        <v>8</v>
      </c>
      <c r="BH219" s="18">
        <f>IF(Tabella1[[#This Row],[Obesità]]="no",0,1)</f>
        <v>0</v>
      </c>
      <c r="BI219" s="11" t="s">
        <v>2413</v>
      </c>
      <c r="BJ219" s="22">
        <f>IF(ISERROR(SEARCH("nega",Tabella1[[#This Row],[Reflusso gastroesofageo]],1)),1,0)</f>
        <v>1</v>
      </c>
      <c r="BK219" s="11" t="s">
        <v>2414</v>
      </c>
      <c r="BL219" s="18">
        <f>IF(ISERROR(SEARCH("NDD",Tabella1[[#This Row],[Patologia respiratoria]],1)),0,1)</f>
        <v>0</v>
      </c>
      <c r="BM219" s="18">
        <f>IF(ISERROR(SEARCH("asma",Tabella1[[#This Row],[Patologia respiratoria]],1)),0,1)</f>
        <v>0</v>
      </c>
      <c r="BN219" s="18">
        <f>IF(ISERROR(SEARCH("BPCO",Tabella1[[#This Row],[Patologia respiratoria]],1)),0,1)</f>
        <v>0</v>
      </c>
      <c r="BO219" s="18">
        <f>IF(ISERROR(SEARCH("BRONCOPOLMONITE",Tabella1[[#This Row],[Patologia respiratoria]],1)),0,1)</f>
        <v>0</v>
      </c>
      <c r="BP219" s="18">
        <f>IF(ISERROR(SEARCH("ASMA, OSAS",Tabella1[[#This Row],[Patologia respiratoria]],1)),0,1)</f>
        <v>0</v>
      </c>
      <c r="BQ219" s="18">
        <f>IF(ISERROR(SEARCH("OSAS e BPCO",Tabella1[[#This Row],[Patologia respiratoria]],1)),0,1)</f>
        <v>0</v>
      </c>
      <c r="BR219" s="18">
        <f>IF(ISERROR(SEARCH("OSAS",Tabella1[[#This Row],[Patologia respiratoria]],1)),0,1)</f>
        <v>0</v>
      </c>
      <c r="BS219" s="11" t="s">
        <v>2415</v>
      </c>
      <c r="BT219" s="11" t="s">
        <v>2416</v>
      </c>
      <c r="BU219" s="11" t="s">
        <v>8</v>
      </c>
      <c r="BV219" s="18">
        <f>IF(ISERROR(SEARCH("ndd",Tabella1[[#This Row],[O2 terapia]],1)),0,1)</f>
        <v>0</v>
      </c>
      <c r="BW219" s="17">
        <v>0</v>
      </c>
      <c r="BX219" s="11" t="s">
        <v>2417</v>
      </c>
      <c r="BY219" s="11" t="s">
        <v>25</v>
      </c>
      <c r="BZ219" s="18">
        <v>0</v>
      </c>
      <c r="CA219" s="11" t="s">
        <v>2418</v>
      </c>
      <c r="CB219" s="17">
        <v>1</v>
      </c>
      <c r="CC219" s="11" t="s">
        <v>2419</v>
      </c>
      <c r="CD219" s="17">
        <v>1</v>
      </c>
      <c r="CE219" s="11" t="s">
        <v>25</v>
      </c>
      <c r="CF219" s="18">
        <v>0</v>
      </c>
      <c r="CG219" s="11" t="s">
        <v>2420</v>
      </c>
      <c r="CH219" s="17">
        <v>1</v>
      </c>
      <c r="CI219" s="7" t="s">
        <v>5477</v>
      </c>
      <c r="CJ219" s="18"/>
      <c r="CK219" s="11" t="s">
        <v>2421</v>
      </c>
      <c r="CL219" s="17">
        <v>1</v>
      </c>
      <c r="CM219" s="11" t="s">
        <v>309</v>
      </c>
      <c r="CN219" s="17">
        <v>0</v>
      </c>
      <c r="CO219" s="11" t="s">
        <v>2422</v>
      </c>
      <c r="CP219" s="18">
        <v>0</v>
      </c>
      <c r="CQ219" s="11" t="s">
        <v>54</v>
      </c>
      <c r="CR219" s="11" t="s">
        <v>2423</v>
      </c>
      <c r="CS219" s="11" t="s">
        <v>71</v>
      </c>
      <c r="CT219" s="11" t="s">
        <v>2424</v>
      </c>
      <c r="CU219" s="11" t="s">
        <v>2425</v>
      </c>
      <c r="CV219" s="12" t="s">
        <v>2426</v>
      </c>
    </row>
    <row r="220" spans="1:100" ht="156.75">
      <c r="A220" s="1">
        <f t="shared" si="3"/>
        <v>219</v>
      </c>
      <c r="B220" s="5">
        <v>1321</v>
      </c>
      <c r="C220" s="6">
        <v>45344</v>
      </c>
      <c r="D220" s="7" t="s">
        <v>2427</v>
      </c>
      <c r="E220" s="6">
        <v>31370</v>
      </c>
      <c r="F220" s="29">
        <f ca="1">_xlfn.DAYS(NOW(),Tabella1[[#This Row],[Data di Nascita]])/365.25</f>
        <v>39.707049965776868</v>
      </c>
      <c r="G220" s="7" t="s">
        <v>2428</v>
      </c>
      <c r="H220" s="7" t="s">
        <v>2429</v>
      </c>
      <c r="I220" s="7" t="s">
        <v>2142</v>
      </c>
      <c r="J220" s="7" t="s">
        <v>2430</v>
      </c>
      <c r="K220" s="7" t="s">
        <v>2431</v>
      </c>
      <c r="L220" s="17">
        <f>IF(ISERROR(SEARCH("EX",Tabella1[[#This Row],[Attività lavorativa]],1)),0,1)</f>
        <v>0</v>
      </c>
      <c r="M220" s="17"/>
      <c r="N220" s="17"/>
      <c r="O220" s="17"/>
      <c r="P220" s="17"/>
      <c r="Q220" s="17"/>
      <c r="R220" s="17"/>
      <c r="S220" s="17"/>
      <c r="T220" s="17">
        <f>IF(ISERROR(SEARCH("NDD",Tabella1[[#This Row],[Attività lavorativa]],1)),0,1)</f>
        <v>0</v>
      </c>
      <c r="U220" s="7" t="s">
        <v>8</v>
      </c>
      <c r="V220" s="22"/>
      <c r="W220" s="22">
        <f>IF(ISERROR(SEARCH("ex",Tabella1[[#This Row],[Fumo]],1)),0,1)</f>
        <v>0</v>
      </c>
      <c r="X220" s="22">
        <f>IF(ISERROR(SEARCH("no",Tabella1[[#This Row],[Fumo]],1)),0,1)</f>
        <v>1</v>
      </c>
      <c r="Y220" s="7" t="s">
        <v>26</v>
      </c>
      <c r="Z220" s="17">
        <f>IF(ISERROR(SEARCH("NDD",Tabella1[[#This Row],[Bevitore alcolici]],1)),0,1)</f>
        <v>0</v>
      </c>
      <c r="AA220" s="17">
        <f>IF(ISERROR(SEARCH("raro",Tabella1[[#This Row],[Bevitore alcolici]],1)),0,1)</f>
        <v>0</v>
      </c>
      <c r="AB220" s="17">
        <f>IF(ISERROR(SEARCH("saltuariamente",Tabella1[[#This Row],[Bevitore alcolici]],1)),0,1)</f>
        <v>1</v>
      </c>
      <c r="AC220" s="17">
        <f>IF(ISERROR(SEARCH("nega",Tabella1[[#This Row],[Bevitore alcolici]],1)),0,1)</f>
        <v>0</v>
      </c>
      <c r="AD220" s="17">
        <f>IF(ISERROR(SEARCH("potus",Tabella1[[#This Row],[Bevitore alcolici]],1)),0,1)</f>
        <v>0</v>
      </c>
      <c r="AE220" s="7" t="s">
        <v>2432</v>
      </c>
      <c r="AF220" s="17"/>
      <c r="AG220" s="18">
        <v>1</v>
      </c>
      <c r="AH220" s="18"/>
      <c r="AI220" s="18"/>
      <c r="AJ220" s="18"/>
      <c r="AK220" s="7" t="s">
        <v>28</v>
      </c>
      <c r="AL220" s="17">
        <f>IF(ISERROR(SEARCH("si",Tabella1[[#This Row],[Patente di guida]],1)),0,1)</f>
        <v>1</v>
      </c>
      <c r="AM220" s="7" t="s">
        <v>8</v>
      </c>
      <c r="AN220" s="17">
        <f>IF(ISERROR(SEARCH("no",Tabella1[[#This Row],[Ipertensione]],1)),0,1)</f>
        <v>1</v>
      </c>
      <c r="AO220" s="7" t="s">
        <v>382</v>
      </c>
      <c r="AP220" s="18">
        <f>IF(ISERROR(SEARCH("NO",Tabella1[[#This Row],[Cardiopatia ischemica]],1)),1,0)</f>
        <v>0</v>
      </c>
      <c r="AQ220" s="17">
        <f>IF(ISERROR(SEARCH("sconosciuto",Tabella1[[#This Row],[Cardiopatia ischemica]],1)),0,1)</f>
        <v>0</v>
      </c>
      <c r="AR220" s="7" t="s">
        <v>25</v>
      </c>
      <c r="AS220" s="17">
        <f>IF(ISERROR(SEARCH("nega",Tabella1[[#This Row],[Artimie]],1)),0,1)</f>
        <v>1</v>
      </c>
      <c r="AT220" s="7" t="s">
        <v>25</v>
      </c>
      <c r="AU220" s="17">
        <f>IF(ISERROR(SEARCH("nega",Tabella1[[#This Row],[Ipercolesterolemia]],1)),0,1)</f>
        <v>1</v>
      </c>
      <c r="AV220" s="17">
        <f>IF(ISERROR(SEARCH("boh",Tabella1[[#This Row],[Ipercolesterolemia]],1)),0,1)</f>
        <v>0</v>
      </c>
      <c r="AW220" s="7" t="s">
        <v>8</v>
      </c>
      <c r="AX220" s="17">
        <f>IF(ISERROR(SEARCH("Intolleranza",Tabella1[[#This Row],[Diabete]],1)),0,1)</f>
        <v>0</v>
      </c>
      <c r="AY220" s="17">
        <f>IF(ISERROR(SEARCH("si",Tabella1[[#This Row],[Diabete]],1)),0,1)</f>
        <v>0</v>
      </c>
      <c r="AZ220" s="7" t="s">
        <v>8</v>
      </c>
      <c r="BA220" s="17">
        <f>IF(ISERROR(SEARCH("NDD",Tabella1[[#This Row],[Patologia Tiroidea]],1)),0,1)</f>
        <v>0</v>
      </c>
      <c r="BB220" s="17">
        <f>IF(ISERROR(SEARCH("TIROIDITE",Tabella1[[#This Row],[Patologia Tiroidea]],1)),0,1)</f>
        <v>0</v>
      </c>
      <c r="BC220" s="17">
        <f>IF(ISERROR(SEARCH("HASHIMOTO",Tabella1[[#This Row],[Patologia Tiroidea]],1)),0,1)</f>
        <v>0</v>
      </c>
      <c r="BD220" s="17">
        <f>IF(ISERROR(SEARCH("BASEDOW",Tabella1[[#This Row],[Patologia Tiroidea]],1)),0,1)</f>
        <v>0</v>
      </c>
      <c r="BE220" s="17">
        <f>IF(ISERROR(SEARCH("NOD",Tabella1[[#This Row],[Patologia Tiroidea]],1)),0,1)</f>
        <v>0</v>
      </c>
      <c r="BF220" s="17">
        <f>IF(ISERROR(SEARCH("GOZ",Tabella1[[#This Row],[Patologia Tiroidea]],1)),0,1)</f>
        <v>0</v>
      </c>
      <c r="BG220" s="7" t="s">
        <v>8</v>
      </c>
      <c r="BH220" s="17">
        <f>IF(Tabella1[[#This Row],[Obesità]]="no",0,1)</f>
        <v>0</v>
      </c>
      <c r="BI220" s="7" t="s">
        <v>7</v>
      </c>
      <c r="BJ220" s="22">
        <f>IF(ISERROR(SEARCH("nega",Tabella1[[#This Row],[Reflusso gastroesofageo]],1)),1,0)</f>
        <v>1</v>
      </c>
      <c r="BK220" s="7" t="s">
        <v>8</v>
      </c>
      <c r="BL220" s="17">
        <f>IF(ISERROR(SEARCH("NDD",Tabella1[[#This Row],[Patologia respiratoria]],1)),0,1)</f>
        <v>0</v>
      </c>
      <c r="BM220" s="17">
        <f>IF(ISERROR(SEARCH("asma",Tabella1[[#This Row],[Patologia respiratoria]],1)),0,1)</f>
        <v>0</v>
      </c>
      <c r="BN220" s="17">
        <f>IF(ISERROR(SEARCH("BPCO",Tabella1[[#This Row],[Patologia respiratoria]],1)),0,1)</f>
        <v>0</v>
      </c>
      <c r="BO220" s="17">
        <f>IF(ISERROR(SEARCH("BRONCOPOLMONITE",Tabella1[[#This Row],[Patologia respiratoria]],1)),0,1)</f>
        <v>0</v>
      </c>
      <c r="BP220" s="17">
        <f>IF(ISERROR(SEARCH("ASMA, OSAS",Tabella1[[#This Row],[Patologia respiratoria]],1)),0,1)</f>
        <v>0</v>
      </c>
      <c r="BQ220" s="17">
        <f>IF(ISERROR(SEARCH("OSAS e BPCO",Tabella1[[#This Row],[Patologia respiratoria]],1)),0,1)</f>
        <v>0</v>
      </c>
      <c r="BR220" s="17">
        <f>IF(ISERROR(SEARCH("OSAS",Tabella1[[#This Row],[Patologia respiratoria]],1)),0,1)</f>
        <v>0</v>
      </c>
      <c r="BS220" s="7" t="s">
        <v>2433</v>
      </c>
      <c r="BT220" s="7" t="s">
        <v>132</v>
      </c>
      <c r="BU220" s="7" t="s">
        <v>5477</v>
      </c>
      <c r="BV220" s="17">
        <f>IF(ISERROR(SEARCH("ndd",Tabella1[[#This Row],[O2 terapia]],1)),0,1)</f>
        <v>1</v>
      </c>
      <c r="BW220" s="17"/>
      <c r="BX220" s="7"/>
      <c r="BY220" s="7" t="s">
        <v>8</v>
      </c>
      <c r="BZ220" s="18">
        <v>0</v>
      </c>
      <c r="CA220" s="7" t="s">
        <v>2434</v>
      </c>
      <c r="CB220" s="17">
        <v>1</v>
      </c>
      <c r="CC220" s="7" t="s">
        <v>8</v>
      </c>
      <c r="CD220" s="18">
        <v>0</v>
      </c>
      <c r="CE220" s="7" t="s">
        <v>8</v>
      </c>
      <c r="CF220" s="18">
        <v>0</v>
      </c>
      <c r="CG220" s="7" t="s">
        <v>2435</v>
      </c>
      <c r="CH220" s="17">
        <v>1</v>
      </c>
      <c r="CI220" s="7" t="s">
        <v>2436</v>
      </c>
      <c r="CJ220" s="17">
        <v>1</v>
      </c>
      <c r="CK220" s="7" t="s">
        <v>2338</v>
      </c>
      <c r="CL220" s="17">
        <v>1</v>
      </c>
      <c r="CM220" s="7" t="s">
        <v>8</v>
      </c>
      <c r="CN220" s="17">
        <v>0</v>
      </c>
      <c r="CO220" s="7" t="s">
        <v>8</v>
      </c>
      <c r="CP220" s="18">
        <v>0</v>
      </c>
      <c r="CQ220" s="7" t="s">
        <v>69</v>
      </c>
      <c r="CR220" s="7" t="s">
        <v>168</v>
      </c>
      <c r="CS220" s="7" t="s">
        <v>355</v>
      </c>
      <c r="CT220" s="7" t="s">
        <v>234</v>
      </c>
      <c r="CU220" s="7" t="s">
        <v>2437</v>
      </c>
      <c r="CV220" s="8"/>
    </row>
    <row r="221" spans="1:100" ht="399">
      <c r="A221" s="1">
        <f t="shared" si="3"/>
        <v>220</v>
      </c>
      <c r="B221" s="9">
        <v>1322</v>
      </c>
      <c r="C221" s="10">
        <v>45344</v>
      </c>
      <c r="D221" s="11" t="s">
        <v>2438</v>
      </c>
      <c r="E221" s="10">
        <v>12829</v>
      </c>
      <c r="F221" s="29">
        <f ca="1">_xlfn.DAYS(NOW(),Tabella1[[#This Row],[Data di Nascita]])/365.25</f>
        <v>90.469541409993155</v>
      </c>
      <c r="G221" s="11" t="s">
        <v>2439</v>
      </c>
      <c r="H221" s="11" t="s">
        <v>2440</v>
      </c>
      <c r="I221" s="11" t="s">
        <v>2293</v>
      </c>
      <c r="J221" s="11" t="s">
        <v>211</v>
      </c>
      <c r="K221" s="11" t="s">
        <v>2441</v>
      </c>
      <c r="L221" s="18">
        <f>IF(ISERROR(SEARCH("EX",Tabella1[[#This Row],[Attività lavorativa]],1)),0,1)</f>
        <v>1</v>
      </c>
      <c r="M221" s="18"/>
      <c r="N221" s="18"/>
      <c r="O221" s="18"/>
      <c r="P221" s="18">
        <v>1</v>
      </c>
      <c r="Q221" s="18"/>
      <c r="R221" s="18"/>
      <c r="S221" s="18"/>
      <c r="T221" s="17">
        <f>IF(ISERROR(SEARCH("NDD",Tabella1[[#This Row],[Attività lavorativa]],1)),0,1)</f>
        <v>0</v>
      </c>
      <c r="U221" s="11" t="s">
        <v>2442</v>
      </c>
      <c r="V221" s="22"/>
      <c r="W221" s="22">
        <f>IF(ISERROR(SEARCH("ex",Tabella1[[#This Row],[Fumo]],1)),0,1)</f>
        <v>0</v>
      </c>
      <c r="X221" s="22">
        <f>IF(ISERROR(SEARCH("no",Tabella1[[#This Row],[Fumo]],1)),0,1)</f>
        <v>1</v>
      </c>
      <c r="Y221" s="11" t="s">
        <v>25</v>
      </c>
      <c r="Z221" s="18">
        <f>IF(ISERROR(SEARCH("NDD",Tabella1[[#This Row],[Bevitore alcolici]],1)),0,1)</f>
        <v>0</v>
      </c>
      <c r="AA221" s="17">
        <f>IF(ISERROR(SEARCH("raro",Tabella1[[#This Row],[Bevitore alcolici]],1)),0,1)</f>
        <v>0</v>
      </c>
      <c r="AB221" s="17">
        <f>IF(ISERROR(SEARCH("saltuariamente",Tabella1[[#This Row],[Bevitore alcolici]],1)),0,1)</f>
        <v>0</v>
      </c>
      <c r="AC221" s="17">
        <f>IF(ISERROR(SEARCH("nega",Tabella1[[#This Row],[Bevitore alcolici]],1)),0,1)</f>
        <v>1</v>
      </c>
      <c r="AD221" s="17">
        <f>IF(ISERROR(SEARCH("potus",Tabella1[[#This Row],[Bevitore alcolici]],1)),0,1)</f>
        <v>0</v>
      </c>
      <c r="AE221" s="11" t="s">
        <v>5654</v>
      </c>
      <c r="AF221" s="18"/>
      <c r="AG221" s="18"/>
      <c r="AH221" s="18"/>
      <c r="AI221" s="18"/>
      <c r="AJ221" s="18"/>
      <c r="AK221" s="11" t="s">
        <v>28</v>
      </c>
      <c r="AL221" s="18">
        <f>IF(ISERROR(SEARCH("si",Tabella1[[#This Row],[Patente di guida]],1)),0,1)</f>
        <v>1</v>
      </c>
      <c r="AM221" s="11" t="s">
        <v>28</v>
      </c>
      <c r="AN221" s="18">
        <f>IF(ISERROR(SEARCH("no",Tabella1[[#This Row],[Ipertensione]],1)),0,1)</f>
        <v>0</v>
      </c>
      <c r="AO221" s="11" t="s">
        <v>3739</v>
      </c>
      <c r="AP221" s="18">
        <f>IF(ISERROR(SEARCH("NO",Tabella1[[#This Row],[Cardiopatia ischemica]],1)),1,0)</f>
        <v>0</v>
      </c>
      <c r="AQ221" s="17">
        <f>IF(ISERROR(SEARCH("sconosciuto",Tabella1[[#This Row],[Cardiopatia ischemica]],1)),0,1)</f>
        <v>0</v>
      </c>
      <c r="AR221" s="11" t="s">
        <v>25</v>
      </c>
      <c r="AS221" s="22">
        <f>IF(ISERROR(SEARCH("nega",Tabella1[[#This Row],[Artimie]],1)),0,1)</f>
        <v>1</v>
      </c>
      <c r="AT221" s="11" t="s">
        <v>25</v>
      </c>
      <c r="AU221" s="22">
        <f>IF(ISERROR(SEARCH("nega",Tabella1[[#This Row],[Ipercolesterolemia]],1)),0,1)</f>
        <v>1</v>
      </c>
      <c r="AV221" s="22">
        <f>IF(ISERROR(SEARCH("boh",Tabella1[[#This Row],[Ipercolesterolemia]],1)),0,1)</f>
        <v>0</v>
      </c>
      <c r="AW221" s="11" t="s">
        <v>8</v>
      </c>
      <c r="AX221" s="22">
        <f>IF(ISERROR(SEARCH("Intolleranza",Tabella1[[#This Row],[Diabete]],1)),0,1)</f>
        <v>0</v>
      </c>
      <c r="AY221" s="22">
        <f>IF(ISERROR(SEARCH("si",Tabella1[[#This Row],[Diabete]],1)),0,1)</f>
        <v>0</v>
      </c>
      <c r="AZ221" s="11" t="s">
        <v>8</v>
      </c>
      <c r="BA221" s="18">
        <f>IF(ISERROR(SEARCH("NDD",Tabella1[[#This Row],[Patologia Tiroidea]],1)),0,1)</f>
        <v>0</v>
      </c>
      <c r="BB221" s="22">
        <f>IF(ISERROR(SEARCH("TIROIDITE",Tabella1[[#This Row],[Patologia Tiroidea]],1)),0,1)</f>
        <v>0</v>
      </c>
      <c r="BC221" s="22">
        <f>IF(ISERROR(SEARCH("HASHIMOTO",Tabella1[[#This Row],[Patologia Tiroidea]],1)),0,1)</f>
        <v>0</v>
      </c>
      <c r="BD221" s="22">
        <f>IF(ISERROR(SEARCH("BASEDOW",Tabella1[[#This Row],[Patologia Tiroidea]],1)),0,1)</f>
        <v>0</v>
      </c>
      <c r="BE221" s="22">
        <f>IF(ISERROR(SEARCH("NOD",Tabella1[[#This Row],[Patologia Tiroidea]],1)),0,1)</f>
        <v>0</v>
      </c>
      <c r="BF221" s="22">
        <f>IF(ISERROR(SEARCH("GOZ",Tabella1[[#This Row],[Patologia Tiroidea]],1)),0,1)</f>
        <v>0</v>
      </c>
      <c r="BG221" s="11" t="s">
        <v>8</v>
      </c>
      <c r="BH221" s="18">
        <f>IF(Tabella1[[#This Row],[Obesità]]="no",0,1)</f>
        <v>0</v>
      </c>
      <c r="BI221" s="11" t="s">
        <v>25</v>
      </c>
      <c r="BJ221" s="22">
        <f>IF(ISERROR(SEARCH("nega",Tabella1[[#This Row],[Reflusso gastroesofageo]],1)),1,0)</f>
        <v>0</v>
      </c>
      <c r="BK221" s="11" t="s">
        <v>195</v>
      </c>
      <c r="BL221" s="18">
        <f>IF(ISERROR(SEARCH("NDD",Tabella1[[#This Row],[Patologia respiratoria]],1)),0,1)</f>
        <v>0</v>
      </c>
      <c r="BM221" s="18">
        <f>IF(ISERROR(SEARCH("asma",Tabella1[[#This Row],[Patologia respiratoria]],1)),0,1)</f>
        <v>0</v>
      </c>
      <c r="BN221" s="18">
        <f>IF(ISERROR(SEARCH("BPCO",Tabella1[[#This Row],[Patologia respiratoria]],1)),0,1)</f>
        <v>0</v>
      </c>
      <c r="BO221" s="18">
        <f>IF(ISERROR(SEARCH("BRONCOPOLMONITE",Tabella1[[#This Row],[Patologia respiratoria]],1)),0,1)</f>
        <v>0</v>
      </c>
      <c r="BP221" s="18">
        <f>IF(ISERROR(SEARCH("ASMA, OSAS",Tabella1[[#This Row],[Patologia respiratoria]],1)),0,1)</f>
        <v>0</v>
      </c>
      <c r="BQ221" s="18">
        <f>IF(ISERROR(SEARCH("OSAS e BPCO",Tabella1[[#This Row],[Patologia respiratoria]],1)),0,1)</f>
        <v>0</v>
      </c>
      <c r="BR221" s="18">
        <f>IF(ISERROR(SEARCH("OSAS",Tabella1[[#This Row],[Patologia respiratoria]],1)),0,1)</f>
        <v>0</v>
      </c>
      <c r="BS221" s="11" t="s">
        <v>2443</v>
      </c>
      <c r="BT221" s="11" t="s">
        <v>2444</v>
      </c>
      <c r="BU221" s="11" t="s">
        <v>195</v>
      </c>
      <c r="BV221" s="18">
        <f>IF(ISERROR(SEARCH("ndd",Tabella1[[#This Row],[O2 terapia]],1)),0,1)</f>
        <v>0</v>
      </c>
      <c r="BW221" s="17">
        <v>0</v>
      </c>
      <c r="BX221" s="11" t="s">
        <v>2445</v>
      </c>
      <c r="BY221" s="11" t="s">
        <v>8</v>
      </c>
      <c r="BZ221" s="18">
        <v>0</v>
      </c>
      <c r="CA221" s="11" t="s">
        <v>8</v>
      </c>
      <c r="CB221" s="17">
        <v>0</v>
      </c>
      <c r="CC221" s="11" t="s">
        <v>2446</v>
      </c>
      <c r="CD221" s="17">
        <v>1</v>
      </c>
      <c r="CE221" s="11" t="s">
        <v>309</v>
      </c>
      <c r="CF221" s="18">
        <v>0</v>
      </c>
      <c r="CG221" s="11" t="s">
        <v>309</v>
      </c>
      <c r="CH221" s="17">
        <v>0</v>
      </c>
      <c r="CI221" s="11" t="s">
        <v>309</v>
      </c>
      <c r="CJ221" s="18">
        <v>0</v>
      </c>
      <c r="CK221" s="11" t="s">
        <v>2286</v>
      </c>
      <c r="CL221" s="17">
        <v>1</v>
      </c>
      <c r="CM221" s="11" t="s">
        <v>2447</v>
      </c>
      <c r="CN221" s="17">
        <v>1</v>
      </c>
      <c r="CO221" s="11" t="s">
        <v>8</v>
      </c>
      <c r="CP221" s="18">
        <v>0</v>
      </c>
      <c r="CQ221" s="11" t="s">
        <v>13</v>
      </c>
      <c r="CR221" s="11" t="s">
        <v>2448</v>
      </c>
      <c r="CS221" s="11" t="s">
        <v>963</v>
      </c>
      <c r="CT221" s="11" t="s">
        <v>2449</v>
      </c>
      <c r="CU221" s="11" t="s">
        <v>2450</v>
      </c>
      <c r="CV221" s="12" t="s">
        <v>2451</v>
      </c>
    </row>
    <row r="222" spans="1:100" ht="327.75">
      <c r="A222" s="1">
        <f t="shared" si="3"/>
        <v>221</v>
      </c>
      <c r="B222" s="5">
        <v>1328</v>
      </c>
      <c r="C222" s="6">
        <v>45350</v>
      </c>
      <c r="D222" s="7" t="s">
        <v>2452</v>
      </c>
      <c r="E222" s="6">
        <v>22820</v>
      </c>
      <c r="F222" s="29">
        <f ca="1">_xlfn.DAYS(NOW(),Tabella1[[#This Row],[Data di Nascita]])/365.25</f>
        <v>63.115674195756334</v>
      </c>
      <c r="G222" s="7" t="s">
        <v>2453</v>
      </c>
      <c r="H222" s="7" t="s">
        <v>2454</v>
      </c>
      <c r="I222" s="7" t="s">
        <v>2293</v>
      </c>
      <c r="J222" s="7" t="s">
        <v>2455</v>
      </c>
      <c r="K222" s="7" t="s">
        <v>2456</v>
      </c>
      <c r="L222" s="17">
        <f>IF(ISERROR(SEARCH("EX",Tabella1[[#This Row],[Attività lavorativa]],1)),0,1)</f>
        <v>0</v>
      </c>
      <c r="M222" s="17"/>
      <c r="N222" s="17"/>
      <c r="O222" s="17"/>
      <c r="P222" s="18">
        <v>1</v>
      </c>
      <c r="Q222" s="17"/>
      <c r="R222" s="17"/>
      <c r="S222" s="17"/>
      <c r="T222" s="17">
        <f>IF(ISERROR(SEARCH("NDD",Tabella1[[#This Row],[Attività lavorativa]],1)),0,1)</f>
        <v>0</v>
      </c>
      <c r="U222" s="7" t="s">
        <v>195</v>
      </c>
      <c r="V222" s="22"/>
      <c r="W222" s="22">
        <f>IF(ISERROR(SEARCH("ex",Tabella1[[#This Row],[Fumo]],1)),0,1)</f>
        <v>0</v>
      </c>
      <c r="X222" s="22">
        <f>IF(ISERROR(SEARCH("no",Tabella1[[#This Row],[Fumo]],1)),0,1)</f>
        <v>1</v>
      </c>
      <c r="Y222" s="7" t="s">
        <v>309</v>
      </c>
      <c r="Z222" s="17">
        <f>IF(ISERROR(SEARCH("NDD",Tabella1[[#This Row],[Bevitore alcolici]],1)),0,1)</f>
        <v>0</v>
      </c>
      <c r="AA222" s="17">
        <f>IF(ISERROR(SEARCH("raro",Tabella1[[#This Row],[Bevitore alcolici]],1)),0,1)</f>
        <v>0</v>
      </c>
      <c r="AB222" s="17">
        <f>IF(ISERROR(SEARCH("saltuariamente",Tabella1[[#This Row],[Bevitore alcolici]],1)),0,1)</f>
        <v>0</v>
      </c>
      <c r="AC222" s="17">
        <f>IF(ISERROR(SEARCH("nega",Tabella1[[#This Row],[Bevitore alcolici]],1)),0,1)</f>
        <v>1</v>
      </c>
      <c r="AD222" s="17">
        <f>IF(ISERROR(SEARCH("potus",Tabella1[[#This Row],[Bevitore alcolici]],1)),0,1)</f>
        <v>0</v>
      </c>
      <c r="AE222" s="7" t="s">
        <v>5655</v>
      </c>
      <c r="AF222" s="17"/>
      <c r="AG222" s="17"/>
      <c r="AH222" s="17"/>
      <c r="AI222" s="17"/>
      <c r="AJ222" s="17"/>
      <c r="AK222" s="7" t="s">
        <v>8</v>
      </c>
      <c r="AL222" s="17">
        <f>IF(ISERROR(SEARCH("si",Tabella1[[#This Row],[Patente di guida]],1)),0,1)</f>
        <v>0</v>
      </c>
      <c r="AM222" s="7" t="s">
        <v>28</v>
      </c>
      <c r="AN222" s="17">
        <f>IF(ISERROR(SEARCH("no",Tabella1[[#This Row],[Ipertensione]],1)),0,1)</f>
        <v>0</v>
      </c>
      <c r="AO222" s="7" t="s">
        <v>382</v>
      </c>
      <c r="AP222" s="18">
        <f>IF(ISERROR(SEARCH("NO",Tabella1[[#This Row],[Cardiopatia ischemica]],1)),1,0)</f>
        <v>0</v>
      </c>
      <c r="AQ222" s="17">
        <f>IF(ISERROR(SEARCH("sconosciuto",Tabella1[[#This Row],[Cardiopatia ischemica]],1)),0,1)</f>
        <v>0</v>
      </c>
      <c r="AR222" s="7" t="s">
        <v>25</v>
      </c>
      <c r="AS222" s="22">
        <f>IF(ISERROR(SEARCH("nega",Tabella1[[#This Row],[Artimie]],1)),0,1)</f>
        <v>1</v>
      </c>
      <c r="AT222" s="7" t="s">
        <v>25</v>
      </c>
      <c r="AU222" s="22">
        <f>IF(ISERROR(SEARCH("nega",Tabella1[[#This Row],[Ipercolesterolemia]],1)),0,1)</f>
        <v>1</v>
      </c>
      <c r="AV222" s="22">
        <f>IF(ISERROR(SEARCH("boh",Tabella1[[#This Row],[Ipercolesterolemia]],1)),0,1)</f>
        <v>0</v>
      </c>
      <c r="AW222" s="7" t="s">
        <v>8</v>
      </c>
      <c r="AX222" s="22">
        <f>IF(ISERROR(SEARCH("Intolleranza",Tabella1[[#This Row],[Diabete]],1)),0,1)</f>
        <v>0</v>
      </c>
      <c r="AY222" s="22">
        <f>IF(ISERROR(SEARCH("si",Tabella1[[#This Row],[Diabete]],1)),0,1)</f>
        <v>0</v>
      </c>
      <c r="AZ222" s="7" t="s">
        <v>8</v>
      </c>
      <c r="BA222" s="17">
        <f>IF(ISERROR(SEARCH("NDD",Tabella1[[#This Row],[Patologia Tiroidea]],1)),0,1)</f>
        <v>0</v>
      </c>
      <c r="BB222" s="22">
        <f>IF(ISERROR(SEARCH("TIROIDITE",Tabella1[[#This Row],[Patologia Tiroidea]],1)),0,1)</f>
        <v>0</v>
      </c>
      <c r="BC222" s="22">
        <f>IF(ISERROR(SEARCH("HASHIMOTO",Tabella1[[#This Row],[Patologia Tiroidea]],1)),0,1)</f>
        <v>0</v>
      </c>
      <c r="BD222" s="22">
        <f>IF(ISERROR(SEARCH("BASEDOW",Tabella1[[#This Row],[Patologia Tiroidea]],1)),0,1)</f>
        <v>0</v>
      </c>
      <c r="BE222" s="22">
        <f>IF(ISERROR(SEARCH("NOD",Tabella1[[#This Row],[Patologia Tiroidea]],1)),0,1)</f>
        <v>0</v>
      </c>
      <c r="BF222" s="22">
        <f>IF(ISERROR(SEARCH("GOZ",Tabella1[[#This Row],[Patologia Tiroidea]],1)),0,1)</f>
        <v>0</v>
      </c>
      <c r="BG222" s="7" t="s">
        <v>28</v>
      </c>
      <c r="BH222" s="17">
        <f>IF(Tabella1[[#This Row],[Obesità]]="no",0,1)</f>
        <v>1</v>
      </c>
      <c r="BI222" s="7" t="s">
        <v>25</v>
      </c>
      <c r="BJ222" s="22">
        <f>IF(ISERROR(SEARCH("nega",Tabella1[[#This Row],[Reflusso gastroesofageo]],1)),1,0)</f>
        <v>0</v>
      </c>
      <c r="BK222" s="7" t="s">
        <v>3812</v>
      </c>
      <c r="BL222" s="17">
        <f>IF(ISERROR(SEARCH("NDD",Tabella1[[#This Row],[Patologia respiratoria]],1)),0,1)</f>
        <v>0</v>
      </c>
      <c r="BM222" s="17">
        <f>IF(ISERROR(SEARCH("asma",Tabella1[[#This Row],[Patologia respiratoria]],1)),0,1)</f>
        <v>1</v>
      </c>
      <c r="BN222" s="17">
        <f>IF(ISERROR(SEARCH("BPCO",Tabella1[[#This Row],[Patologia respiratoria]],1)),0,1)</f>
        <v>0</v>
      </c>
      <c r="BO222" s="17">
        <f>IF(ISERROR(SEARCH("BRONCOPOLMONITE",Tabella1[[#This Row],[Patologia respiratoria]],1)),0,1)</f>
        <v>0</v>
      </c>
      <c r="BP222" s="17">
        <f>IF(ISERROR(SEARCH("ASMA, OSAS",Tabella1[[#This Row],[Patologia respiratoria]],1)),0,1)</f>
        <v>0</v>
      </c>
      <c r="BQ222" s="17">
        <f>IF(ISERROR(SEARCH("OSAS e BPCO",Tabella1[[#This Row],[Patologia respiratoria]],1)),0,1)</f>
        <v>0</v>
      </c>
      <c r="BR222" s="17">
        <f>IF(ISERROR(SEARCH("OSAS",Tabella1[[#This Row],[Patologia respiratoria]],1)),0,1)</f>
        <v>0</v>
      </c>
      <c r="BS222" s="7" t="s">
        <v>2457</v>
      </c>
      <c r="BT222" s="7" t="s">
        <v>2458</v>
      </c>
      <c r="BU222" s="7" t="s">
        <v>195</v>
      </c>
      <c r="BV222" s="17">
        <f>IF(ISERROR(SEARCH("ndd",Tabella1[[#This Row],[O2 terapia]],1)),0,1)</f>
        <v>0</v>
      </c>
      <c r="BW222" s="17">
        <v>0</v>
      </c>
      <c r="BX222" s="7"/>
      <c r="BY222" s="7" t="s">
        <v>2459</v>
      </c>
      <c r="BZ222" s="17">
        <v>1</v>
      </c>
      <c r="CA222" s="7" t="s">
        <v>2460</v>
      </c>
      <c r="CB222" s="17">
        <v>1</v>
      </c>
      <c r="CC222" s="7" t="s">
        <v>2461</v>
      </c>
      <c r="CD222" s="17">
        <v>1</v>
      </c>
      <c r="CE222" s="7" t="s">
        <v>195</v>
      </c>
      <c r="CF222" s="18">
        <v>0</v>
      </c>
      <c r="CG222" s="7" t="s">
        <v>195</v>
      </c>
      <c r="CH222" s="17">
        <v>0</v>
      </c>
      <c r="CI222" s="7" t="s">
        <v>5477</v>
      </c>
      <c r="CJ222" s="17"/>
      <c r="CK222" s="7" t="s">
        <v>2462</v>
      </c>
      <c r="CL222" s="17">
        <v>1</v>
      </c>
      <c r="CM222" s="7" t="s">
        <v>2463</v>
      </c>
      <c r="CN222" s="17">
        <v>1</v>
      </c>
      <c r="CO222" s="7" t="s">
        <v>2464</v>
      </c>
      <c r="CP222" s="17">
        <v>1</v>
      </c>
      <c r="CQ222" s="7" t="s">
        <v>103</v>
      </c>
      <c r="CR222" s="7" t="s">
        <v>2465</v>
      </c>
      <c r="CS222" s="7" t="s">
        <v>37</v>
      </c>
      <c r="CT222" s="7" t="s">
        <v>1444</v>
      </c>
      <c r="CU222" s="7" t="s">
        <v>2466</v>
      </c>
      <c r="CV222" s="8" t="s">
        <v>2467</v>
      </c>
    </row>
    <row r="223" spans="1:100" ht="299.25">
      <c r="A223" s="1">
        <f t="shared" si="3"/>
        <v>222</v>
      </c>
      <c r="B223" s="9">
        <v>1331</v>
      </c>
      <c r="C223" s="10">
        <v>45351</v>
      </c>
      <c r="D223" s="11" t="s">
        <v>2468</v>
      </c>
      <c r="E223" s="10">
        <v>18368</v>
      </c>
      <c r="F223" s="29">
        <f ca="1">_xlfn.DAYS(NOW(),Tabella1[[#This Row],[Data di Nascita]])/365.25</f>
        <v>75.304585900068446</v>
      </c>
      <c r="G223" s="11" t="s">
        <v>2469</v>
      </c>
      <c r="H223" s="11" t="s">
        <v>2470</v>
      </c>
      <c r="I223" s="11" t="s">
        <v>2142</v>
      </c>
      <c r="J223" s="11" t="s">
        <v>1346</v>
      </c>
      <c r="K223" s="11" t="s">
        <v>5617</v>
      </c>
      <c r="L223" s="18">
        <f>IF(ISERROR(SEARCH("EX",Tabella1[[#This Row],[Attività lavorativa]],1)),0,1)</f>
        <v>1</v>
      </c>
      <c r="M223" s="18"/>
      <c r="N223" s="18"/>
      <c r="O223" s="18">
        <v>1</v>
      </c>
      <c r="P223" s="18"/>
      <c r="Q223" s="18"/>
      <c r="R223" s="18"/>
      <c r="S223" s="18"/>
      <c r="T223" s="17">
        <f>IF(ISERROR(SEARCH("NDD",Tabella1[[#This Row],[Attività lavorativa]],1)),0,1)</f>
        <v>0</v>
      </c>
      <c r="U223" s="11" t="s">
        <v>2471</v>
      </c>
      <c r="V223" s="22">
        <v>15</v>
      </c>
      <c r="W223" s="22">
        <f>IF(ISERROR(SEARCH("ex",Tabella1[[#This Row],[Fumo]],1)),0,1)</f>
        <v>1</v>
      </c>
      <c r="X223" s="22">
        <f>IF(ISERROR(SEARCH("no",Tabella1[[#This Row],[Fumo]],1)),0,1)</f>
        <v>0</v>
      </c>
      <c r="Y223" s="11" t="s">
        <v>26</v>
      </c>
      <c r="Z223" s="18">
        <f>IF(ISERROR(SEARCH("NDD",Tabella1[[#This Row],[Bevitore alcolici]],1)),0,1)</f>
        <v>0</v>
      </c>
      <c r="AA223" s="17">
        <f>IF(ISERROR(SEARCH("raro",Tabella1[[#This Row],[Bevitore alcolici]],1)),0,1)</f>
        <v>0</v>
      </c>
      <c r="AB223" s="17">
        <f>IF(ISERROR(SEARCH("saltuariamente",Tabella1[[#This Row],[Bevitore alcolici]],1)),0,1)</f>
        <v>1</v>
      </c>
      <c r="AC223" s="17">
        <f>IF(ISERROR(SEARCH("nega",Tabella1[[#This Row],[Bevitore alcolici]],1)),0,1)</f>
        <v>0</v>
      </c>
      <c r="AD223" s="17">
        <f>IF(ISERROR(SEARCH("potus",Tabella1[[#This Row],[Bevitore alcolici]],1)),0,1)</f>
        <v>0</v>
      </c>
      <c r="AE223" s="11" t="s">
        <v>657</v>
      </c>
      <c r="AF223" s="18"/>
      <c r="AG223" s="18"/>
      <c r="AH223" s="18"/>
      <c r="AI223" s="18"/>
      <c r="AJ223" s="18"/>
      <c r="AK223" s="11" t="s">
        <v>28</v>
      </c>
      <c r="AL223" s="18">
        <f>IF(ISERROR(SEARCH("si",Tabella1[[#This Row],[Patente di guida]],1)),0,1)</f>
        <v>1</v>
      </c>
      <c r="AM223" s="11" t="s">
        <v>8</v>
      </c>
      <c r="AN223" s="18">
        <f>IF(ISERROR(SEARCH("no",Tabella1[[#This Row],[Ipertensione]],1)),0,1)</f>
        <v>1</v>
      </c>
      <c r="AO223" s="11" t="s">
        <v>382</v>
      </c>
      <c r="AP223" s="18">
        <f>IF(ISERROR(SEARCH("NO",Tabella1[[#This Row],[Cardiopatia ischemica]],1)),1,0)</f>
        <v>0</v>
      </c>
      <c r="AQ223" s="17">
        <f>IF(ISERROR(SEARCH("sconosciuto",Tabella1[[#This Row],[Cardiopatia ischemica]],1)),0,1)</f>
        <v>0</v>
      </c>
      <c r="AR223" s="11" t="s">
        <v>25</v>
      </c>
      <c r="AS223" s="22">
        <f>IF(ISERROR(SEARCH("nega",Tabella1[[#This Row],[Artimie]],1)),0,1)</f>
        <v>1</v>
      </c>
      <c r="AT223" s="11" t="s">
        <v>25</v>
      </c>
      <c r="AU223" s="22">
        <f>IF(ISERROR(SEARCH("nega",Tabella1[[#This Row],[Ipercolesterolemia]],1)),0,1)</f>
        <v>1</v>
      </c>
      <c r="AV223" s="22">
        <f>IF(ISERROR(SEARCH("boh",Tabella1[[#This Row],[Ipercolesterolemia]],1)),0,1)</f>
        <v>0</v>
      </c>
      <c r="AW223" s="11" t="s">
        <v>8</v>
      </c>
      <c r="AX223" s="22">
        <f>IF(ISERROR(SEARCH("Intolleranza",Tabella1[[#This Row],[Diabete]],1)),0,1)</f>
        <v>0</v>
      </c>
      <c r="AY223" s="22">
        <f>IF(ISERROR(SEARCH("si",Tabella1[[#This Row],[Diabete]],1)),0,1)</f>
        <v>0</v>
      </c>
      <c r="AZ223" s="11" t="s">
        <v>8</v>
      </c>
      <c r="BA223" s="18">
        <f>IF(ISERROR(SEARCH("NDD",Tabella1[[#This Row],[Patologia Tiroidea]],1)),0,1)</f>
        <v>0</v>
      </c>
      <c r="BB223" s="22">
        <f>IF(ISERROR(SEARCH("TIROIDITE",Tabella1[[#This Row],[Patologia Tiroidea]],1)),0,1)</f>
        <v>0</v>
      </c>
      <c r="BC223" s="22">
        <f>IF(ISERROR(SEARCH("HASHIMOTO",Tabella1[[#This Row],[Patologia Tiroidea]],1)),0,1)</f>
        <v>0</v>
      </c>
      <c r="BD223" s="22">
        <f>IF(ISERROR(SEARCH("BASEDOW",Tabella1[[#This Row],[Patologia Tiroidea]],1)),0,1)</f>
        <v>0</v>
      </c>
      <c r="BE223" s="22">
        <f>IF(ISERROR(SEARCH("NOD",Tabella1[[#This Row],[Patologia Tiroidea]],1)),0,1)</f>
        <v>0</v>
      </c>
      <c r="BF223" s="22">
        <f>IF(ISERROR(SEARCH("GOZ",Tabella1[[#This Row],[Patologia Tiroidea]],1)),0,1)</f>
        <v>0</v>
      </c>
      <c r="BG223" s="11" t="s">
        <v>8</v>
      </c>
      <c r="BH223" s="18">
        <f>IF(Tabella1[[#This Row],[Obesità]]="no",0,1)</f>
        <v>0</v>
      </c>
      <c r="BI223" s="11" t="s">
        <v>25</v>
      </c>
      <c r="BJ223" s="22">
        <f>IF(ISERROR(SEARCH("nega",Tabella1[[#This Row],[Reflusso gastroesofageo]],1)),1,0)</f>
        <v>0</v>
      </c>
      <c r="BK223" s="11" t="s">
        <v>8</v>
      </c>
      <c r="BL223" s="18">
        <f>IF(ISERROR(SEARCH("NDD",Tabella1[[#This Row],[Patologia respiratoria]],1)),0,1)</f>
        <v>0</v>
      </c>
      <c r="BM223" s="18">
        <f>IF(ISERROR(SEARCH("asma",Tabella1[[#This Row],[Patologia respiratoria]],1)),0,1)</f>
        <v>0</v>
      </c>
      <c r="BN223" s="18">
        <f>IF(ISERROR(SEARCH("BPCO",Tabella1[[#This Row],[Patologia respiratoria]],1)),0,1)</f>
        <v>0</v>
      </c>
      <c r="BO223" s="18">
        <f>IF(ISERROR(SEARCH("BRONCOPOLMONITE",Tabella1[[#This Row],[Patologia respiratoria]],1)),0,1)</f>
        <v>0</v>
      </c>
      <c r="BP223" s="18">
        <f>IF(ISERROR(SEARCH("ASMA, OSAS",Tabella1[[#This Row],[Patologia respiratoria]],1)),0,1)</f>
        <v>0</v>
      </c>
      <c r="BQ223" s="18">
        <f>IF(ISERROR(SEARCH("OSAS e BPCO",Tabella1[[#This Row],[Patologia respiratoria]],1)),0,1)</f>
        <v>0</v>
      </c>
      <c r="BR223" s="18">
        <f>IF(ISERROR(SEARCH("OSAS",Tabella1[[#This Row],[Patologia respiratoria]],1)),0,1)</f>
        <v>0</v>
      </c>
      <c r="BS223" s="11"/>
      <c r="BT223" s="11" t="s">
        <v>2472</v>
      </c>
      <c r="BU223" s="11" t="s">
        <v>8</v>
      </c>
      <c r="BV223" s="18">
        <f>IF(ISERROR(SEARCH("ndd",Tabella1[[#This Row],[O2 terapia]],1)),0,1)</f>
        <v>0</v>
      </c>
      <c r="BW223" s="17">
        <v>0</v>
      </c>
      <c r="BX223" s="11"/>
      <c r="BY223" s="11" t="s">
        <v>8</v>
      </c>
      <c r="BZ223" s="18">
        <v>0</v>
      </c>
      <c r="CA223" s="11" t="s">
        <v>2473</v>
      </c>
      <c r="CB223" s="17">
        <v>0</v>
      </c>
      <c r="CC223" s="11" t="s">
        <v>8</v>
      </c>
      <c r="CD223" s="18">
        <v>0</v>
      </c>
      <c r="CE223" s="11" t="s">
        <v>8</v>
      </c>
      <c r="CF223" s="18">
        <v>0</v>
      </c>
      <c r="CG223" s="11" t="s">
        <v>8</v>
      </c>
      <c r="CH223" s="17">
        <v>0</v>
      </c>
      <c r="CI223" s="11" t="s">
        <v>8</v>
      </c>
      <c r="CJ223" s="18">
        <v>0</v>
      </c>
      <c r="CK223" s="11" t="s">
        <v>2338</v>
      </c>
      <c r="CL223" s="17">
        <v>1</v>
      </c>
      <c r="CM223" s="11" t="s">
        <v>8</v>
      </c>
      <c r="CN223" s="17">
        <v>0</v>
      </c>
      <c r="CO223" s="11" t="s">
        <v>8</v>
      </c>
      <c r="CP223" s="18">
        <v>0</v>
      </c>
      <c r="CQ223" s="11" t="s">
        <v>54</v>
      </c>
      <c r="CR223" s="11" t="s">
        <v>70</v>
      </c>
      <c r="CS223" s="11" t="s">
        <v>355</v>
      </c>
      <c r="CT223" s="11" t="s">
        <v>405</v>
      </c>
      <c r="CU223" s="11" t="s">
        <v>2474</v>
      </c>
      <c r="CV223" s="12" t="s">
        <v>2475</v>
      </c>
    </row>
    <row r="224" spans="1:100" ht="409.5">
      <c r="A224" s="1">
        <f t="shared" si="3"/>
        <v>223</v>
      </c>
      <c r="B224" s="5">
        <v>1332</v>
      </c>
      <c r="C224" s="6">
        <v>45351</v>
      </c>
      <c r="D224" s="7" t="s">
        <v>2476</v>
      </c>
      <c r="E224" s="6">
        <v>34781</v>
      </c>
      <c r="F224" s="29">
        <f ca="1">_xlfn.DAYS(NOW(),Tabella1[[#This Row],[Data di Nascita]])/365.25</f>
        <v>30.368240930869266</v>
      </c>
      <c r="G224" s="7" t="s">
        <v>2477</v>
      </c>
      <c r="H224" s="7" t="s">
        <v>2478</v>
      </c>
      <c r="I224" s="7" t="s">
        <v>2293</v>
      </c>
      <c r="J224" s="7" t="s">
        <v>473</v>
      </c>
      <c r="K224" s="7" t="s">
        <v>2479</v>
      </c>
      <c r="L224" s="17">
        <f>IF(ISERROR(SEARCH("EX",Tabella1[[#This Row],[Attività lavorativa]],1)),0,1)</f>
        <v>1</v>
      </c>
      <c r="M224" s="17"/>
      <c r="N224" s="17"/>
      <c r="O224" s="17"/>
      <c r="P224" s="17"/>
      <c r="Q224" s="17"/>
      <c r="R224" s="17"/>
      <c r="S224" s="17"/>
      <c r="T224" s="17">
        <f>IF(ISERROR(SEARCH("NDD",Tabella1[[#This Row],[Attività lavorativa]],1)),0,1)</f>
        <v>0</v>
      </c>
      <c r="U224" s="7" t="s">
        <v>2480</v>
      </c>
      <c r="V224" s="22"/>
      <c r="W224" s="22">
        <f>IF(ISERROR(SEARCH("ex",Tabella1[[#This Row],[Fumo]],1)),0,1)</f>
        <v>0</v>
      </c>
      <c r="X224" s="22">
        <f>IF(ISERROR(SEARCH("no",Tabella1[[#This Row],[Fumo]],1)),0,1)</f>
        <v>0</v>
      </c>
      <c r="Y224" s="7" t="s">
        <v>25</v>
      </c>
      <c r="Z224" s="17">
        <f>IF(ISERROR(SEARCH("NDD",Tabella1[[#This Row],[Bevitore alcolici]],1)),0,1)</f>
        <v>0</v>
      </c>
      <c r="AA224" s="17">
        <f>IF(ISERROR(SEARCH("raro",Tabella1[[#This Row],[Bevitore alcolici]],1)),0,1)</f>
        <v>0</v>
      </c>
      <c r="AB224" s="17">
        <f>IF(ISERROR(SEARCH("saltuariamente",Tabella1[[#This Row],[Bevitore alcolici]],1)),0,1)</f>
        <v>0</v>
      </c>
      <c r="AC224" s="17">
        <f>IF(ISERROR(SEARCH("nega",Tabella1[[#This Row],[Bevitore alcolici]],1)),0,1)</f>
        <v>1</v>
      </c>
      <c r="AD224" s="17">
        <f>IF(ISERROR(SEARCH("potus",Tabella1[[#This Row],[Bevitore alcolici]],1)),0,1)</f>
        <v>0</v>
      </c>
      <c r="AE224" s="7" t="s">
        <v>5684</v>
      </c>
      <c r="AF224" s="17"/>
      <c r="AG224" s="18">
        <v>1</v>
      </c>
      <c r="AH224" s="18"/>
      <c r="AI224" s="18"/>
      <c r="AJ224" s="18"/>
      <c r="AK224" s="7" t="s">
        <v>8</v>
      </c>
      <c r="AL224" s="17">
        <f>IF(ISERROR(SEARCH("si",Tabella1[[#This Row],[Patente di guida]],1)),0,1)</f>
        <v>0</v>
      </c>
      <c r="AM224" s="7" t="s">
        <v>28</v>
      </c>
      <c r="AN224" s="17">
        <f>IF(ISERROR(SEARCH("no",Tabella1[[#This Row],[Ipertensione]],1)),0,1)</f>
        <v>0</v>
      </c>
      <c r="AO224" s="7" t="s">
        <v>3749</v>
      </c>
      <c r="AP224" s="18">
        <f>IF(ISERROR(SEARCH("NO",Tabella1[[#This Row],[Cardiopatia ischemica]],1)),1,0)</f>
        <v>0</v>
      </c>
      <c r="AQ224" s="17">
        <f>IF(ISERROR(SEARCH("sconosciuto",Tabella1[[#This Row],[Cardiopatia ischemica]],1)),0,1)</f>
        <v>0</v>
      </c>
      <c r="AR224" s="7" t="s">
        <v>25</v>
      </c>
      <c r="AS224" s="22">
        <f>IF(ISERROR(SEARCH("nega",Tabella1[[#This Row],[Artimie]],1)),0,1)</f>
        <v>1</v>
      </c>
      <c r="AT224" s="7" t="s">
        <v>25</v>
      </c>
      <c r="AU224" s="22">
        <f>IF(ISERROR(SEARCH("nega",Tabella1[[#This Row],[Ipercolesterolemia]],1)),0,1)</f>
        <v>1</v>
      </c>
      <c r="AV224" s="22">
        <f>IF(ISERROR(SEARCH("boh",Tabella1[[#This Row],[Ipercolesterolemia]],1)),0,1)</f>
        <v>0</v>
      </c>
      <c r="AW224" s="7" t="s">
        <v>8</v>
      </c>
      <c r="AX224" s="22">
        <f>IF(ISERROR(SEARCH("Intolleranza",Tabella1[[#This Row],[Diabete]],1)),0,1)</f>
        <v>0</v>
      </c>
      <c r="AY224" s="22">
        <f>IF(ISERROR(SEARCH("si",Tabella1[[#This Row],[Diabete]],1)),0,1)</f>
        <v>0</v>
      </c>
      <c r="AZ224" s="7" t="s">
        <v>2481</v>
      </c>
      <c r="BA224" s="17">
        <f>IF(ISERROR(SEARCH("NDD",Tabella1[[#This Row],[Patologia Tiroidea]],1)),0,1)</f>
        <v>0</v>
      </c>
      <c r="BB224" s="22">
        <f>IF(ISERROR(SEARCH("TIROIDITE",Tabella1[[#This Row],[Patologia Tiroidea]],1)),0,1)</f>
        <v>0</v>
      </c>
      <c r="BC224" s="22">
        <f>IF(ISERROR(SEARCH("HASHIMOTO",Tabella1[[#This Row],[Patologia Tiroidea]],1)),0,1)</f>
        <v>0</v>
      </c>
      <c r="BD224" s="22">
        <f>IF(ISERROR(SEARCH("BASEDOW",Tabella1[[#This Row],[Patologia Tiroidea]],1)),0,1)</f>
        <v>0</v>
      </c>
      <c r="BE224" s="22">
        <f>IF(ISERROR(SEARCH("NOD",Tabella1[[#This Row],[Patologia Tiroidea]],1)),0,1)</f>
        <v>0</v>
      </c>
      <c r="BF224" s="22">
        <f>IF(ISERROR(SEARCH("GOZ",Tabella1[[#This Row],[Patologia Tiroidea]],1)),0,1)</f>
        <v>0</v>
      </c>
      <c r="BG224" s="7" t="s">
        <v>28</v>
      </c>
      <c r="BH224" s="17">
        <f>IF(Tabella1[[#This Row],[Obesità]]="no",0,1)</f>
        <v>1</v>
      </c>
      <c r="BI224" s="7" t="s">
        <v>2482</v>
      </c>
      <c r="BJ224" s="22">
        <f>IF(ISERROR(SEARCH("nega",Tabella1[[#This Row],[Reflusso gastroesofageo]],1)),1,0)</f>
        <v>1</v>
      </c>
      <c r="BK224" s="7" t="s">
        <v>3824</v>
      </c>
      <c r="BL224" s="17">
        <f>IF(ISERROR(SEARCH("NDD",Tabella1[[#This Row],[Patologia respiratoria]],1)),0,1)</f>
        <v>0</v>
      </c>
      <c r="BM224" s="17">
        <f>IF(ISERROR(SEARCH("asma",Tabella1[[#This Row],[Patologia respiratoria]],1)),0,1)</f>
        <v>0</v>
      </c>
      <c r="BN224" s="17">
        <f>IF(ISERROR(SEARCH("BPCO",Tabella1[[#This Row],[Patologia respiratoria]],1)),0,1)</f>
        <v>0</v>
      </c>
      <c r="BO224" s="17">
        <f>IF(ISERROR(SEARCH("BRONCOPOLMONITE",Tabella1[[#This Row],[Patologia respiratoria]],1)),0,1)</f>
        <v>1</v>
      </c>
      <c r="BP224" s="17">
        <f>IF(ISERROR(SEARCH("ASMA, OSAS",Tabella1[[#This Row],[Patologia respiratoria]],1)),0,1)</f>
        <v>0</v>
      </c>
      <c r="BQ224" s="17">
        <f>IF(ISERROR(SEARCH("OSAS e BPCO",Tabella1[[#This Row],[Patologia respiratoria]],1)),0,1)</f>
        <v>0</v>
      </c>
      <c r="BR224" s="17">
        <f>IF(ISERROR(SEARCH("OSAS",Tabella1[[#This Row],[Patologia respiratoria]],1)),0,1)</f>
        <v>0</v>
      </c>
      <c r="BS224" s="7"/>
      <c r="BT224" s="7" t="s">
        <v>2483</v>
      </c>
      <c r="BU224" s="7" t="s">
        <v>195</v>
      </c>
      <c r="BV224" s="17">
        <f>IF(ISERROR(SEARCH("ndd",Tabella1[[#This Row],[O2 terapia]],1)),0,1)</f>
        <v>0</v>
      </c>
      <c r="BW224" s="17">
        <v>0</v>
      </c>
      <c r="BX224" s="7" t="s">
        <v>2484</v>
      </c>
      <c r="BY224" s="7" t="s">
        <v>2485</v>
      </c>
      <c r="BZ224" s="17">
        <v>1</v>
      </c>
      <c r="CA224" s="7" t="s">
        <v>2486</v>
      </c>
      <c r="CB224" s="17">
        <v>1</v>
      </c>
      <c r="CC224" s="7" t="s">
        <v>2487</v>
      </c>
      <c r="CD224" s="17">
        <v>1</v>
      </c>
      <c r="CE224" s="7" t="s">
        <v>309</v>
      </c>
      <c r="CF224" s="18">
        <v>0</v>
      </c>
      <c r="CG224" s="7" t="s">
        <v>194</v>
      </c>
      <c r="CH224" s="17">
        <v>1</v>
      </c>
      <c r="CI224" s="7" t="s">
        <v>5477</v>
      </c>
      <c r="CJ224" s="17"/>
      <c r="CK224" s="7" t="s">
        <v>2488</v>
      </c>
      <c r="CL224" s="17">
        <v>1</v>
      </c>
      <c r="CM224" s="7" t="s">
        <v>2489</v>
      </c>
      <c r="CN224" s="17">
        <v>1</v>
      </c>
      <c r="CO224" s="7" t="s">
        <v>2490</v>
      </c>
      <c r="CP224" s="17">
        <v>1</v>
      </c>
      <c r="CQ224" s="7" t="s">
        <v>317</v>
      </c>
      <c r="CR224" s="7" t="s">
        <v>2491</v>
      </c>
      <c r="CS224" s="7" t="s">
        <v>37</v>
      </c>
      <c r="CT224" s="7" t="s">
        <v>420</v>
      </c>
      <c r="CU224" s="7" t="s">
        <v>2492</v>
      </c>
      <c r="CV224" s="8" t="s">
        <v>2493</v>
      </c>
    </row>
    <row r="225" spans="1:100" ht="409.5">
      <c r="A225" s="1">
        <f t="shared" si="3"/>
        <v>224</v>
      </c>
      <c r="B225" s="9">
        <v>1336</v>
      </c>
      <c r="C225" s="10">
        <v>45355</v>
      </c>
      <c r="D225" s="11" t="s">
        <v>2494</v>
      </c>
      <c r="E225" s="10">
        <v>36195</v>
      </c>
      <c r="F225" s="29">
        <f ca="1">_xlfn.DAYS(NOW(),Tabella1[[#This Row],[Data di Nascita]])/365.25</f>
        <v>26.496919917864478</v>
      </c>
      <c r="G225" s="11" t="s">
        <v>2495</v>
      </c>
      <c r="H225" s="11" t="s">
        <v>2496</v>
      </c>
      <c r="I225" s="11" t="s">
        <v>2293</v>
      </c>
      <c r="J225" s="11" t="s">
        <v>2497</v>
      </c>
      <c r="K225" s="11" t="s">
        <v>2498</v>
      </c>
      <c r="L225" s="18">
        <f>IF(ISERROR(SEARCH("EX",Tabella1[[#This Row],[Attività lavorativa]],1)),0,1)</f>
        <v>0</v>
      </c>
      <c r="M225" s="18"/>
      <c r="N225" s="18"/>
      <c r="O225" s="18"/>
      <c r="P225" s="18"/>
      <c r="Q225" s="18"/>
      <c r="R225" s="18"/>
      <c r="S225" s="18"/>
      <c r="T225" s="17">
        <f>IF(ISERROR(SEARCH("NDD",Tabella1[[#This Row],[Attività lavorativa]],1)),0,1)</f>
        <v>0</v>
      </c>
      <c r="U225" s="11" t="s">
        <v>3690</v>
      </c>
      <c r="V225" s="22"/>
      <c r="W225" s="22">
        <f>IF(ISERROR(SEARCH("ex",Tabella1[[#This Row],[Fumo]],1)),0,1)</f>
        <v>0</v>
      </c>
      <c r="X225" s="22">
        <f>IF(ISERROR(SEARCH("no",Tabella1[[#This Row],[Fumo]],1)),0,1)</f>
        <v>1</v>
      </c>
      <c r="Y225" s="11" t="s">
        <v>25</v>
      </c>
      <c r="Z225" s="18">
        <f>IF(ISERROR(SEARCH("NDD",Tabella1[[#This Row],[Bevitore alcolici]],1)),0,1)</f>
        <v>0</v>
      </c>
      <c r="AA225" s="17">
        <f>IF(ISERROR(SEARCH("raro",Tabella1[[#This Row],[Bevitore alcolici]],1)),0,1)</f>
        <v>0</v>
      </c>
      <c r="AB225" s="17">
        <f>IF(ISERROR(SEARCH("saltuariamente",Tabella1[[#This Row],[Bevitore alcolici]],1)),0,1)</f>
        <v>0</v>
      </c>
      <c r="AC225" s="17">
        <f>IF(ISERROR(SEARCH("nega",Tabella1[[#This Row],[Bevitore alcolici]],1)),0,1)</f>
        <v>1</v>
      </c>
      <c r="AD225" s="17">
        <f>IF(ISERROR(SEARCH("potus",Tabella1[[#This Row],[Bevitore alcolici]],1)),0,1)</f>
        <v>0</v>
      </c>
      <c r="AE225" s="11" t="s">
        <v>5656</v>
      </c>
      <c r="AF225" s="18"/>
      <c r="AG225" s="18"/>
      <c r="AH225" s="18"/>
      <c r="AI225" s="18"/>
      <c r="AJ225" s="18"/>
      <c r="AK225" s="11" t="s">
        <v>195</v>
      </c>
      <c r="AL225" s="18">
        <f>IF(ISERROR(SEARCH("si",Tabella1[[#This Row],[Patente di guida]],1)),0,1)</f>
        <v>0</v>
      </c>
      <c r="AM225" s="11" t="s">
        <v>195</v>
      </c>
      <c r="AN225" s="18">
        <f>IF(ISERROR(SEARCH("no",Tabella1[[#This Row],[Ipertensione]],1)),0,1)</f>
        <v>1</v>
      </c>
      <c r="AO225" s="11" t="s">
        <v>382</v>
      </c>
      <c r="AP225" s="18">
        <f>IF(ISERROR(SEARCH("NO",Tabella1[[#This Row],[Cardiopatia ischemica]],1)),1,0)</f>
        <v>0</v>
      </c>
      <c r="AQ225" s="17">
        <f>IF(ISERROR(SEARCH("sconosciuto",Tabella1[[#This Row],[Cardiopatia ischemica]],1)),0,1)</f>
        <v>0</v>
      </c>
      <c r="AR225" s="11" t="s">
        <v>25</v>
      </c>
      <c r="AS225" s="22">
        <f>IF(ISERROR(SEARCH("nega",Tabella1[[#This Row],[Artimie]],1)),0,1)</f>
        <v>1</v>
      </c>
      <c r="AT225" s="11" t="s">
        <v>25</v>
      </c>
      <c r="AU225" s="22">
        <f>IF(ISERROR(SEARCH("nega",Tabella1[[#This Row],[Ipercolesterolemia]],1)),0,1)</f>
        <v>1</v>
      </c>
      <c r="AV225" s="22">
        <f>IF(ISERROR(SEARCH("boh",Tabella1[[#This Row],[Ipercolesterolemia]],1)),0,1)</f>
        <v>0</v>
      </c>
      <c r="AW225" s="11" t="s">
        <v>195</v>
      </c>
      <c r="AX225" s="22">
        <f>IF(ISERROR(SEARCH("Intolleranza",Tabella1[[#This Row],[Diabete]],1)),0,1)</f>
        <v>0</v>
      </c>
      <c r="AY225" s="22">
        <f>IF(ISERROR(SEARCH("si",Tabella1[[#This Row],[Diabete]],1)),0,1)</f>
        <v>0</v>
      </c>
      <c r="AZ225" s="11" t="s">
        <v>195</v>
      </c>
      <c r="BA225" s="18">
        <f>IF(ISERROR(SEARCH("NDD",Tabella1[[#This Row],[Patologia Tiroidea]],1)),0,1)</f>
        <v>0</v>
      </c>
      <c r="BB225" s="22">
        <f>IF(ISERROR(SEARCH("TIROIDITE",Tabella1[[#This Row],[Patologia Tiroidea]],1)),0,1)</f>
        <v>0</v>
      </c>
      <c r="BC225" s="22">
        <f>IF(ISERROR(SEARCH("HASHIMOTO",Tabella1[[#This Row],[Patologia Tiroidea]],1)),0,1)</f>
        <v>0</v>
      </c>
      <c r="BD225" s="22">
        <f>IF(ISERROR(SEARCH("BASEDOW",Tabella1[[#This Row],[Patologia Tiroidea]],1)),0,1)</f>
        <v>0</v>
      </c>
      <c r="BE225" s="22">
        <f>IF(ISERROR(SEARCH("NOD",Tabella1[[#This Row],[Patologia Tiroidea]],1)),0,1)</f>
        <v>0</v>
      </c>
      <c r="BF225" s="22">
        <f>IF(ISERROR(SEARCH("GOZ",Tabella1[[#This Row],[Patologia Tiroidea]],1)),0,1)</f>
        <v>0</v>
      </c>
      <c r="BG225" s="11" t="s">
        <v>8</v>
      </c>
      <c r="BH225" s="18">
        <f>IF(Tabella1[[#This Row],[Obesità]]="no",0,1)</f>
        <v>0</v>
      </c>
      <c r="BI225" s="11" t="s">
        <v>25</v>
      </c>
      <c r="BJ225" s="22">
        <f>IF(ISERROR(SEARCH("nega",Tabella1[[#This Row],[Reflusso gastroesofageo]],1)),1,0)</f>
        <v>0</v>
      </c>
      <c r="BK225" s="11" t="s">
        <v>3813</v>
      </c>
      <c r="BL225" s="18">
        <f>IF(ISERROR(SEARCH("NDD",Tabella1[[#This Row],[Patologia respiratoria]],1)),0,1)</f>
        <v>0</v>
      </c>
      <c r="BM225" s="18">
        <f>IF(ISERROR(SEARCH("asma",Tabella1[[#This Row],[Patologia respiratoria]],1)),0,1)</f>
        <v>1</v>
      </c>
      <c r="BN225" s="18">
        <f>IF(ISERROR(SEARCH("BPCO",Tabella1[[#This Row],[Patologia respiratoria]],1)),0,1)</f>
        <v>0</v>
      </c>
      <c r="BO225" s="18">
        <f>IF(ISERROR(SEARCH("BRONCOPOLMONITE",Tabella1[[#This Row],[Patologia respiratoria]],1)),0,1)</f>
        <v>0</v>
      </c>
      <c r="BP225" s="18">
        <f>IF(ISERROR(SEARCH("ASMA, OSAS",Tabella1[[#This Row],[Patologia respiratoria]],1)),0,1)</f>
        <v>0</v>
      </c>
      <c r="BQ225" s="18">
        <f>IF(ISERROR(SEARCH("OSAS e BPCO",Tabella1[[#This Row],[Patologia respiratoria]],1)),0,1)</f>
        <v>0</v>
      </c>
      <c r="BR225" s="18">
        <f>IF(ISERROR(SEARCH("OSAS",Tabella1[[#This Row],[Patologia respiratoria]],1)),0,1)</f>
        <v>0</v>
      </c>
      <c r="BS225" s="11" t="s">
        <v>2499</v>
      </c>
      <c r="BT225" s="11" t="s">
        <v>2500</v>
      </c>
      <c r="BU225" s="11" t="s">
        <v>195</v>
      </c>
      <c r="BV225" s="18">
        <f>IF(ISERROR(SEARCH("ndd",Tabella1[[#This Row],[O2 terapia]],1)),0,1)</f>
        <v>0</v>
      </c>
      <c r="BW225" s="17">
        <v>0</v>
      </c>
      <c r="BX225" s="11" t="s">
        <v>2501</v>
      </c>
      <c r="BY225" s="11" t="s">
        <v>309</v>
      </c>
      <c r="BZ225" s="18">
        <v>0</v>
      </c>
      <c r="CA225" s="11" t="s">
        <v>2502</v>
      </c>
      <c r="CB225" s="17">
        <v>1</v>
      </c>
      <c r="CC225" s="11" t="s">
        <v>2503</v>
      </c>
      <c r="CD225" s="17">
        <v>1</v>
      </c>
      <c r="CE225" s="11" t="s">
        <v>309</v>
      </c>
      <c r="CF225" s="18">
        <v>0</v>
      </c>
      <c r="CG225" s="11" t="s">
        <v>2504</v>
      </c>
      <c r="CH225" s="17">
        <v>1</v>
      </c>
      <c r="CI225" s="11" t="s">
        <v>195</v>
      </c>
      <c r="CJ225" s="18">
        <v>0</v>
      </c>
      <c r="CK225" s="11" t="s">
        <v>195</v>
      </c>
      <c r="CL225" s="17">
        <v>0</v>
      </c>
      <c r="CM225" s="11" t="s">
        <v>195</v>
      </c>
      <c r="CN225" s="17">
        <v>0</v>
      </c>
      <c r="CO225" s="11" t="s">
        <v>194</v>
      </c>
      <c r="CP225" s="17">
        <v>1</v>
      </c>
      <c r="CQ225" s="11" t="s">
        <v>54</v>
      </c>
      <c r="CR225" s="11" t="s">
        <v>2505</v>
      </c>
      <c r="CS225" s="11" t="s">
        <v>219</v>
      </c>
      <c r="CT225" s="11" t="s">
        <v>1181</v>
      </c>
      <c r="CU225" s="11" t="s">
        <v>2506</v>
      </c>
      <c r="CV225" s="12" t="s">
        <v>2507</v>
      </c>
    </row>
    <row r="226" spans="1:100" ht="142.5">
      <c r="A226" s="1">
        <f t="shared" si="3"/>
        <v>225</v>
      </c>
      <c r="B226" s="5">
        <v>1340</v>
      </c>
      <c r="C226" s="6">
        <v>45356</v>
      </c>
      <c r="D226" s="7" t="s">
        <v>2508</v>
      </c>
      <c r="E226" s="6">
        <v>26779</v>
      </c>
      <c r="F226" s="29">
        <f ca="1">_xlfn.DAYS(NOW(),Tabella1[[#This Row],[Data di Nascita]])/365.25</f>
        <v>52.276522929500345</v>
      </c>
      <c r="G226" s="7" t="s">
        <v>2509</v>
      </c>
      <c r="H226" s="7" t="s">
        <v>2510</v>
      </c>
      <c r="I226" s="7" t="s">
        <v>2142</v>
      </c>
      <c r="J226" s="7" t="s">
        <v>1346</v>
      </c>
      <c r="K226" s="7" t="s">
        <v>904</v>
      </c>
      <c r="L226" s="17">
        <f>IF(ISERROR(SEARCH("EX",Tabella1[[#This Row],[Attività lavorativa]],1)),0,1)</f>
        <v>0</v>
      </c>
      <c r="M226" s="17"/>
      <c r="N226" s="17"/>
      <c r="O226" s="17"/>
      <c r="P226" s="18">
        <v>1</v>
      </c>
      <c r="Q226" s="17"/>
      <c r="R226" s="17"/>
      <c r="S226" s="17"/>
      <c r="T226" s="17">
        <f>IF(ISERROR(SEARCH("NDD",Tabella1[[#This Row],[Attività lavorativa]],1)),0,1)</f>
        <v>0</v>
      </c>
      <c r="U226" s="7" t="s">
        <v>8</v>
      </c>
      <c r="V226" s="22"/>
      <c r="W226" s="22">
        <f>IF(ISERROR(SEARCH("ex",Tabella1[[#This Row],[Fumo]],1)),0,1)</f>
        <v>0</v>
      </c>
      <c r="X226" s="22">
        <f>IF(ISERROR(SEARCH("no",Tabella1[[#This Row],[Fumo]],1)),0,1)</f>
        <v>1</v>
      </c>
      <c r="Y226" s="7" t="s">
        <v>25</v>
      </c>
      <c r="Z226" s="17">
        <f>IF(ISERROR(SEARCH("NDD",Tabella1[[#This Row],[Bevitore alcolici]],1)),0,1)</f>
        <v>0</v>
      </c>
      <c r="AA226" s="17">
        <f>IF(ISERROR(SEARCH("raro",Tabella1[[#This Row],[Bevitore alcolici]],1)),0,1)</f>
        <v>0</v>
      </c>
      <c r="AB226" s="17">
        <f>IF(ISERROR(SEARCH("saltuariamente",Tabella1[[#This Row],[Bevitore alcolici]],1)),0,1)</f>
        <v>0</v>
      </c>
      <c r="AC226" s="17">
        <f>IF(ISERROR(SEARCH("nega",Tabella1[[#This Row],[Bevitore alcolici]],1)),0,1)</f>
        <v>1</v>
      </c>
      <c r="AD226" s="17">
        <f>IF(ISERROR(SEARCH("potus",Tabella1[[#This Row],[Bevitore alcolici]],1)),0,1)</f>
        <v>0</v>
      </c>
      <c r="AE226" s="7" t="s">
        <v>657</v>
      </c>
      <c r="AF226" s="17"/>
      <c r="AG226" s="17"/>
      <c r="AH226" s="17"/>
      <c r="AI226" s="17"/>
      <c r="AJ226" s="17"/>
      <c r="AK226" s="7" t="s">
        <v>8</v>
      </c>
      <c r="AL226" s="17">
        <f>IF(ISERROR(SEARCH("si",Tabella1[[#This Row],[Patente di guida]],1)),0,1)</f>
        <v>0</v>
      </c>
      <c r="AM226" s="7" t="s">
        <v>8</v>
      </c>
      <c r="AN226" s="17">
        <f>IF(ISERROR(SEARCH("no",Tabella1[[#This Row],[Ipertensione]],1)),0,1)</f>
        <v>1</v>
      </c>
      <c r="AO226" s="7" t="s">
        <v>382</v>
      </c>
      <c r="AP226" s="18">
        <f>IF(ISERROR(SEARCH("NO",Tabella1[[#This Row],[Cardiopatia ischemica]],1)),1,0)</f>
        <v>0</v>
      </c>
      <c r="AQ226" s="17">
        <f>IF(ISERROR(SEARCH("sconosciuto",Tabella1[[#This Row],[Cardiopatia ischemica]],1)),0,1)</f>
        <v>0</v>
      </c>
      <c r="AR226" s="7" t="s">
        <v>25</v>
      </c>
      <c r="AS226" s="17">
        <f>IF(ISERROR(SEARCH("nega",Tabella1[[#This Row],[Artimie]],1)),0,1)</f>
        <v>1</v>
      </c>
      <c r="AT226" s="7" t="s">
        <v>25</v>
      </c>
      <c r="AU226" s="17">
        <f>IF(ISERROR(SEARCH("nega",Tabella1[[#This Row],[Ipercolesterolemia]],1)),0,1)</f>
        <v>1</v>
      </c>
      <c r="AV226" s="17">
        <f>IF(ISERROR(SEARCH("boh",Tabella1[[#This Row],[Ipercolesterolemia]],1)),0,1)</f>
        <v>0</v>
      </c>
      <c r="AW226" s="7" t="s">
        <v>8</v>
      </c>
      <c r="AX226" s="17">
        <f>IF(ISERROR(SEARCH("Intolleranza",Tabella1[[#This Row],[Diabete]],1)),0,1)</f>
        <v>0</v>
      </c>
      <c r="AY226" s="17">
        <f>IF(ISERROR(SEARCH("si",Tabella1[[#This Row],[Diabete]],1)),0,1)</f>
        <v>0</v>
      </c>
      <c r="AZ226" s="7" t="s">
        <v>8</v>
      </c>
      <c r="BA226" s="17">
        <f>IF(ISERROR(SEARCH("NDD",Tabella1[[#This Row],[Patologia Tiroidea]],1)),0,1)</f>
        <v>0</v>
      </c>
      <c r="BB226" s="17">
        <f>IF(ISERROR(SEARCH("TIROIDITE",Tabella1[[#This Row],[Patologia Tiroidea]],1)),0,1)</f>
        <v>0</v>
      </c>
      <c r="BC226" s="17">
        <f>IF(ISERROR(SEARCH("HASHIMOTO",Tabella1[[#This Row],[Patologia Tiroidea]],1)),0,1)</f>
        <v>0</v>
      </c>
      <c r="BD226" s="17">
        <f>IF(ISERROR(SEARCH("BASEDOW",Tabella1[[#This Row],[Patologia Tiroidea]],1)),0,1)</f>
        <v>0</v>
      </c>
      <c r="BE226" s="17">
        <f>IF(ISERROR(SEARCH("NOD",Tabella1[[#This Row],[Patologia Tiroidea]],1)),0,1)</f>
        <v>0</v>
      </c>
      <c r="BF226" s="17">
        <f>IF(ISERROR(SEARCH("GOZ",Tabella1[[#This Row],[Patologia Tiroidea]],1)),0,1)</f>
        <v>0</v>
      </c>
      <c r="BG226" s="7" t="s">
        <v>7</v>
      </c>
      <c r="BH226" s="17">
        <f>IF(Tabella1[[#This Row],[Obesità]]="no",0,1)</f>
        <v>1</v>
      </c>
      <c r="BI226" s="7" t="s">
        <v>25</v>
      </c>
      <c r="BJ226" s="22">
        <f>IF(ISERROR(SEARCH("nega",Tabella1[[#This Row],[Reflusso gastroesofageo]],1)),1,0)</f>
        <v>0</v>
      </c>
      <c r="BK226" s="7" t="s">
        <v>8</v>
      </c>
      <c r="BL226" s="17">
        <f>IF(ISERROR(SEARCH("NDD",Tabella1[[#This Row],[Patologia respiratoria]],1)),0,1)</f>
        <v>0</v>
      </c>
      <c r="BM226" s="17">
        <f>IF(ISERROR(SEARCH("asma",Tabella1[[#This Row],[Patologia respiratoria]],1)),0,1)</f>
        <v>0</v>
      </c>
      <c r="BN226" s="17">
        <f>IF(ISERROR(SEARCH("BPCO",Tabella1[[#This Row],[Patologia respiratoria]],1)),0,1)</f>
        <v>0</v>
      </c>
      <c r="BO226" s="17">
        <f>IF(ISERROR(SEARCH("BRONCOPOLMONITE",Tabella1[[#This Row],[Patologia respiratoria]],1)),0,1)</f>
        <v>0</v>
      </c>
      <c r="BP226" s="17">
        <f>IF(ISERROR(SEARCH("ASMA, OSAS",Tabella1[[#This Row],[Patologia respiratoria]],1)),0,1)</f>
        <v>0</v>
      </c>
      <c r="BQ226" s="17">
        <f>IF(ISERROR(SEARCH("OSAS e BPCO",Tabella1[[#This Row],[Patologia respiratoria]],1)),0,1)</f>
        <v>0</v>
      </c>
      <c r="BR226" s="17">
        <f>IF(ISERROR(SEARCH("OSAS",Tabella1[[#This Row],[Patologia respiratoria]],1)),0,1)</f>
        <v>0</v>
      </c>
      <c r="BS226" s="7" t="s">
        <v>2511</v>
      </c>
      <c r="BT226" s="7" t="s">
        <v>8</v>
      </c>
      <c r="BU226" s="7" t="s">
        <v>5477</v>
      </c>
      <c r="BV226" s="17">
        <f>IF(ISERROR(SEARCH("ndd",Tabella1[[#This Row],[O2 terapia]],1)),0,1)</f>
        <v>1</v>
      </c>
      <c r="BW226" s="17"/>
      <c r="BX226" s="7"/>
      <c r="BY226" s="7" t="s">
        <v>2512</v>
      </c>
      <c r="BZ226" s="17">
        <v>1</v>
      </c>
      <c r="CA226" s="7" t="s">
        <v>2513</v>
      </c>
      <c r="CB226" s="17">
        <v>1</v>
      </c>
      <c r="CC226" s="7" t="s">
        <v>7</v>
      </c>
      <c r="CD226" s="17">
        <v>1</v>
      </c>
      <c r="CE226" s="7" t="s">
        <v>8</v>
      </c>
      <c r="CF226" s="18">
        <v>0</v>
      </c>
      <c r="CG226" s="7" t="s">
        <v>8</v>
      </c>
      <c r="CH226" s="17">
        <v>0</v>
      </c>
      <c r="CI226" s="7" t="s">
        <v>8</v>
      </c>
      <c r="CJ226" s="18">
        <v>0</v>
      </c>
      <c r="CK226" s="7" t="s">
        <v>2080</v>
      </c>
      <c r="CL226" s="17">
        <v>1</v>
      </c>
      <c r="CM226" s="7" t="s">
        <v>8</v>
      </c>
      <c r="CN226" s="17">
        <v>0</v>
      </c>
      <c r="CO226" s="7" t="s">
        <v>200</v>
      </c>
      <c r="CP226" s="17">
        <v>1</v>
      </c>
      <c r="CQ226" s="7" t="s">
        <v>85</v>
      </c>
      <c r="CR226" s="7" t="s">
        <v>388</v>
      </c>
      <c r="CS226" s="7" t="s">
        <v>355</v>
      </c>
      <c r="CT226" s="7" t="s">
        <v>121</v>
      </c>
      <c r="CU226" s="7" t="s">
        <v>2514</v>
      </c>
      <c r="CV226" s="8" t="s">
        <v>2515</v>
      </c>
    </row>
    <row r="227" spans="1:100" ht="409.5">
      <c r="A227" s="1">
        <f t="shared" si="3"/>
        <v>226</v>
      </c>
      <c r="B227" s="9">
        <v>1341</v>
      </c>
      <c r="C227" s="10">
        <v>45356</v>
      </c>
      <c r="D227" s="11" t="s">
        <v>2516</v>
      </c>
      <c r="E227" s="10">
        <v>28983</v>
      </c>
      <c r="F227" s="29">
        <f ca="1">_xlfn.DAYS(NOW(),Tabella1[[#This Row],[Data di Nascita]])/365.25</f>
        <v>46.242299794661193</v>
      </c>
      <c r="G227" s="11" t="s">
        <v>2517</v>
      </c>
      <c r="H227" s="11" t="s">
        <v>2518</v>
      </c>
      <c r="I227" s="11" t="s">
        <v>2293</v>
      </c>
      <c r="J227" s="11" t="s">
        <v>211</v>
      </c>
      <c r="K227" s="11" t="s">
        <v>2519</v>
      </c>
      <c r="L227" s="18">
        <f>IF(ISERROR(SEARCH("EX",Tabella1[[#This Row],[Attività lavorativa]],1)),0,1)</f>
        <v>0</v>
      </c>
      <c r="M227" s="18"/>
      <c r="N227" s="18"/>
      <c r="O227" s="18"/>
      <c r="P227" s="18"/>
      <c r="Q227" s="18"/>
      <c r="R227" s="18"/>
      <c r="S227" s="18"/>
      <c r="T227" s="17">
        <f>IF(ISERROR(SEARCH("NDD",Tabella1[[#This Row],[Attività lavorativa]],1)),0,1)</f>
        <v>0</v>
      </c>
      <c r="U227" s="11" t="s">
        <v>2520</v>
      </c>
      <c r="V227" s="22"/>
      <c r="W227" s="22">
        <f>IF(ISERROR(SEARCH("ex",Tabella1[[#This Row],[Fumo]],1)),0,1)</f>
        <v>0</v>
      </c>
      <c r="X227" s="22">
        <f>IF(ISERROR(SEARCH("no",Tabella1[[#This Row],[Fumo]],1)),0,1)</f>
        <v>0</v>
      </c>
      <c r="Y227" s="11" t="s">
        <v>25</v>
      </c>
      <c r="Z227" s="18">
        <f>IF(ISERROR(SEARCH("NDD",Tabella1[[#This Row],[Bevitore alcolici]],1)),0,1)</f>
        <v>0</v>
      </c>
      <c r="AA227" s="17">
        <f>IF(ISERROR(SEARCH("raro",Tabella1[[#This Row],[Bevitore alcolici]],1)),0,1)</f>
        <v>0</v>
      </c>
      <c r="AB227" s="17">
        <f>IF(ISERROR(SEARCH("saltuariamente",Tabella1[[#This Row],[Bevitore alcolici]],1)),0,1)</f>
        <v>0</v>
      </c>
      <c r="AC227" s="17">
        <f>IF(ISERROR(SEARCH("nega",Tabella1[[#This Row],[Bevitore alcolici]],1)),0,1)</f>
        <v>1</v>
      </c>
      <c r="AD227" s="17">
        <f>IF(ISERROR(SEARCH("potus",Tabella1[[#This Row],[Bevitore alcolici]],1)),0,1)</f>
        <v>0</v>
      </c>
      <c r="AE227" s="11" t="s">
        <v>2521</v>
      </c>
      <c r="AF227" s="18"/>
      <c r="AG227" s="18"/>
      <c r="AH227" s="18">
        <v>1</v>
      </c>
      <c r="AI227" s="18"/>
      <c r="AJ227" s="18"/>
      <c r="AK227" s="11" t="s">
        <v>194</v>
      </c>
      <c r="AL227" s="18">
        <f>IF(ISERROR(SEARCH("si",Tabella1[[#This Row],[Patente di guida]],1)),0,1)</f>
        <v>1</v>
      </c>
      <c r="AM227" s="11" t="s">
        <v>28</v>
      </c>
      <c r="AN227" s="18">
        <f>IF(ISERROR(SEARCH("no",Tabella1[[#This Row],[Ipertensione]],1)),0,1)</f>
        <v>0</v>
      </c>
      <c r="AO227" s="11" t="s">
        <v>382</v>
      </c>
      <c r="AP227" s="18">
        <f>IF(ISERROR(SEARCH("NO",Tabella1[[#This Row],[Cardiopatia ischemica]],1)),1,0)</f>
        <v>0</v>
      </c>
      <c r="AQ227" s="17">
        <f>IF(ISERROR(SEARCH("sconosciuto",Tabella1[[#This Row],[Cardiopatia ischemica]],1)),0,1)</f>
        <v>0</v>
      </c>
      <c r="AR227" s="11" t="s">
        <v>25</v>
      </c>
      <c r="AS227" s="22">
        <f>IF(ISERROR(SEARCH("nega",Tabella1[[#This Row],[Artimie]],1)),0,1)</f>
        <v>1</v>
      </c>
      <c r="AT227" s="11" t="s">
        <v>194</v>
      </c>
      <c r="AU227" s="22">
        <f>IF(ISERROR(SEARCH("nega",Tabella1[[#This Row],[Ipercolesterolemia]],1)),0,1)</f>
        <v>0</v>
      </c>
      <c r="AV227" s="22">
        <f>IF(ISERROR(SEARCH("boh",Tabella1[[#This Row],[Ipercolesterolemia]],1)),0,1)</f>
        <v>0</v>
      </c>
      <c r="AW227" s="11" t="s">
        <v>2522</v>
      </c>
      <c r="AX227" s="22">
        <f>IF(ISERROR(SEARCH("Intolleranza",Tabella1[[#This Row],[Diabete]],1)),0,1)</f>
        <v>1</v>
      </c>
      <c r="AY227" s="22">
        <f>IF(ISERROR(SEARCH("si",Tabella1[[#This Row],[Diabete]],1)),0,1)</f>
        <v>0</v>
      </c>
      <c r="AZ227" s="11" t="s">
        <v>3777</v>
      </c>
      <c r="BA227" s="18">
        <f>IF(ISERROR(SEARCH("NDD",Tabella1[[#This Row],[Patologia Tiroidea]],1)),0,1)</f>
        <v>0</v>
      </c>
      <c r="BB227" s="22">
        <f>IF(ISERROR(SEARCH("TIROIDITE",Tabella1[[#This Row],[Patologia Tiroidea]],1)),0,1)</f>
        <v>1</v>
      </c>
      <c r="BC227" s="22">
        <f>IF(ISERROR(SEARCH("HASHIMOTO",Tabella1[[#This Row],[Patologia Tiroidea]],1)),0,1)</f>
        <v>1</v>
      </c>
      <c r="BD227" s="22">
        <f>IF(ISERROR(SEARCH("BASEDOW",Tabella1[[#This Row],[Patologia Tiroidea]],1)),0,1)</f>
        <v>0</v>
      </c>
      <c r="BE227" s="22">
        <f>IF(ISERROR(SEARCH("NOD",Tabella1[[#This Row],[Patologia Tiroidea]],1)),0,1)</f>
        <v>0</v>
      </c>
      <c r="BF227" s="22">
        <f>IF(ISERROR(SEARCH("GOZ",Tabella1[[#This Row],[Patologia Tiroidea]],1)),0,1)</f>
        <v>0</v>
      </c>
      <c r="BG227" s="11" t="s">
        <v>2523</v>
      </c>
      <c r="BH227" s="18">
        <f>IF(Tabella1[[#This Row],[Obesità]]="no",0,1)</f>
        <v>1</v>
      </c>
      <c r="BI227" s="11" t="s">
        <v>2524</v>
      </c>
      <c r="BJ227" s="22">
        <f>IF(ISERROR(SEARCH("nega",Tabella1[[#This Row],[Reflusso gastroesofageo]],1)),1,0)</f>
        <v>1</v>
      </c>
      <c r="BK227" s="11" t="s">
        <v>2525</v>
      </c>
      <c r="BL227" s="18">
        <f>IF(ISERROR(SEARCH("NDD",Tabella1[[#This Row],[Patologia respiratoria]],1)),0,1)</f>
        <v>0</v>
      </c>
      <c r="BM227" s="18">
        <f>IF(ISERROR(SEARCH("asma",Tabella1[[#This Row],[Patologia respiratoria]],1)),0,1)</f>
        <v>0</v>
      </c>
      <c r="BN227" s="18">
        <f>IF(ISERROR(SEARCH("BPCO",Tabella1[[#This Row],[Patologia respiratoria]],1)),0,1)</f>
        <v>0</v>
      </c>
      <c r="BO227" s="18">
        <f>IF(ISERROR(SEARCH("BRONCOPOLMONITE",Tabella1[[#This Row],[Patologia respiratoria]],1)),0,1)</f>
        <v>0</v>
      </c>
      <c r="BP227" s="18">
        <f>IF(ISERROR(SEARCH("ASMA, OSAS",Tabella1[[#This Row],[Patologia respiratoria]],1)),0,1)</f>
        <v>0</v>
      </c>
      <c r="BQ227" s="18">
        <f>IF(ISERROR(SEARCH("OSAS e BPCO",Tabella1[[#This Row],[Patologia respiratoria]],1)),0,1)</f>
        <v>0</v>
      </c>
      <c r="BR227" s="18">
        <f>IF(ISERROR(SEARCH("OSAS",Tabella1[[#This Row],[Patologia respiratoria]],1)),0,1)</f>
        <v>0</v>
      </c>
      <c r="BS227" s="11" t="s">
        <v>2526</v>
      </c>
      <c r="BT227" s="11" t="s">
        <v>2527</v>
      </c>
      <c r="BU227" s="11" t="s">
        <v>195</v>
      </c>
      <c r="BV227" s="18">
        <f>IF(ISERROR(SEARCH("ndd",Tabella1[[#This Row],[O2 terapia]],1)),0,1)</f>
        <v>0</v>
      </c>
      <c r="BW227" s="17">
        <v>0</v>
      </c>
      <c r="BX227" s="11"/>
      <c r="BY227" s="11" t="s">
        <v>309</v>
      </c>
      <c r="BZ227" s="18">
        <v>0</v>
      </c>
      <c r="CA227" s="11" t="s">
        <v>2528</v>
      </c>
      <c r="CB227" s="17">
        <v>1</v>
      </c>
      <c r="CC227" s="11" t="s">
        <v>2529</v>
      </c>
      <c r="CD227" s="17">
        <v>1</v>
      </c>
      <c r="CE227" s="11" t="s">
        <v>309</v>
      </c>
      <c r="CF227" s="18">
        <v>0</v>
      </c>
      <c r="CG227" s="11" t="s">
        <v>194</v>
      </c>
      <c r="CH227" s="17">
        <v>1</v>
      </c>
      <c r="CI227" s="7" t="s">
        <v>5477</v>
      </c>
      <c r="CJ227" s="18"/>
      <c r="CK227" s="11" t="s">
        <v>2530</v>
      </c>
      <c r="CL227" s="17">
        <v>1</v>
      </c>
      <c r="CM227" s="11" t="s">
        <v>2531</v>
      </c>
      <c r="CN227" s="17">
        <v>1</v>
      </c>
      <c r="CO227" s="11" t="s">
        <v>2369</v>
      </c>
      <c r="CP227" s="17">
        <v>1</v>
      </c>
      <c r="CQ227" s="11" t="s">
        <v>85</v>
      </c>
      <c r="CR227" s="11" t="s">
        <v>1558</v>
      </c>
      <c r="CS227" s="11" t="s">
        <v>105</v>
      </c>
      <c r="CT227" s="11" t="s">
        <v>787</v>
      </c>
      <c r="CU227" s="11" t="s">
        <v>2532</v>
      </c>
      <c r="CV227" s="12" t="s">
        <v>2142</v>
      </c>
    </row>
    <row r="228" spans="1:100" ht="370.5">
      <c r="A228" s="1">
        <f t="shared" si="3"/>
        <v>227</v>
      </c>
      <c r="B228" s="5">
        <v>1345</v>
      </c>
      <c r="C228" s="6">
        <v>45357</v>
      </c>
      <c r="D228" s="7" t="s">
        <v>2533</v>
      </c>
      <c r="E228" s="6">
        <v>20721</v>
      </c>
      <c r="F228" s="29">
        <f ca="1">_xlfn.DAYS(NOW(),Tabella1[[#This Row],[Data di Nascita]])/365.25</f>
        <v>68.862422997946609</v>
      </c>
      <c r="G228" s="7" t="s">
        <v>2534</v>
      </c>
      <c r="H228" s="7" t="s">
        <v>2535</v>
      </c>
      <c r="I228" s="7" t="s">
        <v>2293</v>
      </c>
      <c r="J228" s="7" t="s">
        <v>618</v>
      </c>
      <c r="K228" s="7" t="s">
        <v>5618</v>
      </c>
      <c r="L228" s="17">
        <f>IF(ISERROR(SEARCH("EX",Tabella1[[#This Row],[Attività lavorativa]],1)),0,1)</f>
        <v>1</v>
      </c>
      <c r="M228" s="17"/>
      <c r="N228" s="17">
        <v>1</v>
      </c>
      <c r="O228" s="17"/>
      <c r="P228" s="17"/>
      <c r="Q228" s="18">
        <v>1</v>
      </c>
      <c r="R228" s="17"/>
      <c r="S228" s="17"/>
      <c r="T228" s="17">
        <f>IF(ISERROR(SEARCH("NDD",Tabella1[[#This Row],[Attività lavorativa]],1)),0,1)</f>
        <v>0</v>
      </c>
      <c r="U228" s="7" t="s">
        <v>2536</v>
      </c>
      <c r="V228" s="22">
        <v>25</v>
      </c>
      <c r="W228" s="22">
        <f>IF(ISERROR(SEARCH("ex",Tabella1[[#This Row],[Fumo]],1)),0,1)</f>
        <v>1</v>
      </c>
      <c r="X228" s="22">
        <f>IF(ISERROR(SEARCH("no",Tabella1[[#This Row],[Fumo]],1)),0,1)</f>
        <v>0</v>
      </c>
      <c r="Y228" s="7" t="s">
        <v>80</v>
      </c>
      <c r="Z228" s="17">
        <f>IF(ISERROR(SEARCH("NDD",Tabella1[[#This Row],[Bevitore alcolici]],1)),0,1)</f>
        <v>0</v>
      </c>
      <c r="AA228" s="17">
        <f>IF(ISERROR(SEARCH("raro",Tabella1[[#This Row],[Bevitore alcolici]],1)),0,1)</f>
        <v>0</v>
      </c>
      <c r="AB228" s="17">
        <f>IF(ISERROR(SEARCH("saltuariamente",Tabella1[[#This Row],[Bevitore alcolici]],1)),0,1)</f>
        <v>0</v>
      </c>
      <c r="AC228" s="17">
        <f>IF(ISERROR(SEARCH("nega",Tabella1[[#This Row],[Bevitore alcolici]],1)),0,1)</f>
        <v>0</v>
      </c>
      <c r="AD228" s="17">
        <f>IF(ISERROR(SEARCH("potus",Tabella1[[#This Row],[Bevitore alcolici]],1)),0,1)</f>
        <v>0</v>
      </c>
      <c r="AE228" s="7" t="s">
        <v>2537</v>
      </c>
      <c r="AF228" s="17"/>
      <c r="AG228" s="17"/>
      <c r="AH228" s="18">
        <v>1</v>
      </c>
      <c r="AI228" s="18"/>
      <c r="AJ228" s="18"/>
      <c r="AK228" s="7" t="s">
        <v>28</v>
      </c>
      <c r="AL228" s="17">
        <f>IF(ISERROR(SEARCH("si",Tabella1[[#This Row],[Patente di guida]],1)),0,1)</f>
        <v>1</v>
      </c>
      <c r="AM228" s="7" t="s">
        <v>28</v>
      </c>
      <c r="AN228" s="17">
        <f>IF(ISERROR(SEARCH("no",Tabella1[[#This Row],[Ipertensione]],1)),0,1)</f>
        <v>0</v>
      </c>
      <c r="AO228" s="7" t="s">
        <v>382</v>
      </c>
      <c r="AP228" s="18">
        <f>IF(ISERROR(SEARCH("NO",Tabella1[[#This Row],[Cardiopatia ischemica]],1)),1,0)</f>
        <v>0</v>
      </c>
      <c r="AQ228" s="17">
        <f>IF(ISERROR(SEARCH("sconosciuto",Tabella1[[#This Row],[Cardiopatia ischemica]],1)),0,1)</f>
        <v>0</v>
      </c>
      <c r="AR228" s="7" t="s">
        <v>25</v>
      </c>
      <c r="AS228" s="22">
        <f>IF(ISERROR(SEARCH("nega",Tabella1[[#This Row],[Artimie]],1)),0,1)</f>
        <v>1</v>
      </c>
      <c r="AT228" s="7" t="s">
        <v>25</v>
      </c>
      <c r="AU228" s="22">
        <f>IF(ISERROR(SEARCH("nega",Tabella1[[#This Row],[Ipercolesterolemia]],1)),0,1)</f>
        <v>1</v>
      </c>
      <c r="AV228" s="22">
        <f>IF(ISERROR(SEARCH("boh",Tabella1[[#This Row],[Ipercolesterolemia]],1)),0,1)</f>
        <v>0</v>
      </c>
      <c r="AW228" s="7" t="s">
        <v>8</v>
      </c>
      <c r="AX228" s="22">
        <f>IF(ISERROR(SEARCH("Intolleranza",Tabella1[[#This Row],[Diabete]],1)),0,1)</f>
        <v>0</v>
      </c>
      <c r="AY228" s="22">
        <f>IF(ISERROR(SEARCH("si",Tabella1[[#This Row],[Diabete]],1)),0,1)</f>
        <v>0</v>
      </c>
      <c r="AZ228" s="7" t="s">
        <v>3777</v>
      </c>
      <c r="BA228" s="17">
        <f>IF(ISERROR(SEARCH("NDD",Tabella1[[#This Row],[Patologia Tiroidea]],1)),0,1)</f>
        <v>0</v>
      </c>
      <c r="BB228" s="22">
        <f>IF(ISERROR(SEARCH("TIROIDITE",Tabella1[[#This Row],[Patologia Tiroidea]],1)),0,1)</f>
        <v>1</v>
      </c>
      <c r="BC228" s="22">
        <f>IF(ISERROR(SEARCH("HASHIMOTO",Tabella1[[#This Row],[Patologia Tiroidea]],1)),0,1)</f>
        <v>1</v>
      </c>
      <c r="BD228" s="22">
        <f>IF(ISERROR(SEARCH("BASEDOW",Tabella1[[#This Row],[Patologia Tiroidea]],1)),0,1)</f>
        <v>0</v>
      </c>
      <c r="BE228" s="22">
        <f>IF(ISERROR(SEARCH("NOD",Tabella1[[#This Row],[Patologia Tiroidea]],1)),0,1)</f>
        <v>0</v>
      </c>
      <c r="BF228" s="22">
        <f>IF(ISERROR(SEARCH("GOZ",Tabella1[[#This Row],[Patologia Tiroidea]],1)),0,1)</f>
        <v>0</v>
      </c>
      <c r="BG228" s="7" t="s">
        <v>8</v>
      </c>
      <c r="BH228" s="17">
        <f>IF(Tabella1[[#This Row],[Obesità]]="no",0,1)</f>
        <v>0</v>
      </c>
      <c r="BI228" s="7" t="s">
        <v>2538</v>
      </c>
      <c r="BJ228" s="22">
        <f>IF(ISERROR(SEARCH("nega",Tabella1[[#This Row],[Reflusso gastroesofageo]],1)),1,0)</f>
        <v>1</v>
      </c>
      <c r="BK228" s="7" t="s">
        <v>3814</v>
      </c>
      <c r="BL228" s="17">
        <f>IF(ISERROR(SEARCH("NDD",Tabella1[[#This Row],[Patologia respiratoria]],1)),0,1)</f>
        <v>0</v>
      </c>
      <c r="BM228" s="17">
        <f>IF(ISERROR(SEARCH("asma",Tabella1[[#This Row],[Patologia respiratoria]],1)),0,1)</f>
        <v>1</v>
      </c>
      <c r="BN228" s="17">
        <f>IF(ISERROR(SEARCH("BPCO",Tabella1[[#This Row],[Patologia respiratoria]],1)),0,1)</f>
        <v>0</v>
      </c>
      <c r="BO228" s="17">
        <f>IF(ISERROR(SEARCH("BRONCOPOLMONITE",Tabella1[[#This Row],[Patologia respiratoria]],1)),0,1)</f>
        <v>0</v>
      </c>
      <c r="BP228" s="17">
        <f>IF(ISERROR(SEARCH("ASMA, OSAS",Tabella1[[#This Row],[Patologia respiratoria]],1)),0,1)</f>
        <v>0</v>
      </c>
      <c r="BQ228" s="17">
        <f>IF(ISERROR(SEARCH("OSAS e BPCO",Tabella1[[#This Row],[Patologia respiratoria]],1)),0,1)</f>
        <v>0</v>
      </c>
      <c r="BR228" s="17">
        <f>IF(ISERROR(SEARCH("OSAS",Tabella1[[#This Row],[Patologia respiratoria]],1)),0,1)</f>
        <v>0</v>
      </c>
      <c r="BS228" s="7" t="s">
        <v>2539</v>
      </c>
      <c r="BT228" s="7" t="s">
        <v>2540</v>
      </c>
      <c r="BU228" s="7" t="s">
        <v>195</v>
      </c>
      <c r="BV228" s="17">
        <f>IF(ISERROR(SEARCH("ndd",Tabella1[[#This Row],[O2 terapia]],1)),0,1)</f>
        <v>0</v>
      </c>
      <c r="BW228" s="17">
        <v>0</v>
      </c>
      <c r="BX228" s="7"/>
      <c r="BY228" s="7" t="s">
        <v>195</v>
      </c>
      <c r="BZ228" s="18">
        <v>0</v>
      </c>
      <c r="CA228" s="7" t="s">
        <v>2541</v>
      </c>
      <c r="CB228" s="17">
        <v>1</v>
      </c>
      <c r="CC228" s="7" t="s">
        <v>2542</v>
      </c>
      <c r="CD228" s="17">
        <v>1</v>
      </c>
      <c r="CE228" s="7" t="s">
        <v>309</v>
      </c>
      <c r="CF228" s="18">
        <v>0</v>
      </c>
      <c r="CG228" s="7" t="s">
        <v>194</v>
      </c>
      <c r="CH228" s="17">
        <v>1</v>
      </c>
      <c r="CI228" s="7" t="s">
        <v>5477</v>
      </c>
      <c r="CJ228" s="17"/>
      <c r="CK228" s="7" t="s">
        <v>2543</v>
      </c>
      <c r="CL228" s="17">
        <v>1</v>
      </c>
      <c r="CM228" s="7" t="s">
        <v>312</v>
      </c>
      <c r="CN228" s="17">
        <v>1</v>
      </c>
      <c r="CO228" s="7" t="s">
        <v>2544</v>
      </c>
      <c r="CP228" s="18">
        <v>0</v>
      </c>
      <c r="CQ228" s="7" t="s">
        <v>202</v>
      </c>
      <c r="CR228" s="7" t="s">
        <v>1799</v>
      </c>
      <c r="CS228" s="7" t="s">
        <v>71</v>
      </c>
      <c r="CT228" s="7" t="s">
        <v>420</v>
      </c>
      <c r="CU228" s="7" t="s">
        <v>2545</v>
      </c>
      <c r="CV228" s="8"/>
    </row>
    <row r="229" spans="1:100" ht="399">
      <c r="A229" s="1">
        <f t="shared" si="3"/>
        <v>228</v>
      </c>
      <c r="B229" s="9">
        <v>1353</v>
      </c>
      <c r="C229" s="10">
        <v>45362</v>
      </c>
      <c r="D229" s="11" t="s">
        <v>2546</v>
      </c>
      <c r="E229" s="10">
        <v>26605</v>
      </c>
      <c r="F229" s="29">
        <f ca="1">_xlfn.DAYS(NOW(),Tabella1[[#This Row],[Data di Nascita]])/365.25</f>
        <v>52.752908966461327</v>
      </c>
      <c r="G229" s="11" t="s">
        <v>2547</v>
      </c>
      <c r="H229" s="11" t="s">
        <v>2548</v>
      </c>
      <c r="I229" s="11" t="s">
        <v>2293</v>
      </c>
      <c r="J229" s="11" t="s">
        <v>473</v>
      </c>
      <c r="K229" s="11" t="s">
        <v>2549</v>
      </c>
      <c r="L229" s="18">
        <f>IF(ISERROR(SEARCH("EX",Tabella1[[#This Row],[Attività lavorativa]],1)),0,1)</f>
        <v>0</v>
      </c>
      <c r="M229" s="18"/>
      <c r="N229" s="18"/>
      <c r="O229" s="18"/>
      <c r="P229" s="18"/>
      <c r="Q229" s="18"/>
      <c r="R229" s="17">
        <v>1</v>
      </c>
      <c r="S229" s="17"/>
      <c r="T229" s="17">
        <f>IF(ISERROR(SEARCH("NDD",Tabella1[[#This Row],[Attività lavorativa]],1)),0,1)</f>
        <v>0</v>
      </c>
      <c r="U229" s="11" t="s">
        <v>2550</v>
      </c>
      <c r="V229" s="22">
        <v>30</v>
      </c>
      <c r="W229" s="22">
        <f>IF(ISERROR(SEARCH("ex",Tabella1[[#This Row],[Fumo]],1)),0,1)</f>
        <v>0</v>
      </c>
      <c r="X229" s="22">
        <f>IF(ISERROR(SEARCH("no",Tabella1[[#This Row],[Fumo]],1)),0,1)</f>
        <v>0</v>
      </c>
      <c r="Y229" s="11" t="s">
        <v>25</v>
      </c>
      <c r="Z229" s="18">
        <f>IF(ISERROR(SEARCH("NDD",Tabella1[[#This Row],[Bevitore alcolici]],1)),0,1)</f>
        <v>0</v>
      </c>
      <c r="AA229" s="17">
        <f>IF(ISERROR(SEARCH("raro",Tabella1[[#This Row],[Bevitore alcolici]],1)),0,1)</f>
        <v>0</v>
      </c>
      <c r="AB229" s="17">
        <f>IF(ISERROR(SEARCH("saltuariamente",Tabella1[[#This Row],[Bevitore alcolici]],1)),0,1)</f>
        <v>0</v>
      </c>
      <c r="AC229" s="17">
        <f>IF(ISERROR(SEARCH("nega",Tabella1[[#This Row],[Bevitore alcolici]],1)),0,1)</f>
        <v>1</v>
      </c>
      <c r="AD229" s="17">
        <f>IF(ISERROR(SEARCH("potus",Tabella1[[#This Row],[Bevitore alcolici]],1)),0,1)</f>
        <v>0</v>
      </c>
      <c r="AE229" s="11" t="s">
        <v>5657</v>
      </c>
      <c r="AF229" s="18"/>
      <c r="AG229" s="18"/>
      <c r="AH229" s="18"/>
      <c r="AI229" s="18"/>
      <c r="AJ229" s="18"/>
      <c r="AK229" s="11" t="s">
        <v>194</v>
      </c>
      <c r="AL229" s="18">
        <f>IF(ISERROR(SEARCH("si",Tabella1[[#This Row],[Patente di guida]],1)),0,1)</f>
        <v>1</v>
      </c>
      <c r="AM229" s="11" t="s">
        <v>28</v>
      </c>
      <c r="AN229" s="18">
        <f>IF(ISERROR(SEARCH("no",Tabella1[[#This Row],[Ipertensione]],1)),0,1)</f>
        <v>0</v>
      </c>
      <c r="AO229" s="11" t="s">
        <v>382</v>
      </c>
      <c r="AP229" s="18">
        <f>IF(ISERROR(SEARCH("NO",Tabella1[[#This Row],[Cardiopatia ischemica]],1)),1,0)</f>
        <v>0</v>
      </c>
      <c r="AQ229" s="17">
        <f>IF(ISERROR(SEARCH("sconosciuto",Tabella1[[#This Row],[Cardiopatia ischemica]],1)),0,1)</f>
        <v>0</v>
      </c>
      <c r="AR229" s="11" t="s">
        <v>25</v>
      </c>
      <c r="AS229" s="22">
        <f>IF(ISERROR(SEARCH("nega",Tabella1[[#This Row],[Artimie]],1)),0,1)</f>
        <v>1</v>
      </c>
      <c r="AT229" s="11" t="s">
        <v>2551</v>
      </c>
      <c r="AU229" s="22">
        <f>IF(ISERROR(SEARCH("nega",Tabella1[[#This Row],[Ipercolesterolemia]],1)),0,1)</f>
        <v>0</v>
      </c>
      <c r="AV229" s="22">
        <f>IF(ISERROR(SEARCH("boh",Tabella1[[#This Row],[Ipercolesterolemia]],1)),0,1)</f>
        <v>0</v>
      </c>
      <c r="AW229" s="11" t="s">
        <v>8</v>
      </c>
      <c r="AX229" s="22">
        <f>IF(ISERROR(SEARCH("Intolleranza",Tabella1[[#This Row],[Diabete]],1)),0,1)</f>
        <v>0</v>
      </c>
      <c r="AY229" s="22">
        <f>IF(ISERROR(SEARCH("si",Tabella1[[#This Row],[Diabete]],1)),0,1)</f>
        <v>0</v>
      </c>
      <c r="AZ229" s="11" t="s">
        <v>8</v>
      </c>
      <c r="BA229" s="18">
        <f>IF(ISERROR(SEARCH("NDD",Tabella1[[#This Row],[Patologia Tiroidea]],1)),0,1)</f>
        <v>0</v>
      </c>
      <c r="BB229" s="22">
        <f>IF(ISERROR(SEARCH("TIROIDITE",Tabella1[[#This Row],[Patologia Tiroidea]],1)),0,1)</f>
        <v>0</v>
      </c>
      <c r="BC229" s="22">
        <f>IF(ISERROR(SEARCH("HASHIMOTO",Tabella1[[#This Row],[Patologia Tiroidea]],1)),0,1)</f>
        <v>0</v>
      </c>
      <c r="BD229" s="22">
        <f>IF(ISERROR(SEARCH("BASEDOW",Tabella1[[#This Row],[Patologia Tiroidea]],1)),0,1)</f>
        <v>0</v>
      </c>
      <c r="BE229" s="22">
        <f>IF(ISERROR(SEARCH("NOD",Tabella1[[#This Row],[Patologia Tiroidea]],1)),0,1)</f>
        <v>0</v>
      </c>
      <c r="BF229" s="22">
        <f>IF(ISERROR(SEARCH("GOZ",Tabella1[[#This Row],[Patologia Tiroidea]],1)),0,1)</f>
        <v>0</v>
      </c>
      <c r="BG229" s="11" t="s">
        <v>8</v>
      </c>
      <c r="BH229" s="18">
        <f>IF(Tabella1[[#This Row],[Obesità]]="no",0,1)</f>
        <v>0</v>
      </c>
      <c r="BI229" s="11" t="s">
        <v>2552</v>
      </c>
      <c r="BJ229" s="22">
        <f>IF(ISERROR(SEARCH("nega",Tabella1[[#This Row],[Reflusso gastroesofageo]],1)),1,0)</f>
        <v>1</v>
      </c>
      <c r="BK229" s="11" t="s">
        <v>8</v>
      </c>
      <c r="BL229" s="18">
        <f>IF(ISERROR(SEARCH("NDD",Tabella1[[#This Row],[Patologia respiratoria]],1)),0,1)</f>
        <v>0</v>
      </c>
      <c r="BM229" s="18">
        <f>IF(ISERROR(SEARCH("asma",Tabella1[[#This Row],[Patologia respiratoria]],1)),0,1)</f>
        <v>0</v>
      </c>
      <c r="BN229" s="18">
        <f>IF(ISERROR(SEARCH("BPCO",Tabella1[[#This Row],[Patologia respiratoria]],1)),0,1)</f>
        <v>0</v>
      </c>
      <c r="BO229" s="18">
        <f>IF(ISERROR(SEARCH("BRONCOPOLMONITE",Tabella1[[#This Row],[Patologia respiratoria]],1)),0,1)</f>
        <v>0</v>
      </c>
      <c r="BP229" s="18">
        <f>IF(ISERROR(SEARCH("ASMA, OSAS",Tabella1[[#This Row],[Patologia respiratoria]],1)),0,1)</f>
        <v>0</v>
      </c>
      <c r="BQ229" s="18">
        <f>IF(ISERROR(SEARCH("OSAS e BPCO",Tabella1[[#This Row],[Patologia respiratoria]],1)),0,1)</f>
        <v>0</v>
      </c>
      <c r="BR229" s="18">
        <f>IF(ISERROR(SEARCH("OSAS",Tabella1[[#This Row],[Patologia respiratoria]],1)),0,1)</f>
        <v>0</v>
      </c>
      <c r="BS229" s="11"/>
      <c r="BT229" s="11" t="s">
        <v>2553</v>
      </c>
      <c r="BU229" s="11" t="s">
        <v>195</v>
      </c>
      <c r="BV229" s="18">
        <f>IF(ISERROR(SEARCH("ndd",Tabella1[[#This Row],[O2 terapia]],1)),0,1)</f>
        <v>0</v>
      </c>
      <c r="BW229" s="17">
        <v>0</v>
      </c>
      <c r="BX229" s="11"/>
      <c r="BY229" s="11" t="s">
        <v>195</v>
      </c>
      <c r="BZ229" s="18">
        <v>0</v>
      </c>
      <c r="CA229" s="11" t="s">
        <v>2554</v>
      </c>
      <c r="CB229" s="17">
        <v>1</v>
      </c>
      <c r="CC229" s="11" t="s">
        <v>2555</v>
      </c>
      <c r="CD229" s="17">
        <v>1</v>
      </c>
      <c r="CE229" s="11" t="s">
        <v>309</v>
      </c>
      <c r="CF229" s="18">
        <v>0</v>
      </c>
      <c r="CG229" s="11" t="s">
        <v>309</v>
      </c>
      <c r="CH229" s="17">
        <v>0</v>
      </c>
      <c r="CI229" s="7" t="s">
        <v>5477</v>
      </c>
      <c r="CJ229" s="18"/>
      <c r="CK229" s="11" t="s">
        <v>2543</v>
      </c>
      <c r="CL229" s="17">
        <v>1</v>
      </c>
      <c r="CM229" s="11" t="s">
        <v>195</v>
      </c>
      <c r="CN229" s="17">
        <v>0</v>
      </c>
      <c r="CO229" s="11" t="s">
        <v>195</v>
      </c>
      <c r="CP229" s="18">
        <v>0</v>
      </c>
      <c r="CQ229" s="11" t="s">
        <v>54</v>
      </c>
      <c r="CR229" s="11" t="s">
        <v>2556</v>
      </c>
      <c r="CS229" s="11" t="s">
        <v>71</v>
      </c>
      <c r="CT229" s="11" t="s">
        <v>1922</v>
      </c>
      <c r="CU229" s="11" t="s">
        <v>2557</v>
      </c>
      <c r="CV229" s="12" t="s">
        <v>2558</v>
      </c>
    </row>
    <row r="230" spans="1:100" ht="370.5">
      <c r="A230" s="1">
        <f t="shared" si="3"/>
        <v>229</v>
      </c>
      <c r="B230" s="5">
        <v>1355</v>
      </c>
      <c r="C230" s="6">
        <v>45362</v>
      </c>
      <c r="D230" s="7" t="s">
        <v>2559</v>
      </c>
      <c r="E230" s="6">
        <v>22074</v>
      </c>
      <c r="F230" s="29">
        <f ca="1">_xlfn.DAYS(NOW(),Tabella1[[#This Row],[Data di Nascita]])/365.25</f>
        <v>65.158110882956876</v>
      </c>
      <c r="G230" s="7" t="s">
        <v>2560</v>
      </c>
      <c r="H230" s="7" t="s">
        <v>2561</v>
      </c>
      <c r="I230" s="7" t="s">
        <v>2293</v>
      </c>
      <c r="J230" s="7" t="s">
        <v>2410</v>
      </c>
      <c r="K230" s="7" t="s">
        <v>2562</v>
      </c>
      <c r="L230" s="17">
        <f>IF(ISERROR(SEARCH("EX",Tabella1[[#This Row],[Attività lavorativa]],1)),0,1)</f>
        <v>0</v>
      </c>
      <c r="M230" s="17"/>
      <c r="N230" s="17">
        <v>1</v>
      </c>
      <c r="O230" s="17"/>
      <c r="P230" s="17"/>
      <c r="Q230" s="17"/>
      <c r="R230" s="17"/>
      <c r="S230" s="17"/>
      <c r="T230" s="17">
        <f>IF(ISERROR(SEARCH("NDD",Tabella1[[#This Row],[Attività lavorativa]],1)),0,1)</f>
        <v>0</v>
      </c>
      <c r="U230" s="7" t="s">
        <v>2563</v>
      </c>
      <c r="V230" s="22">
        <v>25</v>
      </c>
      <c r="W230" s="22">
        <f>IF(ISERROR(SEARCH("ex",Tabella1[[#This Row],[Fumo]],1)),0,1)</f>
        <v>0</v>
      </c>
      <c r="X230" s="22">
        <f>IF(ISERROR(SEARCH("no",Tabella1[[#This Row],[Fumo]],1)),0,1)</f>
        <v>1</v>
      </c>
      <c r="Y230" s="7" t="s">
        <v>25</v>
      </c>
      <c r="Z230" s="17">
        <f>IF(ISERROR(SEARCH("NDD",Tabella1[[#This Row],[Bevitore alcolici]],1)),0,1)</f>
        <v>0</v>
      </c>
      <c r="AA230" s="17">
        <f>IF(ISERROR(SEARCH("raro",Tabella1[[#This Row],[Bevitore alcolici]],1)),0,1)</f>
        <v>0</v>
      </c>
      <c r="AB230" s="17">
        <f>IF(ISERROR(SEARCH("saltuariamente",Tabella1[[#This Row],[Bevitore alcolici]],1)),0,1)</f>
        <v>0</v>
      </c>
      <c r="AC230" s="17">
        <f>IF(ISERROR(SEARCH("nega",Tabella1[[#This Row],[Bevitore alcolici]],1)),0,1)</f>
        <v>1</v>
      </c>
      <c r="AD230" s="17">
        <f>IF(ISERROR(SEARCH("potus",Tabella1[[#This Row],[Bevitore alcolici]],1)),0,1)</f>
        <v>0</v>
      </c>
      <c r="AE230" s="7" t="s">
        <v>5658</v>
      </c>
      <c r="AF230" s="17"/>
      <c r="AG230" s="17"/>
      <c r="AH230" s="17"/>
      <c r="AI230" s="17"/>
      <c r="AJ230" s="17"/>
      <c r="AK230" s="7" t="s">
        <v>194</v>
      </c>
      <c r="AL230" s="17">
        <f>IF(ISERROR(SEARCH("si",Tabella1[[#This Row],[Patente di guida]],1)),0,1)</f>
        <v>1</v>
      </c>
      <c r="AM230" s="7" t="s">
        <v>28</v>
      </c>
      <c r="AN230" s="17">
        <f>IF(ISERROR(SEARCH("no",Tabella1[[#This Row],[Ipertensione]],1)),0,1)</f>
        <v>0</v>
      </c>
      <c r="AO230" s="7" t="s">
        <v>382</v>
      </c>
      <c r="AP230" s="18">
        <f>IF(ISERROR(SEARCH("NO",Tabella1[[#This Row],[Cardiopatia ischemica]],1)),1,0)</f>
        <v>0</v>
      </c>
      <c r="AQ230" s="17">
        <f>IF(ISERROR(SEARCH("sconosciuto",Tabella1[[#This Row],[Cardiopatia ischemica]],1)),0,1)</f>
        <v>0</v>
      </c>
      <c r="AR230" s="7" t="s">
        <v>2564</v>
      </c>
      <c r="AS230" s="17">
        <f>IF(ISERROR(SEARCH("nega",Tabella1[[#This Row],[Artimie]],1)),0,1)</f>
        <v>0</v>
      </c>
      <c r="AT230" s="7" t="s">
        <v>25</v>
      </c>
      <c r="AU230" s="17">
        <f>IF(ISERROR(SEARCH("nega",Tabella1[[#This Row],[Ipercolesterolemia]],1)),0,1)</f>
        <v>1</v>
      </c>
      <c r="AV230" s="17">
        <f>IF(ISERROR(SEARCH("boh",Tabella1[[#This Row],[Ipercolesterolemia]],1)),0,1)</f>
        <v>0</v>
      </c>
      <c r="AW230" s="7" t="s">
        <v>195</v>
      </c>
      <c r="AX230" s="17">
        <f>IF(ISERROR(SEARCH("Intolleranza",Tabella1[[#This Row],[Diabete]],1)),0,1)</f>
        <v>0</v>
      </c>
      <c r="AY230" s="17">
        <f>IF(ISERROR(SEARCH("si",Tabella1[[#This Row],[Diabete]],1)),0,1)</f>
        <v>0</v>
      </c>
      <c r="AZ230" s="7" t="s">
        <v>2565</v>
      </c>
      <c r="BA230" s="17">
        <f>IF(ISERROR(SEARCH("NDD",Tabella1[[#This Row],[Patologia Tiroidea]],1)),0,1)</f>
        <v>0</v>
      </c>
      <c r="BB230" s="17">
        <f>IF(ISERROR(SEARCH("TIROIDITE",Tabella1[[#This Row],[Patologia Tiroidea]],1)),0,1)</f>
        <v>0</v>
      </c>
      <c r="BC230" s="17">
        <f>IF(ISERROR(SEARCH("HASHIMOTO",Tabella1[[#This Row],[Patologia Tiroidea]],1)),0,1)</f>
        <v>0</v>
      </c>
      <c r="BD230" s="17">
        <f>IF(ISERROR(SEARCH("BASEDOW",Tabella1[[#This Row],[Patologia Tiroidea]],1)),0,1)</f>
        <v>0</v>
      </c>
      <c r="BE230" s="17">
        <f>IF(ISERROR(SEARCH("NOD",Tabella1[[#This Row],[Patologia Tiroidea]],1)),0,1)</f>
        <v>0</v>
      </c>
      <c r="BF230" s="17">
        <f>IF(ISERROR(SEARCH("GOZ",Tabella1[[#This Row],[Patologia Tiroidea]],1)),0,1)</f>
        <v>0</v>
      </c>
      <c r="BG230" s="7" t="s">
        <v>28</v>
      </c>
      <c r="BH230" s="17">
        <f>IF(Tabella1[[#This Row],[Obesità]]="no",0,1)</f>
        <v>1</v>
      </c>
      <c r="BI230" s="7" t="s">
        <v>2566</v>
      </c>
      <c r="BJ230" s="22">
        <f>IF(ISERROR(SEARCH("nega",Tabella1[[#This Row],[Reflusso gastroesofageo]],1)),1,0)</f>
        <v>1</v>
      </c>
      <c r="BK230" s="7" t="s">
        <v>2567</v>
      </c>
      <c r="BL230" s="17">
        <f>IF(ISERROR(SEARCH("NDD",Tabella1[[#This Row],[Patologia respiratoria]],1)),0,1)</f>
        <v>0</v>
      </c>
      <c r="BM230" s="17">
        <f>IF(ISERROR(SEARCH("asma",Tabella1[[#This Row],[Patologia respiratoria]],1)),0,1)</f>
        <v>0</v>
      </c>
      <c r="BN230" s="17">
        <f>IF(ISERROR(SEARCH("BPCO",Tabella1[[#This Row],[Patologia respiratoria]],1)),0,1)</f>
        <v>0</v>
      </c>
      <c r="BO230" s="17">
        <f>IF(ISERROR(SEARCH("BRONCOPOLMONITE",Tabella1[[#This Row],[Patologia respiratoria]],1)),0,1)</f>
        <v>0</v>
      </c>
      <c r="BP230" s="17">
        <f>IF(ISERROR(SEARCH("ASMA, OSAS",Tabella1[[#This Row],[Patologia respiratoria]],1)),0,1)</f>
        <v>0</v>
      </c>
      <c r="BQ230" s="17">
        <f>IF(ISERROR(SEARCH("OSAS e BPCO",Tabella1[[#This Row],[Patologia respiratoria]],1)),0,1)</f>
        <v>0</v>
      </c>
      <c r="BR230" s="17">
        <f>IF(ISERROR(SEARCH("OSAS",Tabella1[[#This Row],[Patologia respiratoria]],1)),0,1)</f>
        <v>0</v>
      </c>
      <c r="BS230" s="7" t="s">
        <v>2568</v>
      </c>
      <c r="BT230" s="7" t="s">
        <v>2569</v>
      </c>
      <c r="BU230" s="7" t="s">
        <v>5477</v>
      </c>
      <c r="BV230" s="17">
        <f>IF(ISERROR(SEARCH("ndd",Tabella1[[#This Row],[O2 terapia]],1)),0,1)</f>
        <v>1</v>
      </c>
      <c r="BW230" s="17"/>
      <c r="BX230" s="7"/>
      <c r="BY230" s="7" t="s">
        <v>2570</v>
      </c>
      <c r="BZ230" s="17">
        <v>1</v>
      </c>
      <c r="CA230" s="7" t="s">
        <v>2571</v>
      </c>
      <c r="CB230" s="17">
        <v>0</v>
      </c>
      <c r="CC230" s="7" t="s">
        <v>2572</v>
      </c>
      <c r="CD230" s="17">
        <v>1</v>
      </c>
      <c r="CE230" s="7" t="s">
        <v>309</v>
      </c>
      <c r="CF230" s="18">
        <v>0</v>
      </c>
      <c r="CG230" s="7" t="s">
        <v>28</v>
      </c>
      <c r="CH230" s="17">
        <v>1</v>
      </c>
      <c r="CI230" s="7" t="s">
        <v>195</v>
      </c>
      <c r="CJ230" s="18">
        <v>0</v>
      </c>
      <c r="CK230" s="7" t="s">
        <v>2573</v>
      </c>
      <c r="CL230" s="17">
        <v>1</v>
      </c>
      <c r="CM230" s="7" t="s">
        <v>195</v>
      </c>
      <c r="CN230" s="17">
        <v>0</v>
      </c>
      <c r="CO230" s="7" t="s">
        <v>195</v>
      </c>
      <c r="CP230" s="18">
        <v>0</v>
      </c>
      <c r="CQ230" s="7" t="s">
        <v>54</v>
      </c>
      <c r="CR230" s="7" t="s">
        <v>279</v>
      </c>
      <c r="CS230" s="7" t="s">
        <v>219</v>
      </c>
      <c r="CT230" s="7" t="s">
        <v>56</v>
      </c>
      <c r="CU230" s="7" t="s">
        <v>2574</v>
      </c>
      <c r="CV230" s="8" t="s">
        <v>2227</v>
      </c>
    </row>
    <row r="231" spans="1:100" ht="399">
      <c r="A231" s="1">
        <f t="shared" si="3"/>
        <v>230</v>
      </c>
      <c r="B231" s="9">
        <v>1358</v>
      </c>
      <c r="C231" s="10">
        <v>45364</v>
      </c>
      <c r="D231" s="11" t="s">
        <v>2575</v>
      </c>
      <c r="E231" s="10">
        <v>27179</v>
      </c>
      <c r="F231" s="29">
        <f ca="1">_xlfn.DAYS(NOW(),Tabella1[[#This Row],[Data di Nascita]])/365.25</f>
        <v>51.181382614647504</v>
      </c>
      <c r="G231" s="11" t="s">
        <v>2576</v>
      </c>
      <c r="H231" s="11" t="s">
        <v>2577</v>
      </c>
      <c r="I231" s="11" t="s">
        <v>2293</v>
      </c>
      <c r="J231" s="11" t="s">
        <v>473</v>
      </c>
      <c r="K231" s="11" t="s">
        <v>2578</v>
      </c>
      <c r="L231" s="18">
        <f>IF(ISERROR(SEARCH("EX",Tabella1[[#This Row],[Attività lavorativa]],1)),0,1)</f>
        <v>0</v>
      </c>
      <c r="M231" s="18">
        <v>1</v>
      </c>
      <c r="N231" s="18"/>
      <c r="O231" s="18"/>
      <c r="P231" s="18"/>
      <c r="Q231" s="18"/>
      <c r="R231" s="18"/>
      <c r="S231" s="18"/>
      <c r="T231" s="17">
        <f>IF(ISERROR(SEARCH("NDD",Tabella1[[#This Row],[Attività lavorativa]],1)),0,1)</f>
        <v>0</v>
      </c>
      <c r="U231" s="11" t="s">
        <v>2579</v>
      </c>
      <c r="V231" s="22">
        <v>17</v>
      </c>
      <c r="W231" s="22">
        <f>IF(ISERROR(SEARCH("ex",Tabella1[[#This Row],[Fumo]],1)),0,1)</f>
        <v>0</v>
      </c>
      <c r="X231" s="22">
        <f>IF(ISERROR(SEARCH("no",Tabella1[[#This Row],[Fumo]],1)),0,1)</f>
        <v>0</v>
      </c>
      <c r="Y231" s="11" t="s">
        <v>25</v>
      </c>
      <c r="Z231" s="18">
        <f>IF(ISERROR(SEARCH("NDD",Tabella1[[#This Row],[Bevitore alcolici]],1)),0,1)</f>
        <v>0</v>
      </c>
      <c r="AA231" s="17">
        <f>IF(ISERROR(SEARCH("raro",Tabella1[[#This Row],[Bevitore alcolici]],1)),0,1)</f>
        <v>0</v>
      </c>
      <c r="AB231" s="17">
        <f>IF(ISERROR(SEARCH("saltuariamente",Tabella1[[#This Row],[Bevitore alcolici]],1)),0,1)</f>
        <v>0</v>
      </c>
      <c r="AC231" s="17">
        <f>IF(ISERROR(SEARCH("nega",Tabella1[[#This Row],[Bevitore alcolici]],1)),0,1)</f>
        <v>1</v>
      </c>
      <c r="AD231" s="17">
        <f>IF(ISERROR(SEARCH("potus",Tabella1[[#This Row],[Bevitore alcolici]],1)),0,1)</f>
        <v>0</v>
      </c>
      <c r="AE231" s="11" t="s">
        <v>5659</v>
      </c>
      <c r="AF231" s="18"/>
      <c r="AG231" s="18"/>
      <c r="AH231" s="18"/>
      <c r="AI231" s="18"/>
      <c r="AJ231" s="18"/>
      <c r="AK231" s="11" t="s">
        <v>195</v>
      </c>
      <c r="AL231" s="18">
        <f>IF(ISERROR(SEARCH("si",Tabella1[[#This Row],[Patente di guida]],1)),0,1)</f>
        <v>0</v>
      </c>
      <c r="AM231" s="11" t="s">
        <v>28</v>
      </c>
      <c r="AN231" s="18">
        <f>IF(ISERROR(SEARCH("no",Tabella1[[#This Row],[Ipertensione]],1)),0,1)</f>
        <v>0</v>
      </c>
      <c r="AO231" s="11" t="s">
        <v>382</v>
      </c>
      <c r="AP231" s="18">
        <f>IF(ISERROR(SEARCH("NO",Tabella1[[#This Row],[Cardiopatia ischemica]],1)),1,0)</f>
        <v>0</v>
      </c>
      <c r="AQ231" s="17">
        <f>IF(ISERROR(SEARCH("sconosciuto",Tabella1[[#This Row],[Cardiopatia ischemica]],1)),0,1)</f>
        <v>0</v>
      </c>
      <c r="AR231" s="11" t="s">
        <v>25</v>
      </c>
      <c r="AS231" s="22">
        <f>IF(ISERROR(SEARCH("nega",Tabella1[[#This Row],[Artimie]],1)),0,1)</f>
        <v>1</v>
      </c>
      <c r="AT231" s="11" t="s">
        <v>25</v>
      </c>
      <c r="AU231" s="22">
        <f>IF(ISERROR(SEARCH("nega",Tabella1[[#This Row],[Ipercolesterolemia]],1)),0,1)</f>
        <v>1</v>
      </c>
      <c r="AV231" s="22">
        <f>IF(ISERROR(SEARCH("boh",Tabella1[[#This Row],[Ipercolesterolemia]],1)),0,1)</f>
        <v>0</v>
      </c>
      <c r="AW231" s="11" t="s">
        <v>195</v>
      </c>
      <c r="AX231" s="22">
        <f>IF(ISERROR(SEARCH("Intolleranza",Tabella1[[#This Row],[Diabete]],1)),0,1)</f>
        <v>0</v>
      </c>
      <c r="AY231" s="22">
        <f>IF(ISERROR(SEARCH("si",Tabella1[[#This Row],[Diabete]],1)),0,1)</f>
        <v>0</v>
      </c>
      <c r="AZ231" s="11" t="s">
        <v>195</v>
      </c>
      <c r="BA231" s="18">
        <f>IF(ISERROR(SEARCH("NDD",Tabella1[[#This Row],[Patologia Tiroidea]],1)),0,1)</f>
        <v>0</v>
      </c>
      <c r="BB231" s="22">
        <f>IF(ISERROR(SEARCH("TIROIDITE",Tabella1[[#This Row],[Patologia Tiroidea]],1)),0,1)</f>
        <v>0</v>
      </c>
      <c r="BC231" s="22">
        <f>IF(ISERROR(SEARCH("HASHIMOTO",Tabella1[[#This Row],[Patologia Tiroidea]],1)),0,1)</f>
        <v>0</v>
      </c>
      <c r="BD231" s="22">
        <f>IF(ISERROR(SEARCH("BASEDOW",Tabella1[[#This Row],[Patologia Tiroidea]],1)),0,1)</f>
        <v>0</v>
      </c>
      <c r="BE231" s="22">
        <f>IF(ISERROR(SEARCH("NOD",Tabella1[[#This Row],[Patologia Tiroidea]],1)),0,1)</f>
        <v>0</v>
      </c>
      <c r="BF231" s="22">
        <f>IF(ISERROR(SEARCH("GOZ",Tabella1[[#This Row],[Patologia Tiroidea]],1)),0,1)</f>
        <v>0</v>
      </c>
      <c r="BG231" s="11" t="s">
        <v>8</v>
      </c>
      <c r="BH231" s="18">
        <f>IF(Tabella1[[#This Row],[Obesità]]="no",0,1)</f>
        <v>0</v>
      </c>
      <c r="BI231" s="11" t="s">
        <v>25</v>
      </c>
      <c r="BJ231" s="22">
        <f>IF(ISERROR(SEARCH("nega",Tabella1[[#This Row],[Reflusso gastroesofageo]],1)),1,0)</f>
        <v>0</v>
      </c>
      <c r="BK231" s="11" t="s">
        <v>195</v>
      </c>
      <c r="BL231" s="18">
        <f>IF(ISERROR(SEARCH("NDD",Tabella1[[#This Row],[Patologia respiratoria]],1)),0,1)</f>
        <v>0</v>
      </c>
      <c r="BM231" s="18">
        <f>IF(ISERROR(SEARCH("asma",Tabella1[[#This Row],[Patologia respiratoria]],1)),0,1)</f>
        <v>0</v>
      </c>
      <c r="BN231" s="18">
        <f>IF(ISERROR(SEARCH("BPCO",Tabella1[[#This Row],[Patologia respiratoria]],1)),0,1)</f>
        <v>0</v>
      </c>
      <c r="BO231" s="18">
        <f>IF(ISERROR(SEARCH("BRONCOPOLMONITE",Tabella1[[#This Row],[Patologia respiratoria]],1)),0,1)</f>
        <v>0</v>
      </c>
      <c r="BP231" s="18">
        <f>IF(ISERROR(SEARCH("ASMA, OSAS",Tabella1[[#This Row],[Patologia respiratoria]],1)),0,1)</f>
        <v>0</v>
      </c>
      <c r="BQ231" s="18">
        <f>IF(ISERROR(SEARCH("OSAS e BPCO",Tabella1[[#This Row],[Patologia respiratoria]],1)),0,1)</f>
        <v>0</v>
      </c>
      <c r="BR231" s="18">
        <f>IF(ISERROR(SEARCH("OSAS",Tabella1[[#This Row],[Patologia respiratoria]],1)),0,1)</f>
        <v>0</v>
      </c>
      <c r="BS231" s="11"/>
      <c r="BT231" s="11" t="s">
        <v>2580</v>
      </c>
      <c r="BU231" s="11" t="s">
        <v>195</v>
      </c>
      <c r="BV231" s="18">
        <f>IF(ISERROR(SEARCH("ndd",Tabella1[[#This Row],[O2 terapia]],1)),0,1)</f>
        <v>0</v>
      </c>
      <c r="BW231" s="17">
        <v>0</v>
      </c>
      <c r="BX231" s="11"/>
      <c r="BY231" s="11" t="s">
        <v>2581</v>
      </c>
      <c r="BZ231" s="17">
        <v>1</v>
      </c>
      <c r="CA231" s="11" t="s">
        <v>2582</v>
      </c>
      <c r="CB231" s="17">
        <v>1</v>
      </c>
      <c r="CC231" s="11" t="s">
        <v>2583</v>
      </c>
      <c r="CD231" s="17">
        <v>1</v>
      </c>
      <c r="CE231" s="11" t="s">
        <v>195</v>
      </c>
      <c r="CF231" s="18">
        <v>0</v>
      </c>
      <c r="CG231" s="11" t="s">
        <v>2584</v>
      </c>
      <c r="CH231" s="17">
        <v>1</v>
      </c>
      <c r="CI231" s="11" t="s">
        <v>309</v>
      </c>
      <c r="CJ231" s="18">
        <v>0</v>
      </c>
      <c r="CK231" s="11" t="s">
        <v>2585</v>
      </c>
      <c r="CL231" s="17">
        <v>1</v>
      </c>
      <c r="CM231" s="11" t="s">
        <v>2586</v>
      </c>
      <c r="CN231" s="17">
        <v>1</v>
      </c>
      <c r="CO231" s="11" t="s">
        <v>195</v>
      </c>
      <c r="CP231" s="18">
        <v>0</v>
      </c>
      <c r="CQ231" s="11" t="s">
        <v>54</v>
      </c>
      <c r="CR231" s="11" t="s">
        <v>2587</v>
      </c>
      <c r="CS231" s="11" t="s">
        <v>71</v>
      </c>
      <c r="CT231" s="11" t="s">
        <v>72</v>
      </c>
      <c r="CU231" s="11" t="s">
        <v>2588</v>
      </c>
      <c r="CV231" s="12" t="s">
        <v>2589</v>
      </c>
    </row>
    <row r="232" spans="1:100" ht="199.5">
      <c r="A232" s="1">
        <f t="shared" si="3"/>
        <v>231</v>
      </c>
      <c r="B232" s="5">
        <v>1363</v>
      </c>
      <c r="C232" s="6">
        <v>45366</v>
      </c>
      <c r="D232" s="7" t="s">
        <v>2590</v>
      </c>
      <c r="E232" s="6">
        <v>32055</v>
      </c>
      <c r="F232" s="29">
        <f ca="1">_xlfn.DAYS(NOW(),Tabella1[[#This Row],[Data di Nascita]])/365.25</f>
        <v>37.831622176591374</v>
      </c>
      <c r="G232" s="7" t="s">
        <v>2591</v>
      </c>
      <c r="H232" s="7" t="s">
        <v>2592</v>
      </c>
      <c r="I232" s="7" t="s">
        <v>2142</v>
      </c>
      <c r="J232" s="7" t="s">
        <v>1358</v>
      </c>
      <c r="K232" s="7" t="s">
        <v>2593</v>
      </c>
      <c r="L232" s="17">
        <f>IF(ISERROR(SEARCH("EX",Tabella1[[#This Row],[Attività lavorativa]],1)),0,1)</f>
        <v>0</v>
      </c>
      <c r="M232" s="17"/>
      <c r="N232" s="17"/>
      <c r="O232" s="17"/>
      <c r="P232" s="17"/>
      <c r="Q232" s="17"/>
      <c r="R232" s="17"/>
      <c r="S232" s="17"/>
      <c r="T232" s="17">
        <f>IF(ISERROR(SEARCH("NDD",Tabella1[[#This Row],[Attività lavorativa]],1)),0,1)</f>
        <v>0</v>
      </c>
      <c r="U232" s="7" t="s">
        <v>8</v>
      </c>
      <c r="V232" s="22"/>
      <c r="W232" s="22">
        <f>IF(ISERROR(SEARCH("ex",Tabella1[[#This Row],[Fumo]],1)),0,1)</f>
        <v>0</v>
      </c>
      <c r="X232" s="22">
        <f>IF(ISERROR(SEARCH("no",Tabella1[[#This Row],[Fumo]],1)),0,1)</f>
        <v>1</v>
      </c>
      <c r="Y232" s="7" t="s">
        <v>25</v>
      </c>
      <c r="Z232" s="17">
        <f>IF(ISERROR(SEARCH("NDD",Tabella1[[#This Row],[Bevitore alcolici]],1)),0,1)</f>
        <v>0</v>
      </c>
      <c r="AA232" s="17">
        <f>IF(ISERROR(SEARCH("raro",Tabella1[[#This Row],[Bevitore alcolici]],1)),0,1)</f>
        <v>0</v>
      </c>
      <c r="AB232" s="17">
        <f>IF(ISERROR(SEARCH("saltuariamente",Tabella1[[#This Row],[Bevitore alcolici]],1)),0,1)</f>
        <v>0</v>
      </c>
      <c r="AC232" s="17">
        <f>IF(ISERROR(SEARCH("nega",Tabella1[[#This Row],[Bevitore alcolici]],1)),0,1)</f>
        <v>1</v>
      </c>
      <c r="AD232" s="17">
        <f>IF(ISERROR(SEARCH("potus",Tabella1[[#This Row],[Bevitore alcolici]],1)),0,1)</f>
        <v>0</v>
      </c>
      <c r="AE232" s="7" t="s">
        <v>2594</v>
      </c>
      <c r="AF232" s="17"/>
      <c r="AG232" s="17"/>
      <c r="AH232" s="17"/>
      <c r="AI232" s="17"/>
      <c r="AJ232" s="17"/>
      <c r="AK232" s="7" t="s">
        <v>28</v>
      </c>
      <c r="AL232" s="17">
        <f>IF(ISERROR(SEARCH("si",Tabella1[[#This Row],[Patente di guida]],1)),0,1)</f>
        <v>1</v>
      </c>
      <c r="AM232" s="7" t="s">
        <v>8</v>
      </c>
      <c r="AN232" s="17">
        <f>IF(ISERROR(SEARCH("no",Tabella1[[#This Row],[Ipertensione]],1)),0,1)</f>
        <v>1</v>
      </c>
      <c r="AO232" s="7" t="s">
        <v>382</v>
      </c>
      <c r="AP232" s="18">
        <f>IF(ISERROR(SEARCH("NO",Tabella1[[#This Row],[Cardiopatia ischemica]],1)),1,0)</f>
        <v>0</v>
      </c>
      <c r="AQ232" s="17">
        <f>IF(ISERROR(SEARCH("sconosciuto",Tabella1[[#This Row],[Cardiopatia ischemica]],1)),0,1)</f>
        <v>0</v>
      </c>
      <c r="AR232" s="7" t="s">
        <v>25</v>
      </c>
      <c r="AS232" s="17">
        <f>IF(ISERROR(SEARCH("nega",Tabella1[[#This Row],[Artimie]],1)),0,1)</f>
        <v>1</v>
      </c>
      <c r="AT232" s="7" t="s">
        <v>25</v>
      </c>
      <c r="AU232" s="17">
        <f>IF(ISERROR(SEARCH("nega",Tabella1[[#This Row],[Ipercolesterolemia]],1)),0,1)</f>
        <v>1</v>
      </c>
      <c r="AV232" s="17">
        <f>IF(ISERROR(SEARCH("boh",Tabella1[[#This Row],[Ipercolesterolemia]],1)),0,1)</f>
        <v>0</v>
      </c>
      <c r="AW232" s="7" t="s">
        <v>8</v>
      </c>
      <c r="AX232" s="17">
        <f>IF(ISERROR(SEARCH("Intolleranza",Tabella1[[#This Row],[Diabete]],1)),0,1)</f>
        <v>0</v>
      </c>
      <c r="AY232" s="17">
        <f>IF(ISERROR(SEARCH("si",Tabella1[[#This Row],[Diabete]],1)),0,1)</f>
        <v>0</v>
      </c>
      <c r="AZ232" s="7" t="s">
        <v>8</v>
      </c>
      <c r="BA232" s="17">
        <f>IF(ISERROR(SEARCH("NDD",Tabella1[[#This Row],[Patologia Tiroidea]],1)),0,1)</f>
        <v>0</v>
      </c>
      <c r="BB232" s="17">
        <f>IF(ISERROR(SEARCH("TIROIDITE",Tabella1[[#This Row],[Patologia Tiroidea]],1)),0,1)</f>
        <v>0</v>
      </c>
      <c r="BC232" s="17">
        <f>IF(ISERROR(SEARCH("HASHIMOTO",Tabella1[[#This Row],[Patologia Tiroidea]],1)),0,1)</f>
        <v>0</v>
      </c>
      <c r="BD232" s="17">
        <f>IF(ISERROR(SEARCH("BASEDOW",Tabella1[[#This Row],[Patologia Tiroidea]],1)),0,1)</f>
        <v>0</v>
      </c>
      <c r="BE232" s="17">
        <f>IF(ISERROR(SEARCH("NOD",Tabella1[[#This Row],[Patologia Tiroidea]],1)),0,1)</f>
        <v>0</v>
      </c>
      <c r="BF232" s="17">
        <f>IF(ISERROR(SEARCH("GOZ",Tabella1[[#This Row],[Patologia Tiroidea]],1)),0,1)</f>
        <v>0</v>
      </c>
      <c r="BG232" s="7" t="s">
        <v>8</v>
      </c>
      <c r="BH232" s="17">
        <f>IF(Tabella1[[#This Row],[Obesità]]="no",0,1)</f>
        <v>0</v>
      </c>
      <c r="BI232" s="7" t="s">
        <v>25</v>
      </c>
      <c r="BJ232" s="22">
        <f>IF(ISERROR(SEARCH("nega",Tabella1[[#This Row],[Reflusso gastroesofageo]],1)),1,0)</f>
        <v>0</v>
      </c>
      <c r="BK232" s="7" t="s">
        <v>8</v>
      </c>
      <c r="BL232" s="17">
        <f>IF(ISERROR(SEARCH("NDD",Tabella1[[#This Row],[Patologia respiratoria]],1)),0,1)</f>
        <v>0</v>
      </c>
      <c r="BM232" s="17">
        <f>IF(ISERROR(SEARCH("asma",Tabella1[[#This Row],[Patologia respiratoria]],1)),0,1)</f>
        <v>0</v>
      </c>
      <c r="BN232" s="17">
        <f>IF(ISERROR(SEARCH("BPCO",Tabella1[[#This Row],[Patologia respiratoria]],1)),0,1)</f>
        <v>0</v>
      </c>
      <c r="BO232" s="17">
        <f>IF(ISERROR(SEARCH("BRONCOPOLMONITE",Tabella1[[#This Row],[Patologia respiratoria]],1)),0,1)</f>
        <v>0</v>
      </c>
      <c r="BP232" s="17">
        <f>IF(ISERROR(SEARCH("ASMA, OSAS",Tabella1[[#This Row],[Patologia respiratoria]],1)),0,1)</f>
        <v>0</v>
      </c>
      <c r="BQ232" s="17">
        <f>IF(ISERROR(SEARCH("OSAS e BPCO",Tabella1[[#This Row],[Patologia respiratoria]],1)),0,1)</f>
        <v>0</v>
      </c>
      <c r="BR232" s="17">
        <f>IF(ISERROR(SEARCH("OSAS",Tabella1[[#This Row],[Patologia respiratoria]],1)),0,1)</f>
        <v>0</v>
      </c>
      <c r="BS232" s="7" t="s">
        <v>2595</v>
      </c>
      <c r="BT232" s="7" t="s">
        <v>2596</v>
      </c>
      <c r="BU232" s="7" t="s">
        <v>5477</v>
      </c>
      <c r="BV232" s="17">
        <f>IF(ISERROR(SEARCH("ndd",Tabella1[[#This Row],[O2 terapia]],1)),0,1)</f>
        <v>1</v>
      </c>
      <c r="BW232" s="17"/>
      <c r="BX232" s="7"/>
      <c r="BY232" s="7" t="s">
        <v>8</v>
      </c>
      <c r="BZ232" s="18">
        <v>0</v>
      </c>
      <c r="CA232" s="7" t="s">
        <v>2597</v>
      </c>
      <c r="CB232" s="17">
        <v>1</v>
      </c>
      <c r="CC232" s="7" t="s">
        <v>8</v>
      </c>
      <c r="CD232" s="18">
        <v>0</v>
      </c>
      <c r="CE232" s="7" t="s">
        <v>8</v>
      </c>
      <c r="CF232" s="18">
        <v>0</v>
      </c>
      <c r="CG232" s="7" t="s">
        <v>2598</v>
      </c>
      <c r="CH232" s="17">
        <v>1</v>
      </c>
      <c r="CI232" s="7" t="s">
        <v>8</v>
      </c>
      <c r="CJ232" s="18">
        <v>0</v>
      </c>
      <c r="CK232" s="7" t="s">
        <v>8</v>
      </c>
      <c r="CL232" s="17">
        <v>0</v>
      </c>
      <c r="CM232" s="7" t="s">
        <v>8</v>
      </c>
      <c r="CN232" s="17">
        <v>0</v>
      </c>
      <c r="CO232" s="7" t="s">
        <v>8</v>
      </c>
      <c r="CP232" s="18">
        <v>0</v>
      </c>
      <c r="CQ232" s="7" t="s">
        <v>85</v>
      </c>
      <c r="CR232" s="7" t="s">
        <v>135</v>
      </c>
      <c r="CS232" s="7" t="s">
        <v>355</v>
      </c>
      <c r="CT232" s="7" t="s">
        <v>262</v>
      </c>
      <c r="CU232" s="7" t="s">
        <v>1165</v>
      </c>
      <c r="CV232" s="8" t="s">
        <v>2599</v>
      </c>
    </row>
    <row r="233" spans="1:100" ht="399">
      <c r="A233" s="1">
        <f t="shared" si="3"/>
        <v>232</v>
      </c>
      <c r="B233" s="9">
        <v>1365</v>
      </c>
      <c r="C233" s="10">
        <v>45366</v>
      </c>
      <c r="D233" s="11" t="s">
        <v>2600</v>
      </c>
      <c r="E233" s="10">
        <v>14638</v>
      </c>
      <c r="F233" s="29">
        <f ca="1">_xlfn.DAYS(NOW(),Tabella1[[#This Row],[Data di Nascita]])/365.25</f>
        <v>85.516769336071178</v>
      </c>
      <c r="G233" s="11" t="s">
        <v>2601</v>
      </c>
      <c r="H233" s="11" t="s">
        <v>2602</v>
      </c>
      <c r="I233" s="11" t="s">
        <v>2293</v>
      </c>
      <c r="J233" s="11" t="s">
        <v>2603</v>
      </c>
      <c r="K233" s="11" t="s">
        <v>2604</v>
      </c>
      <c r="L233" s="18">
        <f>IF(ISERROR(SEARCH("EX",Tabella1[[#This Row],[Attività lavorativa]],1)),0,1)</f>
        <v>1</v>
      </c>
      <c r="M233" s="18"/>
      <c r="N233" s="18"/>
      <c r="O233" s="18"/>
      <c r="P233" s="18"/>
      <c r="Q233" s="18"/>
      <c r="R233" s="18"/>
      <c r="S233" s="18"/>
      <c r="T233" s="17">
        <f>IF(ISERROR(SEARCH("NDD",Tabella1[[#This Row],[Attività lavorativa]],1)),0,1)</f>
        <v>0</v>
      </c>
      <c r="U233" s="11" t="s">
        <v>195</v>
      </c>
      <c r="V233" s="22"/>
      <c r="W233" s="22">
        <f>IF(ISERROR(SEARCH("ex",Tabella1[[#This Row],[Fumo]],1)),0,1)</f>
        <v>0</v>
      </c>
      <c r="X233" s="22">
        <f>IF(ISERROR(SEARCH("no",Tabella1[[#This Row],[Fumo]],1)),0,1)</f>
        <v>1</v>
      </c>
      <c r="Y233" s="11" t="s">
        <v>25</v>
      </c>
      <c r="Z233" s="18">
        <f>IF(ISERROR(SEARCH("NDD",Tabella1[[#This Row],[Bevitore alcolici]],1)),0,1)</f>
        <v>0</v>
      </c>
      <c r="AA233" s="17">
        <f>IF(ISERROR(SEARCH("raro",Tabella1[[#This Row],[Bevitore alcolici]],1)),0,1)</f>
        <v>0</v>
      </c>
      <c r="AB233" s="17">
        <f>IF(ISERROR(SEARCH("saltuariamente",Tabella1[[#This Row],[Bevitore alcolici]],1)),0,1)</f>
        <v>0</v>
      </c>
      <c r="AC233" s="17">
        <f>IF(ISERROR(SEARCH("nega",Tabella1[[#This Row],[Bevitore alcolici]],1)),0,1)</f>
        <v>1</v>
      </c>
      <c r="AD233" s="17">
        <f>IF(ISERROR(SEARCH("potus",Tabella1[[#This Row],[Bevitore alcolici]],1)),0,1)</f>
        <v>0</v>
      </c>
      <c r="AE233" s="11" t="s">
        <v>5660</v>
      </c>
      <c r="AF233" s="18"/>
      <c r="AG233" s="18"/>
      <c r="AH233" s="18"/>
      <c r="AI233" s="18"/>
      <c r="AJ233" s="18"/>
      <c r="AK233" s="11" t="s">
        <v>382</v>
      </c>
      <c r="AL233" s="18">
        <f>IF(ISERROR(SEARCH("si",Tabella1[[#This Row],[Patente di guida]],1)),0,1)</f>
        <v>0</v>
      </c>
      <c r="AM233" s="11" t="s">
        <v>28</v>
      </c>
      <c r="AN233" s="18">
        <f>IF(ISERROR(SEARCH("no",Tabella1[[#This Row],[Ipertensione]],1)),0,1)</f>
        <v>0</v>
      </c>
      <c r="AO233" s="11" t="s">
        <v>2605</v>
      </c>
      <c r="AP233" s="18">
        <f>IF(ISERROR(SEARCH("NO",Tabella1[[#This Row],[Cardiopatia ischemica]],1)),1,0)</f>
        <v>1</v>
      </c>
      <c r="AQ233" s="17">
        <f>IF(ISERROR(SEARCH("sconosciuto",Tabella1[[#This Row],[Cardiopatia ischemica]],1)),0,1)</f>
        <v>0</v>
      </c>
      <c r="AR233" s="11" t="s">
        <v>2606</v>
      </c>
      <c r="AS233" s="18">
        <f>IF(ISERROR(SEARCH("nega",Tabella1[[#This Row],[Artimie]],1)),0,1)</f>
        <v>0</v>
      </c>
      <c r="AT233" s="11" t="s">
        <v>25</v>
      </c>
      <c r="AU233" s="18">
        <f>IF(ISERROR(SEARCH("nega",Tabella1[[#This Row],[Ipercolesterolemia]],1)),0,1)</f>
        <v>1</v>
      </c>
      <c r="AV233" s="18">
        <f>IF(ISERROR(SEARCH("boh",Tabella1[[#This Row],[Ipercolesterolemia]],1)),0,1)</f>
        <v>0</v>
      </c>
      <c r="AW233" s="11" t="s">
        <v>195</v>
      </c>
      <c r="AX233" s="18">
        <f>IF(ISERROR(SEARCH("Intolleranza",Tabella1[[#This Row],[Diabete]],1)),0,1)</f>
        <v>0</v>
      </c>
      <c r="AY233" s="18">
        <f>IF(ISERROR(SEARCH("si",Tabella1[[#This Row],[Diabete]],1)),0,1)</f>
        <v>0</v>
      </c>
      <c r="AZ233" s="11" t="s">
        <v>195</v>
      </c>
      <c r="BA233" s="18">
        <f>IF(ISERROR(SEARCH("NDD",Tabella1[[#This Row],[Patologia Tiroidea]],1)),0,1)</f>
        <v>0</v>
      </c>
      <c r="BB233" s="18">
        <f>IF(ISERROR(SEARCH("TIROIDITE",Tabella1[[#This Row],[Patologia Tiroidea]],1)),0,1)</f>
        <v>0</v>
      </c>
      <c r="BC233" s="18">
        <f>IF(ISERROR(SEARCH("HASHIMOTO",Tabella1[[#This Row],[Patologia Tiroidea]],1)),0,1)</f>
        <v>0</v>
      </c>
      <c r="BD233" s="18">
        <f>IF(ISERROR(SEARCH("BASEDOW",Tabella1[[#This Row],[Patologia Tiroidea]],1)),0,1)</f>
        <v>0</v>
      </c>
      <c r="BE233" s="18">
        <f>IF(ISERROR(SEARCH("NOD",Tabella1[[#This Row],[Patologia Tiroidea]],1)),0,1)</f>
        <v>0</v>
      </c>
      <c r="BF233" s="18">
        <f>IF(ISERROR(SEARCH("GOZ",Tabella1[[#This Row],[Patologia Tiroidea]],1)),0,1)</f>
        <v>0</v>
      </c>
      <c r="BG233" s="11" t="s">
        <v>8</v>
      </c>
      <c r="BH233" s="18">
        <f>IF(Tabella1[[#This Row],[Obesità]]="no",0,1)</f>
        <v>0</v>
      </c>
      <c r="BI233" s="11" t="s">
        <v>2607</v>
      </c>
      <c r="BJ233" s="22">
        <f>IF(ISERROR(SEARCH("nega",Tabella1[[#This Row],[Reflusso gastroesofageo]],1)),1,0)</f>
        <v>1</v>
      </c>
      <c r="BK233" s="11" t="s">
        <v>2608</v>
      </c>
      <c r="BL233" s="18">
        <f>IF(ISERROR(SEARCH("NDD",Tabella1[[#This Row],[Patologia respiratoria]],1)),0,1)</f>
        <v>0</v>
      </c>
      <c r="BM233" s="18">
        <f>IF(ISERROR(SEARCH("asma",Tabella1[[#This Row],[Patologia respiratoria]],1)),0,1)</f>
        <v>0</v>
      </c>
      <c r="BN233" s="18">
        <f>IF(ISERROR(SEARCH("BPCO",Tabella1[[#This Row],[Patologia respiratoria]],1)),0,1)</f>
        <v>0</v>
      </c>
      <c r="BO233" s="18">
        <f>IF(ISERROR(SEARCH("BRONCOPOLMONITE",Tabella1[[#This Row],[Patologia respiratoria]],1)),0,1)</f>
        <v>0</v>
      </c>
      <c r="BP233" s="18">
        <f>IF(ISERROR(SEARCH("ASMA, OSAS",Tabella1[[#This Row],[Patologia respiratoria]],1)),0,1)</f>
        <v>0</v>
      </c>
      <c r="BQ233" s="18">
        <f>IF(ISERROR(SEARCH("OSAS e BPCO",Tabella1[[#This Row],[Patologia respiratoria]],1)),0,1)</f>
        <v>0</v>
      </c>
      <c r="BR233" s="18">
        <f>IF(ISERROR(SEARCH("OSAS",Tabella1[[#This Row],[Patologia respiratoria]],1)),0,1)</f>
        <v>0</v>
      </c>
      <c r="BS233" s="11" t="s">
        <v>2609</v>
      </c>
      <c r="BT233" s="11" t="s">
        <v>2610</v>
      </c>
      <c r="BU233" s="11" t="s">
        <v>2611</v>
      </c>
      <c r="BV233" s="18">
        <f>IF(ISERROR(SEARCH("ndd",Tabella1[[#This Row],[O2 terapia]],1)),0,1)</f>
        <v>0</v>
      </c>
      <c r="BW233" s="22">
        <v>1</v>
      </c>
      <c r="BX233" s="11"/>
      <c r="BY233" s="11" t="s">
        <v>195</v>
      </c>
      <c r="BZ233" s="18">
        <v>0</v>
      </c>
      <c r="CA233" s="11" t="s">
        <v>2612</v>
      </c>
      <c r="CB233" s="17">
        <v>1</v>
      </c>
      <c r="CC233" s="11" t="s">
        <v>2613</v>
      </c>
      <c r="CD233" s="17">
        <v>1</v>
      </c>
      <c r="CE233" s="11" t="s">
        <v>309</v>
      </c>
      <c r="CF233" s="18">
        <v>0</v>
      </c>
      <c r="CG233" s="11" t="s">
        <v>309</v>
      </c>
      <c r="CH233" s="17">
        <v>0</v>
      </c>
      <c r="CI233" s="11" t="s">
        <v>309</v>
      </c>
      <c r="CJ233" s="18">
        <v>0</v>
      </c>
      <c r="CK233" s="11" t="s">
        <v>195</v>
      </c>
      <c r="CL233" s="17">
        <v>0</v>
      </c>
      <c r="CM233" s="11" t="s">
        <v>312</v>
      </c>
      <c r="CN233" s="17">
        <v>1</v>
      </c>
      <c r="CO233" s="11" t="s">
        <v>195</v>
      </c>
      <c r="CP233" s="18">
        <v>0</v>
      </c>
      <c r="CQ233" s="11" t="s">
        <v>202</v>
      </c>
      <c r="CR233" s="11" t="s">
        <v>135</v>
      </c>
      <c r="CS233" s="11" t="s">
        <v>105</v>
      </c>
      <c r="CT233" s="11" t="s">
        <v>539</v>
      </c>
      <c r="CU233" s="11" t="s">
        <v>2614</v>
      </c>
      <c r="CV233" s="12"/>
    </row>
    <row r="234" spans="1:100" ht="370.5">
      <c r="A234" s="1">
        <f t="shared" si="3"/>
        <v>233</v>
      </c>
      <c r="B234" s="5">
        <v>1366</v>
      </c>
      <c r="C234" s="6">
        <v>45369</v>
      </c>
      <c r="D234" s="7" t="s">
        <v>2615</v>
      </c>
      <c r="E234" s="6">
        <v>20400</v>
      </c>
      <c r="F234" s="29">
        <f ca="1">_xlfn.DAYS(NOW(),Tabella1[[#This Row],[Data di Nascita]])/365.25</f>
        <v>69.741273100616013</v>
      </c>
      <c r="G234" s="7" t="s">
        <v>2616</v>
      </c>
      <c r="H234" s="7" t="s">
        <v>2617</v>
      </c>
      <c r="I234" s="7" t="s">
        <v>2618</v>
      </c>
      <c r="J234" s="7" t="s">
        <v>2455</v>
      </c>
      <c r="K234" s="7" t="s">
        <v>2619</v>
      </c>
      <c r="L234" s="17">
        <f>IF(ISERROR(SEARCH("EX",Tabella1[[#This Row],[Attività lavorativa]],1)),0,1)</f>
        <v>0</v>
      </c>
      <c r="M234" s="17"/>
      <c r="N234" s="17"/>
      <c r="O234" s="17"/>
      <c r="P234" s="17"/>
      <c r="Q234" s="17"/>
      <c r="R234" s="17"/>
      <c r="S234" s="17">
        <v>1</v>
      </c>
      <c r="T234" s="17">
        <f>IF(ISERROR(SEARCH("NDD",Tabella1[[#This Row],[Attività lavorativa]],1)),0,1)</f>
        <v>0</v>
      </c>
      <c r="U234" s="7" t="s">
        <v>195</v>
      </c>
      <c r="V234" s="22"/>
      <c r="W234" s="22">
        <f>IF(ISERROR(SEARCH("ex",Tabella1[[#This Row],[Fumo]],1)),0,1)</f>
        <v>0</v>
      </c>
      <c r="X234" s="22">
        <f>IF(ISERROR(SEARCH("no",Tabella1[[#This Row],[Fumo]],1)),0,1)</f>
        <v>1</v>
      </c>
      <c r="Y234" s="7" t="s">
        <v>25</v>
      </c>
      <c r="Z234" s="17">
        <f>IF(ISERROR(SEARCH("NDD",Tabella1[[#This Row],[Bevitore alcolici]],1)),0,1)</f>
        <v>0</v>
      </c>
      <c r="AA234" s="17">
        <f>IF(ISERROR(SEARCH("raro",Tabella1[[#This Row],[Bevitore alcolici]],1)),0,1)</f>
        <v>0</v>
      </c>
      <c r="AB234" s="17">
        <f>IF(ISERROR(SEARCH("saltuariamente",Tabella1[[#This Row],[Bevitore alcolici]],1)),0,1)</f>
        <v>0</v>
      </c>
      <c r="AC234" s="17">
        <f>IF(ISERROR(SEARCH("nega",Tabella1[[#This Row],[Bevitore alcolici]],1)),0,1)</f>
        <v>1</v>
      </c>
      <c r="AD234" s="17">
        <f>IF(ISERROR(SEARCH("potus",Tabella1[[#This Row],[Bevitore alcolici]],1)),0,1)</f>
        <v>0</v>
      </c>
      <c r="AE234" s="7" t="s">
        <v>5661</v>
      </c>
      <c r="AF234" s="17"/>
      <c r="AG234" s="17"/>
      <c r="AH234" s="17"/>
      <c r="AI234" s="17"/>
      <c r="AJ234" s="17"/>
      <c r="AK234" s="7" t="s">
        <v>381</v>
      </c>
      <c r="AL234" s="17">
        <f>IF(ISERROR(SEARCH("si",Tabella1[[#This Row],[Patente di guida]],1)),0,1)</f>
        <v>1</v>
      </c>
      <c r="AM234" s="7" t="s">
        <v>195</v>
      </c>
      <c r="AN234" s="17">
        <f>IF(ISERROR(SEARCH("no",Tabella1[[#This Row],[Ipertensione]],1)),0,1)</f>
        <v>1</v>
      </c>
      <c r="AO234" s="7" t="s">
        <v>382</v>
      </c>
      <c r="AP234" s="18">
        <f>IF(ISERROR(SEARCH("NO",Tabella1[[#This Row],[Cardiopatia ischemica]],1)),1,0)</f>
        <v>0</v>
      </c>
      <c r="AQ234" s="17">
        <f>IF(ISERROR(SEARCH("sconosciuto",Tabella1[[#This Row],[Cardiopatia ischemica]],1)),0,1)</f>
        <v>0</v>
      </c>
      <c r="AR234" s="7" t="s">
        <v>25</v>
      </c>
      <c r="AS234" s="17">
        <f>IF(ISERROR(SEARCH("nega",Tabella1[[#This Row],[Artimie]],1)),0,1)</f>
        <v>1</v>
      </c>
      <c r="AT234" s="7" t="s">
        <v>25</v>
      </c>
      <c r="AU234" s="17">
        <f>IF(ISERROR(SEARCH("nega",Tabella1[[#This Row],[Ipercolesterolemia]],1)),0,1)</f>
        <v>1</v>
      </c>
      <c r="AV234" s="17">
        <f>IF(ISERROR(SEARCH("boh",Tabella1[[#This Row],[Ipercolesterolemia]],1)),0,1)</f>
        <v>0</v>
      </c>
      <c r="AW234" s="7" t="s">
        <v>195</v>
      </c>
      <c r="AX234" s="17">
        <f>IF(ISERROR(SEARCH("Intolleranza",Tabella1[[#This Row],[Diabete]],1)),0,1)</f>
        <v>0</v>
      </c>
      <c r="AY234" s="17">
        <f>IF(ISERROR(SEARCH("si",Tabella1[[#This Row],[Diabete]],1)),0,1)</f>
        <v>0</v>
      </c>
      <c r="AZ234" s="7" t="s">
        <v>195</v>
      </c>
      <c r="BA234" s="17">
        <f>IF(ISERROR(SEARCH("NDD",Tabella1[[#This Row],[Patologia Tiroidea]],1)),0,1)</f>
        <v>0</v>
      </c>
      <c r="BB234" s="17">
        <f>IF(ISERROR(SEARCH("TIROIDITE",Tabella1[[#This Row],[Patologia Tiroidea]],1)),0,1)</f>
        <v>0</v>
      </c>
      <c r="BC234" s="17">
        <f>IF(ISERROR(SEARCH("HASHIMOTO",Tabella1[[#This Row],[Patologia Tiroidea]],1)),0,1)</f>
        <v>0</v>
      </c>
      <c r="BD234" s="17">
        <f>IF(ISERROR(SEARCH("BASEDOW",Tabella1[[#This Row],[Patologia Tiroidea]],1)),0,1)</f>
        <v>0</v>
      </c>
      <c r="BE234" s="17">
        <f>IF(ISERROR(SEARCH("NOD",Tabella1[[#This Row],[Patologia Tiroidea]],1)),0,1)</f>
        <v>0</v>
      </c>
      <c r="BF234" s="17">
        <f>IF(ISERROR(SEARCH("GOZ",Tabella1[[#This Row],[Patologia Tiroidea]],1)),0,1)</f>
        <v>0</v>
      </c>
      <c r="BG234" s="7" t="s">
        <v>8</v>
      </c>
      <c r="BH234" s="17">
        <f>IF(Tabella1[[#This Row],[Obesità]]="no",0,1)</f>
        <v>0</v>
      </c>
      <c r="BI234" s="7" t="s">
        <v>2369</v>
      </c>
      <c r="BJ234" s="22">
        <f>IF(ISERROR(SEARCH("nega",Tabella1[[#This Row],[Reflusso gastroesofageo]],1)),1,0)</f>
        <v>1</v>
      </c>
      <c r="BK234" s="7" t="s">
        <v>195</v>
      </c>
      <c r="BL234" s="17">
        <f>IF(ISERROR(SEARCH("NDD",Tabella1[[#This Row],[Patologia respiratoria]],1)),0,1)</f>
        <v>0</v>
      </c>
      <c r="BM234" s="17">
        <f>IF(ISERROR(SEARCH("asma",Tabella1[[#This Row],[Patologia respiratoria]],1)),0,1)</f>
        <v>0</v>
      </c>
      <c r="BN234" s="17">
        <f>IF(ISERROR(SEARCH("BPCO",Tabella1[[#This Row],[Patologia respiratoria]],1)),0,1)</f>
        <v>0</v>
      </c>
      <c r="BO234" s="17">
        <f>IF(ISERROR(SEARCH("BRONCOPOLMONITE",Tabella1[[#This Row],[Patologia respiratoria]],1)),0,1)</f>
        <v>0</v>
      </c>
      <c r="BP234" s="17">
        <f>IF(ISERROR(SEARCH("ASMA, OSAS",Tabella1[[#This Row],[Patologia respiratoria]],1)),0,1)</f>
        <v>0</v>
      </c>
      <c r="BQ234" s="17">
        <f>IF(ISERROR(SEARCH("OSAS e BPCO",Tabella1[[#This Row],[Patologia respiratoria]],1)),0,1)</f>
        <v>0</v>
      </c>
      <c r="BR234" s="17">
        <f>IF(ISERROR(SEARCH("OSAS",Tabella1[[#This Row],[Patologia respiratoria]],1)),0,1)</f>
        <v>0</v>
      </c>
      <c r="BS234" s="7" t="s">
        <v>2620</v>
      </c>
      <c r="BT234" s="7" t="s">
        <v>2621</v>
      </c>
      <c r="BU234" s="7" t="s">
        <v>5477</v>
      </c>
      <c r="BV234" s="17">
        <f>IF(ISERROR(SEARCH("ndd",Tabella1[[#This Row],[O2 terapia]],1)),0,1)</f>
        <v>1</v>
      </c>
      <c r="BW234" s="17"/>
      <c r="BX234" s="7"/>
      <c r="BY234" s="7" t="s">
        <v>2622</v>
      </c>
      <c r="BZ234" s="17">
        <v>1</v>
      </c>
      <c r="CA234" s="7" t="s">
        <v>2623</v>
      </c>
      <c r="CB234" s="17">
        <v>1</v>
      </c>
      <c r="CC234" s="7" t="s">
        <v>2624</v>
      </c>
      <c r="CD234" s="18">
        <v>0</v>
      </c>
      <c r="CE234" s="7" t="s">
        <v>309</v>
      </c>
      <c r="CF234" s="18">
        <v>0</v>
      </c>
      <c r="CG234" s="7" t="s">
        <v>2369</v>
      </c>
      <c r="CH234" s="17">
        <v>1</v>
      </c>
      <c r="CI234" s="7" t="s">
        <v>5477</v>
      </c>
      <c r="CJ234" s="17"/>
      <c r="CK234" s="7" t="s">
        <v>2625</v>
      </c>
      <c r="CL234" s="17">
        <v>1</v>
      </c>
      <c r="CM234" s="7" t="s">
        <v>28</v>
      </c>
      <c r="CN234" s="17">
        <v>1</v>
      </c>
      <c r="CO234" s="7" t="s">
        <v>195</v>
      </c>
      <c r="CP234" s="18">
        <v>0</v>
      </c>
      <c r="CQ234" s="7" t="s">
        <v>202</v>
      </c>
      <c r="CR234" s="7" t="s">
        <v>2626</v>
      </c>
      <c r="CS234" s="7" t="s">
        <v>355</v>
      </c>
      <c r="CT234" s="7" t="s">
        <v>508</v>
      </c>
      <c r="CU234" s="7" t="s">
        <v>2627</v>
      </c>
      <c r="CV234" s="8" t="s">
        <v>2628</v>
      </c>
    </row>
    <row r="235" spans="1:100" ht="313.5">
      <c r="A235" s="1">
        <f t="shared" si="3"/>
        <v>234</v>
      </c>
      <c r="B235" s="9">
        <v>1376</v>
      </c>
      <c r="C235" s="10">
        <v>45372</v>
      </c>
      <c r="D235" s="11" t="s">
        <v>2629</v>
      </c>
      <c r="E235" s="10">
        <v>31979</v>
      </c>
      <c r="F235" s="29">
        <f ca="1">_xlfn.DAYS(NOW(),Tabella1[[#This Row],[Data di Nascita]])/365.25</f>
        <v>38.039698836413415</v>
      </c>
      <c r="G235" s="11" t="s">
        <v>2630</v>
      </c>
      <c r="H235" s="11" t="s">
        <v>2631</v>
      </c>
      <c r="I235" s="11" t="s">
        <v>2293</v>
      </c>
      <c r="J235" s="11" t="s">
        <v>211</v>
      </c>
      <c r="K235" s="11" t="s">
        <v>2632</v>
      </c>
      <c r="L235" s="18">
        <f>IF(ISERROR(SEARCH("EX",Tabella1[[#This Row],[Attività lavorativa]],1)),0,1)</f>
        <v>0</v>
      </c>
      <c r="M235" s="18"/>
      <c r="N235" s="17">
        <v>1</v>
      </c>
      <c r="O235" s="17"/>
      <c r="P235" s="17"/>
      <c r="Q235" s="17"/>
      <c r="R235" s="17"/>
      <c r="S235" s="17"/>
      <c r="T235" s="17">
        <f>IF(ISERROR(SEARCH("NDD",Tabella1[[#This Row],[Attività lavorativa]],1)),0,1)</f>
        <v>0</v>
      </c>
      <c r="U235" s="11" t="s">
        <v>2633</v>
      </c>
      <c r="V235" s="22">
        <v>25</v>
      </c>
      <c r="W235" s="22">
        <f>IF(ISERROR(SEARCH("ex",Tabella1[[#This Row],[Fumo]],1)),0,1)</f>
        <v>0</v>
      </c>
      <c r="X235" s="22">
        <f>IF(ISERROR(SEARCH("no",Tabella1[[#This Row],[Fumo]],1)),0,1)</f>
        <v>0</v>
      </c>
      <c r="Y235" s="11" t="s">
        <v>5477</v>
      </c>
      <c r="Z235" s="18">
        <f>IF(ISERROR(SEARCH("NDD",Tabella1[[#This Row],[Bevitore alcolici]],1)),0,1)</f>
        <v>1</v>
      </c>
      <c r="AA235" s="17">
        <f>IF(ISERROR(SEARCH("raro",Tabella1[[#This Row],[Bevitore alcolici]],1)),0,1)</f>
        <v>0</v>
      </c>
      <c r="AB235" s="17">
        <f>IF(ISERROR(SEARCH("saltuariamente",Tabella1[[#This Row],[Bevitore alcolici]],1)),0,1)</f>
        <v>0</v>
      </c>
      <c r="AC235" s="17">
        <f>IF(ISERROR(SEARCH("nega",Tabella1[[#This Row],[Bevitore alcolici]],1)),0,1)</f>
        <v>0</v>
      </c>
      <c r="AD235" s="17">
        <f>IF(ISERROR(SEARCH("potus",Tabella1[[#This Row],[Bevitore alcolici]],1)),0,1)</f>
        <v>0</v>
      </c>
      <c r="AE235" s="11" t="s">
        <v>5662</v>
      </c>
      <c r="AF235" s="18"/>
      <c r="AG235" s="18"/>
      <c r="AH235" s="18"/>
      <c r="AI235" s="18"/>
      <c r="AJ235" s="18"/>
      <c r="AK235" s="11" t="s">
        <v>194</v>
      </c>
      <c r="AL235" s="18">
        <f>IF(ISERROR(SEARCH("si",Tabella1[[#This Row],[Patente di guida]],1)),0,1)</f>
        <v>1</v>
      </c>
      <c r="AM235" s="11" t="s">
        <v>195</v>
      </c>
      <c r="AN235" s="18">
        <f>IF(ISERROR(SEARCH("no",Tabella1[[#This Row],[Ipertensione]],1)),0,1)</f>
        <v>1</v>
      </c>
      <c r="AO235" s="11" t="s">
        <v>382</v>
      </c>
      <c r="AP235" s="18">
        <f>IF(ISERROR(SEARCH("NO",Tabella1[[#This Row],[Cardiopatia ischemica]],1)),1,0)</f>
        <v>0</v>
      </c>
      <c r="AQ235" s="17">
        <f>IF(ISERROR(SEARCH("sconosciuto",Tabella1[[#This Row],[Cardiopatia ischemica]],1)),0,1)</f>
        <v>0</v>
      </c>
      <c r="AR235" s="11" t="s">
        <v>25</v>
      </c>
      <c r="AS235" s="18">
        <f>IF(ISERROR(SEARCH("nega",Tabella1[[#This Row],[Artimie]],1)),0,1)</f>
        <v>1</v>
      </c>
      <c r="AT235" s="11" t="s">
        <v>25</v>
      </c>
      <c r="AU235" s="18">
        <f>IF(ISERROR(SEARCH("nega",Tabella1[[#This Row],[Ipercolesterolemia]],1)),0,1)</f>
        <v>1</v>
      </c>
      <c r="AV235" s="18">
        <f>IF(ISERROR(SEARCH("boh",Tabella1[[#This Row],[Ipercolesterolemia]],1)),0,1)</f>
        <v>0</v>
      </c>
      <c r="AW235" s="11" t="s">
        <v>195</v>
      </c>
      <c r="AX235" s="18">
        <f>IF(ISERROR(SEARCH("Intolleranza",Tabella1[[#This Row],[Diabete]],1)),0,1)</f>
        <v>0</v>
      </c>
      <c r="AY235" s="18">
        <f>IF(ISERROR(SEARCH("si",Tabella1[[#This Row],[Diabete]],1)),0,1)</f>
        <v>0</v>
      </c>
      <c r="AZ235" s="11" t="s">
        <v>195</v>
      </c>
      <c r="BA235" s="18">
        <f>IF(ISERROR(SEARCH("NDD",Tabella1[[#This Row],[Patologia Tiroidea]],1)),0,1)</f>
        <v>0</v>
      </c>
      <c r="BB235" s="18">
        <f>IF(ISERROR(SEARCH("TIROIDITE",Tabella1[[#This Row],[Patologia Tiroidea]],1)),0,1)</f>
        <v>0</v>
      </c>
      <c r="BC235" s="18">
        <f>IF(ISERROR(SEARCH("HASHIMOTO",Tabella1[[#This Row],[Patologia Tiroidea]],1)),0,1)</f>
        <v>0</v>
      </c>
      <c r="BD235" s="18">
        <f>IF(ISERROR(SEARCH("BASEDOW",Tabella1[[#This Row],[Patologia Tiroidea]],1)),0,1)</f>
        <v>0</v>
      </c>
      <c r="BE235" s="18">
        <f>IF(ISERROR(SEARCH("NOD",Tabella1[[#This Row],[Patologia Tiroidea]],1)),0,1)</f>
        <v>0</v>
      </c>
      <c r="BF235" s="18">
        <f>IF(ISERROR(SEARCH("GOZ",Tabella1[[#This Row],[Patologia Tiroidea]],1)),0,1)</f>
        <v>0</v>
      </c>
      <c r="BG235" s="11" t="s">
        <v>28</v>
      </c>
      <c r="BH235" s="18">
        <f>IF(Tabella1[[#This Row],[Obesità]]="no",0,1)</f>
        <v>1</v>
      </c>
      <c r="BI235" s="11" t="s">
        <v>2634</v>
      </c>
      <c r="BJ235" s="22">
        <f>IF(ISERROR(SEARCH("nega",Tabella1[[#This Row],[Reflusso gastroesofageo]],1)),1,0)</f>
        <v>0</v>
      </c>
      <c r="BK235" s="11" t="s">
        <v>195</v>
      </c>
      <c r="BL235" s="18">
        <f>IF(ISERROR(SEARCH("NDD",Tabella1[[#This Row],[Patologia respiratoria]],1)),0,1)</f>
        <v>0</v>
      </c>
      <c r="BM235" s="18">
        <f>IF(ISERROR(SEARCH("asma",Tabella1[[#This Row],[Patologia respiratoria]],1)),0,1)</f>
        <v>0</v>
      </c>
      <c r="BN235" s="18">
        <f>IF(ISERROR(SEARCH("BPCO",Tabella1[[#This Row],[Patologia respiratoria]],1)),0,1)</f>
        <v>0</v>
      </c>
      <c r="BO235" s="18">
        <f>IF(ISERROR(SEARCH("BRONCOPOLMONITE",Tabella1[[#This Row],[Patologia respiratoria]],1)),0,1)</f>
        <v>0</v>
      </c>
      <c r="BP235" s="18">
        <f>IF(ISERROR(SEARCH("ASMA, OSAS",Tabella1[[#This Row],[Patologia respiratoria]],1)),0,1)</f>
        <v>0</v>
      </c>
      <c r="BQ235" s="18">
        <f>IF(ISERROR(SEARCH("OSAS e BPCO",Tabella1[[#This Row],[Patologia respiratoria]],1)),0,1)</f>
        <v>0</v>
      </c>
      <c r="BR235" s="18">
        <f>IF(ISERROR(SEARCH("OSAS",Tabella1[[#This Row],[Patologia respiratoria]],1)),0,1)</f>
        <v>0</v>
      </c>
      <c r="BS235" s="11"/>
      <c r="BT235" s="11" t="s">
        <v>2635</v>
      </c>
      <c r="BU235" s="7" t="s">
        <v>5477</v>
      </c>
      <c r="BV235" s="17">
        <f>IF(ISERROR(SEARCH("ndd",Tabella1[[#This Row],[O2 terapia]],1)),0,1)</f>
        <v>1</v>
      </c>
      <c r="BW235" s="18"/>
      <c r="BX235" s="11"/>
      <c r="BY235" s="11" t="s">
        <v>387</v>
      </c>
      <c r="BZ235" s="17">
        <v>1</v>
      </c>
      <c r="CA235" s="11" t="s">
        <v>2636</v>
      </c>
      <c r="CB235" s="17">
        <v>1</v>
      </c>
      <c r="CC235" s="11" t="s">
        <v>2637</v>
      </c>
      <c r="CD235" s="17">
        <v>1</v>
      </c>
      <c r="CE235" s="11" t="s">
        <v>195</v>
      </c>
      <c r="CF235" s="18">
        <v>0</v>
      </c>
      <c r="CG235" s="11" t="s">
        <v>381</v>
      </c>
      <c r="CH235" s="17">
        <v>1</v>
      </c>
      <c r="CI235" s="7" t="s">
        <v>5477</v>
      </c>
      <c r="CJ235" s="18"/>
      <c r="CK235" s="11" t="s">
        <v>2638</v>
      </c>
      <c r="CL235" s="17">
        <v>1</v>
      </c>
      <c r="CM235" s="11" t="s">
        <v>2639</v>
      </c>
      <c r="CN235" s="17">
        <v>1</v>
      </c>
      <c r="CO235" s="11" t="s">
        <v>194</v>
      </c>
      <c r="CP235" s="17">
        <v>1</v>
      </c>
      <c r="CQ235" s="11" t="s">
        <v>103</v>
      </c>
      <c r="CR235" s="11" t="s">
        <v>2640</v>
      </c>
      <c r="CS235" s="11" t="s">
        <v>105</v>
      </c>
      <c r="CT235" s="11" t="s">
        <v>389</v>
      </c>
      <c r="CU235" s="11" t="s">
        <v>2641</v>
      </c>
      <c r="CV235" s="12" t="s">
        <v>2642</v>
      </c>
    </row>
    <row r="236" spans="1:100" ht="228">
      <c r="A236" s="1">
        <f t="shared" si="3"/>
        <v>235</v>
      </c>
      <c r="B236" s="5">
        <v>1377</v>
      </c>
      <c r="C236" s="6">
        <v>45372</v>
      </c>
      <c r="D236" s="7" t="s">
        <v>2643</v>
      </c>
      <c r="E236" s="6">
        <v>18518</v>
      </c>
      <c r="F236" s="29">
        <f ca="1">_xlfn.DAYS(NOW(),Tabella1[[#This Row],[Data di Nascita]])/365.25</f>
        <v>74.893908281998634</v>
      </c>
      <c r="G236" s="7" t="s">
        <v>2644</v>
      </c>
      <c r="H236" s="7" t="s">
        <v>2645</v>
      </c>
      <c r="I236" s="7" t="s">
        <v>2142</v>
      </c>
      <c r="J236" s="7" t="s">
        <v>1346</v>
      </c>
      <c r="K236" s="7" t="s">
        <v>5619</v>
      </c>
      <c r="L236" s="17">
        <f>IF(ISERROR(SEARCH("EX",Tabella1[[#This Row],[Attività lavorativa]],1)),0,1)</f>
        <v>1</v>
      </c>
      <c r="M236" s="17"/>
      <c r="N236" s="17">
        <v>1</v>
      </c>
      <c r="O236" s="17"/>
      <c r="P236" s="17"/>
      <c r="Q236" s="17"/>
      <c r="R236" s="17"/>
      <c r="S236" s="17"/>
      <c r="T236" s="17">
        <f>IF(ISERROR(SEARCH("NDD",Tabella1[[#This Row],[Attività lavorativa]],1)),0,1)</f>
        <v>0</v>
      </c>
      <c r="U236" s="7" t="s">
        <v>2646</v>
      </c>
      <c r="V236" s="22">
        <v>15</v>
      </c>
      <c r="W236" s="22">
        <f>IF(ISERROR(SEARCH("ex",Tabella1[[#This Row],[Fumo]],1)),0,1)</f>
        <v>1</v>
      </c>
      <c r="X236" s="22">
        <f>IF(ISERROR(SEARCH("no",Tabella1[[#This Row],[Fumo]],1)),0,1)</f>
        <v>0</v>
      </c>
      <c r="Y236" s="7" t="s">
        <v>26</v>
      </c>
      <c r="Z236" s="17">
        <f>IF(ISERROR(SEARCH("NDD",Tabella1[[#This Row],[Bevitore alcolici]],1)),0,1)</f>
        <v>0</v>
      </c>
      <c r="AA236" s="17">
        <f>IF(ISERROR(SEARCH("raro",Tabella1[[#This Row],[Bevitore alcolici]],1)),0,1)</f>
        <v>0</v>
      </c>
      <c r="AB236" s="17">
        <f>IF(ISERROR(SEARCH("saltuariamente",Tabella1[[#This Row],[Bevitore alcolici]],1)),0,1)</f>
        <v>1</v>
      </c>
      <c r="AC236" s="17">
        <f>IF(ISERROR(SEARCH("nega",Tabella1[[#This Row],[Bevitore alcolici]],1)),0,1)</f>
        <v>0</v>
      </c>
      <c r="AD236" s="17">
        <f>IF(ISERROR(SEARCH("potus",Tabella1[[#This Row],[Bevitore alcolici]],1)),0,1)</f>
        <v>0</v>
      </c>
      <c r="AE236" s="7" t="s">
        <v>5679</v>
      </c>
      <c r="AF236" s="17"/>
      <c r="AG236" s="17"/>
      <c r="AH236" s="17"/>
      <c r="AI236" s="17"/>
      <c r="AJ236" s="17"/>
      <c r="AK236" s="7" t="s">
        <v>8</v>
      </c>
      <c r="AL236" s="17">
        <f>IF(ISERROR(SEARCH("si",Tabella1[[#This Row],[Patente di guida]],1)),0,1)</f>
        <v>0</v>
      </c>
      <c r="AM236" s="7" t="s">
        <v>28</v>
      </c>
      <c r="AN236" s="17">
        <f>IF(ISERROR(SEARCH("no",Tabella1[[#This Row],[Ipertensione]],1)),0,1)</f>
        <v>0</v>
      </c>
      <c r="AO236" s="7" t="s">
        <v>382</v>
      </c>
      <c r="AP236" s="18">
        <f>IF(ISERROR(SEARCH("NO",Tabella1[[#This Row],[Cardiopatia ischemica]],1)),1,0)</f>
        <v>0</v>
      </c>
      <c r="AQ236" s="17">
        <f>IF(ISERROR(SEARCH("sconosciuto",Tabella1[[#This Row],[Cardiopatia ischemica]],1)),0,1)</f>
        <v>0</v>
      </c>
      <c r="AR236" s="7" t="s">
        <v>25</v>
      </c>
      <c r="AS236" s="17">
        <f>IF(ISERROR(SEARCH("nega",Tabella1[[#This Row],[Artimie]],1)),0,1)</f>
        <v>1</v>
      </c>
      <c r="AT236" s="7" t="s">
        <v>7</v>
      </c>
      <c r="AU236" s="17">
        <f>IF(ISERROR(SEARCH("nega",Tabella1[[#This Row],[Ipercolesterolemia]],1)),0,1)</f>
        <v>0</v>
      </c>
      <c r="AV236" s="17">
        <f>IF(ISERROR(SEARCH("boh",Tabella1[[#This Row],[Ipercolesterolemia]],1)),0,1)</f>
        <v>0</v>
      </c>
      <c r="AW236" s="7" t="s">
        <v>3768</v>
      </c>
      <c r="AX236" s="17">
        <f>IF(ISERROR(SEARCH("Intolleranza",Tabella1[[#This Row],[Diabete]],1)),0,1)</f>
        <v>0</v>
      </c>
      <c r="AY236" s="17">
        <f>IF(ISERROR(SEARCH("si",Tabella1[[#This Row],[Diabete]],1)),0,1)</f>
        <v>1</v>
      </c>
      <c r="AZ236" s="7" t="s">
        <v>8</v>
      </c>
      <c r="BA236" s="17">
        <f>IF(ISERROR(SEARCH("NDD",Tabella1[[#This Row],[Patologia Tiroidea]],1)),0,1)</f>
        <v>0</v>
      </c>
      <c r="BB236" s="17">
        <f>IF(ISERROR(SEARCH("TIROIDITE",Tabella1[[#This Row],[Patologia Tiroidea]],1)),0,1)</f>
        <v>0</v>
      </c>
      <c r="BC236" s="17">
        <f>IF(ISERROR(SEARCH("HASHIMOTO",Tabella1[[#This Row],[Patologia Tiroidea]],1)),0,1)</f>
        <v>0</v>
      </c>
      <c r="BD236" s="17">
        <f>IF(ISERROR(SEARCH("BASEDOW",Tabella1[[#This Row],[Patologia Tiroidea]],1)),0,1)</f>
        <v>0</v>
      </c>
      <c r="BE236" s="17">
        <f>IF(ISERROR(SEARCH("NOD",Tabella1[[#This Row],[Patologia Tiroidea]],1)),0,1)</f>
        <v>0</v>
      </c>
      <c r="BF236" s="17">
        <f>IF(ISERROR(SEARCH("GOZ",Tabella1[[#This Row],[Patologia Tiroidea]],1)),0,1)</f>
        <v>0</v>
      </c>
      <c r="BG236" s="7" t="s">
        <v>7</v>
      </c>
      <c r="BH236" s="17">
        <f>IF(Tabella1[[#This Row],[Obesità]]="no",0,1)</f>
        <v>1</v>
      </c>
      <c r="BI236" s="7" t="s">
        <v>25</v>
      </c>
      <c r="BJ236" s="22">
        <f>IF(ISERROR(SEARCH("nega",Tabella1[[#This Row],[Reflusso gastroesofageo]],1)),1,0)</f>
        <v>0</v>
      </c>
      <c r="BK236" s="7" t="s">
        <v>2647</v>
      </c>
      <c r="BL236" s="17">
        <f>IF(ISERROR(SEARCH("NDD",Tabella1[[#This Row],[Patologia respiratoria]],1)),0,1)</f>
        <v>0</v>
      </c>
      <c r="BM236" s="17">
        <f>IF(ISERROR(SEARCH("asma",Tabella1[[#This Row],[Patologia respiratoria]],1)),0,1)</f>
        <v>0</v>
      </c>
      <c r="BN236" s="17">
        <f>IF(ISERROR(SEARCH("BPCO",Tabella1[[#This Row],[Patologia respiratoria]],1)),0,1)</f>
        <v>0</v>
      </c>
      <c r="BO236" s="17">
        <f>IF(ISERROR(SEARCH("BRONCOPOLMONITE",Tabella1[[#This Row],[Patologia respiratoria]],1)),0,1)</f>
        <v>0</v>
      </c>
      <c r="BP236" s="17">
        <f>IF(ISERROR(SEARCH("ASMA, OSAS",Tabella1[[#This Row],[Patologia respiratoria]],1)),0,1)</f>
        <v>0</v>
      </c>
      <c r="BQ236" s="17">
        <f>IF(ISERROR(SEARCH("OSAS e BPCO",Tabella1[[#This Row],[Patologia respiratoria]],1)),0,1)</f>
        <v>0</v>
      </c>
      <c r="BR236" s="17">
        <f>IF(ISERROR(SEARCH("OSAS",Tabella1[[#This Row],[Patologia respiratoria]],1)),0,1)</f>
        <v>0</v>
      </c>
      <c r="BS236" s="7" t="s">
        <v>2648</v>
      </c>
      <c r="BT236" s="7" t="s">
        <v>2649</v>
      </c>
      <c r="BU236" s="7" t="s">
        <v>5477</v>
      </c>
      <c r="BV236" s="17">
        <f>IF(ISERROR(SEARCH("ndd",Tabella1[[#This Row],[O2 terapia]],1)),0,1)</f>
        <v>1</v>
      </c>
      <c r="BW236" s="17"/>
      <c r="BX236" s="7"/>
      <c r="BY236" s="7" t="s">
        <v>2650</v>
      </c>
      <c r="BZ236" s="17">
        <v>1</v>
      </c>
      <c r="CA236" s="7" t="s">
        <v>2651</v>
      </c>
      <c r="CB236" s="17">
        <v>1</v>
      </c>
      <c r="CC236" s="7" t="s">
        <v>7</v>
      </c>
      <c r="CD236" s="17">
        <v>1</v>
      </c>
      <c r="CE236" s="7" t="s">
        <v>8</v>
      </c>
      <c r="CF236" s="18">
        <v>0</v>
      </c>
      <c r="CG236" s="7" t="s">
        <v>8</v>
      </c>
      <c r="CH236" s="17">
        <v>0</v>
      </c>
      <c r="CI236" s="7" t="s">
        <v>8</v>
      </c>
      <c r="CJ236" s="18">
        <v>0</v>
      </c>
      <c r="CK236" s="7" t="s">
        <v>2243</v>
      </c>
      <c r="CL236" s="17">
        <v>1</v>
      </c>
      <c r="CM236" s="7" t="s">
        <v>2652</v>
      </c>
      <c r="CN236" s="17">
        <v>1</v>
      </c>
      <c r="CO236" s="7" t="s">
        <v>8</v>
      </c>
      <c r="CP236" s="18">
        <v>0</v>
      </c>
      <c r="CQ236" s="7" t="s">
        <v>54</v>
      </c>
      <c r="CR236" s="7" t="s">
        <v>203</v>
      </c>
      <c r="CS236" s="7" t="s">
        <v>105</v>
      </c>
      <c r="CT236" s="7" t="s">
        <v>664</v>
      </c>
      <c r="CU236" s="7" t="s">
        <v>2653</v>
      </c>
      <c r="CV236" s="8" t="s">
        <v>2654</v>
      </c>
    </row>
    <row r="237" spans="1:100" ht="199.5">
      <c r="A237" s="1">
        <f t="shared" si="3"/>
        <v>236</v>
      </c>
      <c r="B237" s="9">
        <v>1385</v>
      </c>
      <c r="C237" s="10">
        <v>45379</v>
      </c>
      <c r="D237" s="11" t="s">
        <v>2655</v>
      </c>
      <c r="E237" s="10">
        <v>30110</v>
      </c>
      <c r="F237" s="29">
        <f ca="1">_xlfn.DAYS(NOW(),Tabella1[[#This Row],[Data di Nascita]])/365.25</f>
        <v>43.156741957563312</v>
      </c>
      <c r="G237" s="11" t="s">
        <v>2656</v>
      </c>
      <c r="H237" s="11" t="s">
        <v>2657</v>
      </c>
      <c r="I237" s="11" t="s">
        <v>1008</v>
      </c>
      <c r="J237" s="11" t="s">
        <v>1346</v>
      </c>
      <c r="K237" s="11" t="s">
        <v>2658</v>
      </c>
      <c r="L237" s="18">
        <f>IF(ISERROR(SEARCH("EX",Tabella1[[#This Row],[Attività lavorativa]],1)),0,1)</f>
        <v>0</v>
      </c>
      <c r="M237" s="18"/>
      <c r="N237" s="18"/>
      <c r="O237" s="18"/>
      <c r="P237" s="18">
        <v>1</v>
      </c>
      <c r="Q237" s="17"/>
      <c r="R237" s="17"/>
      <c r="S237" s="17"/>
      <c r="T237" s="17">
        <f>IF(ISERROR(SEARCH("NDD",Tabella1[[#This Row],[Attività lavorativa]],1)),0,1)</f>
        <v>0</v>
      </c>
      <c r="U237" s="11" t="s">
        <v>2659</v>
      </c>
      <c r="V237" s="22">
        <v>25</v>
      </c>
      <c r="W237" s="22">
        <f>IF(ISERROR(SEARCH("ex",Tabella1[[#This Row],[Fumo]],1)),0,1)</f>
        <v>0</v>
      </c>
      <c r="X237" s="22">
        <f>IF(ISERROR(SEARCH("no",Tabella1[[#This Row],[Fumo]],1)),0,1)</f>
        <v>0</v>
      </c>
      <c r="Y237" s="11" t="s">
        <v>2660</v>
      </c>
      <c r="Z237" s="18">
        <f>IF(ISERROR(SEARCH("NDD",Tabella1[[#This Row],[Bevitore alcolici]],1)),0,1)</f>
        <v>0</v>
      </c>
      <c r="AA237" s="17">
        <f>IF(ISERROR(SEARCH("raro",Tabella1[[#This Row],[Bevitore alcolici]],1)),0,1)</f>
        <v>1</v>
      </c>
      <c r="AB237" s="17">
        <f>IF(ISERROR(SEARCH("saltuariamente",Tabella1[[#This Row],[Bevitore alcolici]],1)),0,1)</f>
        <v>0</v>
      </c>
      <c r="AC237" s="17">
        <f>IF(ISERROR(SEARCH("nega",Tabella1[[#This Row],[Bevitore alcolici]],1)),0,1)</f>
        <v>0</v>
      </c>
      <c r="AD237" s="17">
        <f>IF(ISERROR(SEARCH("potus",Tabella1[[#This Row],[Bevitore alcolici]],1)),0,1)</f>
        <v>0</v>
      </c>
      <c r="AE237" s="11" t="s">
        <v>2661</v>
      </c>
      <c r="AF237" s="18"/>
      <c r="AG237" s="18"/>
      <c r="AH237" s="18"/>
      <c r="AI237" s="18"/>
      <c r="AJ237" s="18">
        <v>1</v>
      </c>
      <c r="AK237" s="11" t="s">
        <v>28</v>
      </c>
      <c r="AL237" s="18">
        <f>IF(ISERROR(SEARCH("si",Tabella1[[#This Row],[Patente di guida]],1)),0,1)</f>
        <v>1</v>
      </c>
      <c r="AM237" s="11" t="s">
        <v>8</v>
      </c>
      <c r="AN237" s="18">
        <f>IF(ISERROR(SEARCH("no",Tabella1[[#This Row],[Ipertensione]],1)),0,1)</f>
        <v>1</v>
      </c>
      <c r="AO237" s="11" t="s">
        <v>382</v>
      </c>
      <c r="AP237" s="18">
        <f>IF(ISERROR(SEARCH("NO",Tabella1[[#This Row],[Cardiopatia ischemica]],1)),1,0)</f>
        <v>0</v>
      </c>
      <c r="AQ237" s="17">
        <f>IF(ISERROR(SEARCH("sconosciuto",Tabella1[[#This Row],[Cardiopatia ischemica]],1)),0,1)</f>
        <v>0</v>
      </c>
      <c r="AR237" s="11" t="s">
        <v>25</v>
      </c>
      <c r="AS237" s="22">
        <f>IF(ISERROR(SEARCH("nega",Tabella1[[#This Row],[Artimie]],1)),0,1)</f>
        <v>1</v>
      </c>
      <c r="AT237" s="11" t="s">
        <v>25</v>
      </c>
      <c r="AU237" s="22">
        <f>IF(ISERROR(SEARCH("nega",Tabella1[[#This Row],[Ipercolesterolemia]],1)),0,1)</f>
        <v>1</v>
      </c>
      <c r="AV237" s="22">
        <f>IF(ISERROR(SEARCH("boh",Tabella1[[#This Row],[Ipercolesterolemia]],1)),0,1)</f>
        <v>0</v>
      </c>
      <c r="AW237" s="11" t="s">
        <v>8</v>
      </c>
      <c r="AX237" s="22">
        <f>IF(ISERROR(SEARCH("Intolleranza",Tabella1[[#This Row],[Diabete]],1)),0,1)</f>
        <v>0</v>
      </c>
      <c r="AY237" s="22">
        <f>IF(ISERROR(SEARCH("si",Tabella1[[#This Row],[Diabete]],1)),0,1)</f>
        <v>0</v>
      </c>
      <c r="AZ237" s="11" t="s">
        <v>8</v>
      </c>
      <c r="BA237" s="18">
        <f>IF(ISERROR(SEARCH("NDD",Tabella1[[#This Row],[Patologia Tiroidea]],1)),0,1)</f>
        <v>0</v>
      </c>
      <c r="BB237" s="22">
        <f>IF(ISERROR(SEARCH("TIROIDITE",Tabella1[[#This Row],[Patologia Tiroidea]],1)),0,1)</f>
        <v>0</v>
      </c>
      <c r="BC237" s="22">
        <f>IF(ISERROR(SEARCH("HASHIMOTO",Tabella1[[#This Row],[Patologia Tiroidea]],1)),0,1)</f>
        <v>0</v>
      </c>
      <c r="BD237" s="22">
        <f>IF(ISERROR(SEARCH("BASEDOW",Tabella1[[#This Row],[Patologia Tiroidea]],1)),0,1)</f>
        <v>0</v>
      </c>
      <c r="BE237" s="22">
        <f>IF(ISERROR(SEARCH("NOD",Tabella1[[#This Row],[Patologia Tiroidea]],1)),0,1)</f>
        <v>0</v>
      </c>
      <c r="BF237" s="22">
        <f>IF(ISERROR(SEARCH("GOZ",Tabella1[[#This Row],[Patologia Tiroidea]],1)),0,1)</f>
        <v>0</v>
      </c>
      <c r="BG237" s="11" t="s">
        <v>8</v>
      </c>
      <c r="BH237" s="18">
        <f>IF(Tabella1[[#This Row],[Obesità]]="no",0,1)</f>
        <v>0</v>
      </c>
      <c r="BI237" s="11" t="s">
        <v>7</v>
      </c>
      <c r="BJ237" s="22">
        <f>IF(ISERROR(SEARCH("nega",Tabella1[[#This Row],[Reflusso gastroesofageo]],1)),1,0)</f>
        <v>1</v>
      </c>
      <c r="BK237" s="11" t="s">
        <v>3815</v>
      </c>
      <c r="BL237" s="18">
        <f>IF(ISERROR(SEARCH("NDD",Tabella1[[#This Row],[Patologia respiratoria]],1)),0,1)</f>
        <v>0</v>
      </c>
      <c r="BM237" s="18">
        <f>IF(ISERROR(SEARCH("asma",Tabella1[[#This Row],[Patologia respiratoria]],1)),0,1)</f>
        <v>1</v>
      </c>
      <c r="BN237" s="18">
        <f>IF(ISERROR(SEARCH("BPCO",Tabella1[[#This Row],[Patologia respiratoria]],1)),0,1)</f>
        <v>0</v>
      </c>
      <c r="BO237" s="18">
        <f>IF(ISERROR(SEARCH("BRONCOPOLMONITE",Tabella1[[#This Row],[Patologia respiratoria]],1)),0,1)</f>
        <v>0</v>
      </c>
      <c r="BP237" s="18">
        <f>IF(ISERROR(SEARCH("ASMA, OSAS",Tabella1[[#This Row],[Patologia respiratoria]],1)),0,1)</f>
        <v>0</v>
      </c>
      <c r="BQ237" s="18">
        <f>IF(ISERROR(SEARCH("OSAS e BPCO",Tabella1[[#This Row],[Patologia respiratoria]],1)),0,1)</f>
        <v>0</v>
      </c>
      <c r="BR237" s="18">
        <f>IF(ISERROR(SEARCH("OSAS",Tabella1[[#This Row],[Patologia respiratoria]],1)),0,1)</f>
        <v>0</v>
      </c>
      <c r="BS237" s="11" t="s">
        <v>383</v>
      </c>
      <c r="BT237" s="11" t="s">
        <v>2662</v>
      </c>
      <c r="BU237" s="11" t="s">
        <v>8</v>
      </c>
      <c r="BV237" s="18">
        <f>IF(ISERROR(SEARCH("ndd",Tabella1[[#This Row],[O2 terapia]],1)),0,1)</f>
        <v>0</v>
      </c>
      <c r="BW237" s="17">
        <v>0</v>
      </c>
      <c r="BX237" s="11"/>
      <c r="BY237" s="11" t="s">
        <v>2663</v>
      </c>
      <c r="BZ237" s="17">
        <v>1</v>
      </c>
      <c r="CA237" s="11" t="s">
        <v>2664</v>
      </c>
      <c r="CB237" s="17">
        <v>1</v>
      </c>
      <c r="CC237" s="11" t="s">
        <v>2665</v>
      </c>
      <c r="CD237" s="17">
        <v>1</v>
      </c>
      <c r="CE237" s="11" t="s">
        <v>8</v>
      </c>
      <c r="CF237" s="18">
        <v>0</v>
      </c>
      <c r="CG237" s="11" t="s">
        <v>2666</v>
      </c>
      <c r="CH237" s="17">
        <v>1</v>
      </c>
      <c r="CI237" s="11" t="s">
        <v>2667</v>
      </c>
      <c r="CJ237" s="17">
        <v>1</v>
      </c>
      <c r="CK237" s="11" t="s">
        <v>2668</v>
      </c>
      <c r="CL237" s="17">
        <v>1</v>
      </c>
      <c r="CM237" s="11" t="s">
        <v>2669</v>
      </c>
      <c r="CN237" s="17">
        <v>1</v>
      </c>
      <c r="CO237" s="11" t="s">
        <v>461</v>
      </c>
      <c r="CP237" s="17">
        <v>1</v>
      </c>
      <c r="CQ237" s="11" t="s">
        <v>69</v>
      </c>
      <c r="CR237" s="11" t="s">
        <v>1571</v>
      </c>
      <c r="CS237" s="11" t="s">
        <v>219</v>
      </c>
      <c r="CT237" s="11" t="s">
        <v>72</v>
      </c>
      <c r="CU237" s="11" t="s">
        <v>2514</v>
      </c>
      <c r="CV237" s="12" t="s">
        <v>2670</v>
      </c>
    </row>
    <row r="238" spans="1:100" ht="156.75">
      <c r="A238" s="1">
        <f t="shared" si="3"/>
        <v>237</v>
      </c>
      <c r="B238" s="5">
        <v>1391</v>
      </c>
      <c r="C238" s="6">
        <v>45385</v>
      </c>
      <c r="D238" s="7" t="s">
        <v>2671</v>
      </c>
      <c r="E238" s="6">
        <v>24874</v>
      </c>
      <c r="F238" s="29">
        <f ca="1">_xlfn.DAYS(NOW(),Tabella1[[#This Row],[Data di Nascita]])/365.25</f>
        <v>57.492128678986994</v>
      </c>
      <c r="G238" s="7" t="s">
        <v>2672</v>
      </c>
      <c r="H238" s="7"/>
      <c r="I238" s="7" t="s">
        <v>2293</v>
      </c>
      <c r="J238" s="7" t="s">
        <v>211</v>
      </c>
      <c r="K238" s="7" t="s">
        <v>2673</v>
      </c>
      <c r="L238" s="17">
        <f>IF(ISERROR(SEARCH("EX",Tabella1[[#This Row],[Attività lavorativa]],1)),0,1)</f>
        <v>0</v>
      </c>
      <c r="M238" s="17"/>
      <c r="N238" s="17"/>
      <c r="O238" s="17"/>
      <c r="P238" s="17"/>
      <c r="Q238" s="17"/>
      <c r="R238" s="17"/>
      <c r="S238" s="17"/>
      <c r="T238" s="17">
        <f>IF(ISERROR(SEARCH("NDD",Tabella1[[#This Row],[Attività lavorativa]],1)),0,1)</f>
        <v>0</v>
      </c>
      <c r="U238" s="7" t="s">
        <v>195</v>
      </c>
      <c r="V238" s="22"/>
      <c r="W238" s="22">
        <f>IF(ISERROR(SEARCH("ex",Tabella1[[#This Row],[Fumo]],1)),0,1)</f>
        <v>0</v>
      </c>
      <c r="X238" s="22">
        <f>IF(ISERROR(SEARCH("no",Tabella1[[#This Row],[Fumo]],1)),0,1)</f>
        <v>1</v>
      </c>
      <c r="Y238" s="7" t="s">
        <v>2674</v>
      </c>
      <c r="Z238" s="17">
        <f>IF(ISERROR(SEARCH("NDD",Tabella1[[#This Row],[Bevitore alcolici]],1)),0,1)</f>
        <v>0</v>
      </c>
      <c r="AA238" s="17">
        <f>IF(ISERROR(SEARCH("raro",Tabella1[[#This Row],[Bevitore alcolici]],1)),0,1)</f>
        <v>0</v>
      </c>
      <c r="AB238" s="17">
        <f>IF(ISERROR(SEARCH("saltuariamente",Tabella1[[#This Row],[Bevitore alcolici]],1)),0,1)</f>
        <v>0</v>
      </c>
      <c r="AC238" s="17">
        <f>IF(ISERROR(SEARCH("nega",Tabella1[[#This Row],[Bevitore alcolici]],1)),0,1)</f>
        <v>0</v>
      </c>
      <c r="AD238" s="17">
        <f>IF(ISERROR(SEARCH("potus",Tabella1[[#This Row],[Bevitore alcolici]],1)),0,1)</f>
        <v>0</v>
      </c>
      <c r="AE238" s="7" t="s">
        <v>5663</v>
      </c>
      <c r="AF238" s="17"/>
      <c r="AG238" s="18">
        <v>1</v>
      </c>
      <c r="AH238" s="18"/>
      <c r="AI238" s="18"/>
      <c r="AJ238" s="18">
        <v>1</v>
      </c>
      <c r="AK238" s="7" t="s">
        <v>194</v>
      </c>
      <c r="AL238" s="17">
        <f>IF(ISERROR(SEARCH("si",Tabella1[[#This Row],[Patente di guida]],1)),0,1)</f>
        <v>1</v>
      </c>
      <c r="AM238" s="7" t="s">
        <v>195</v>
      </c>
      <c r="AN238" s="17">
        <f>IF(ISERROR(SEARCH("no",Tabella1[[#This Row],[Ipertensione]],1)),0,1)</f>
        <v>1</v>
      </c>
      <c r="AO238" s="7" t="s">
        <v>382</v>
      </c>
      <c r="AP238" s="18">
        <f>IF(ISERROR(SEARCH("NO",Tabella1[[#This Row],[Cardiopatia ischemica]],1)),1,0)</f>
        <v>0</v>
      </c>
      <c r="AQ238" s="17">
        <f>IF(ISERROR(SEARCH("sconosciuto",Tabella1[[#This Row],[Cardiopatia ischemica]],1)),0,1)</f>
        <v>0</v>
      </c>
      <c r="AR238" s="7" t="s">
        <v>25</v>
      </c>
      <c r="AS238" s="17">
        <f>IF(ISERROR(SEARCH("nega",Tabella1[[#This Row],[Artimie]],1)),0,1)</f>
        <v>1</v>
      </c>
      <c r="AT238" s="7" t="s">
        <v>25</v>
      </c>
      <c r="AU238" s="17">
        <f>IF(ISERROR(SEARCH("nega",Tabella1[[#This Row],[Ipercolesterolemia]],1)),0,1)</f>
        <v>1</v>
      </c>
      <c r="AV238" s="17">
        <f>IF(ISERROR(SEARCH("boh",Tabella1[[#This Row],[Ipercolesterolemia]],1)),0,1)</f>
        <v>0</v>
      </c>
      <c r="AW238" s="7" t="s">
        <v>195</v>
      </c>
      <c r="AX238" s="17">
        <f>IF(ISERROR(SEARCH("Intolleranza",Tabella1[[#This Row],[Diabete]],1)),0,1)</f>
        <v>0</v>
      </c>
      <c r="AY238" s="17">
        <f>IF(ISERROR(SEARCH("si",Tabella1[[#This Row],[Diabete]],1)),0,1)</f>
        <v>0</v>
      </c>
      <c r="AZ238" s="7" t="s">
        <v>195</v>
      </c>
      <c r="BA238" s="17">
        <f>IF(ISERROR(SEARCH("NDD",Tabella1[[#This Row],[Patologia Tiroidea]],1)),0,1)</f>
        <v>0</v>
      </c>
      <c r="BB238" s="17">
        <f>IF(ISERROR(SEARCH("TIROIDITE",Tabella1[[#This Row],[Patologia Tiroidea]],1)),0,1)</f>
        <v>0</v>
      </c>
      <c r="BC238" s="17">
        <f>IF(ISERROR(SEARCH("HASHIMOTO",Tabella1[[#This Row],[Patologia Tiroidea]],1)),0,1)</f>
        <v>0</v>
      </c>
      <c r="BD238" s="17">
        <f>IF(ISERROR(SEARCH("BASEDOW",Tabella1[[#This Row],[Patologia Tiroidea]],1)),0,1)</f>
        <v>0</v>
      </c>
      <c r="BE238" s="17">
        <f>IF(ISERROR(SEARCH("NOD",Tabella1[[#This Row],[Patologia Tiroidea]],1)),0,1)</f>
        <v>0</v>
      </c>
      <c r="BF238" s="17">
        <f>IF(ISERROR(SEARCH("GOZ",Tabella1[[#This Row],[Patologia Tiroidea]],1)),0,1)</f>
        <v>0</v>
      </c>
      <c r="BG238" s="7" t="s">
        <v>8</v>
      </c>
      <c r="BH238" s="17">
        <f>IF(Tabella1[[#This Row],[Obesità]]="no",0,1)</f>
        <v>0</v>
      </c>
      <c r="BI238" s="7" t="s">
        <v>2675</v>
      </c>
      <c r="BJ238" s="22">
        <f>IF(ISERROR(SEARCH("nega",Tabella1[[#This Row],[Reflusso gastroesofageo]],1)),1,0)</f>
        <v>1</v>
      </c>
      <c r="BK238" s="7" t="s">
        <v>2676</v>
      </c>
      <c r="BL238" s="17">
        <f>IF(ISERROR(SEARCH("NDD",Tabella1[[#This Row],[Patologia respiratoria]],1)),0,1)</f>
        <v>0</v>
      </c>
      <c r="BM238" s="17">
        <f>IF(ISERROR(SEARCH("asma",Tabella1[[#This Row],[Patologia respiratoria]],1)),0,1)</f>
        <v>0</v>
      </c>
      <c r="BN238" s="17">
        <f>IF(ISERROR(SEARCH("BPCO",Tabella1[[#This Row],[Patologia respiratoria]],1)),0,1)</f>
        <v>0</v>
      </c>
      <c r="BO238" s="17">
        <f>IF(ISERROR(SEARCH("BRONCOPOLMONITE",Tabella1[[#This Row],[Patologia respiratoria]],1)),0,1)</f>
        <v>0</v>
      </c>
      <c r="BP238" s="17">
        <f>IF(ISERROR(SEARCH("ASMA, OSAS",Tabella1[[#This Row],[Patologia respiratoria]],1)),0,1)</f>
        <v>0</v>
      </c>
      <c r="BQ238" s="17">
        <f>IF(ISERROR(SEARCH("OSAS e BPCO",Tabella1[[#This Row],[Patologia respiratoria]],1)),0,1)</f>
        <v>0</v>
      </c>
      <c r="BR238" s="17">
        <f>IF(ISERROR(SEARCH("OSAS",Tabella1[[#This Row],[Patologia respiratoria]],1)),0,1)</f>
        <v>0</v>
      </c>
      <c r="BS238" s="7" t="s">
        <v>2677</v>
      </c>
      <c r="BT238" s="7" t="s">
        <v>2678</v>
      </c>
      <c r="BU238" s="7" t="s">
        <v>5477</v>
      </c>
      <c r="BV238" s="17">
        <f>IF(ISERROR(SEARCH("ndd",Tabella1[[#This Row],[O2 terapia]],1)),0,1)</f>
        <v>1</v>
      </c>
      <c r="BW238" s="17"/>
      <c r="BX238" s="7"/>
      <c r="BY238" s="7" t="s">
        <v>8</v>
      </c>
      <c r="BZ238" s="18">
        <v>0</v>
      </c>
      <c r="CA238" s="7" t="s">
        <v>2679</v>
      </c>
      <c r="CB238" s="17">
        <v>1</v>
      </c>
      <c r="CC238" s="7" t="s">
        <v>2680</v>
      </c>
      <c r="CD238" s="17">
        <v>1</v>
      </c>
      <c r="CE238" s="7" t="s">
        <v>25</v>
      </c>
      <c r="CF238" s="18">
        <v>0</v>
      </c>
      <c r="CG238" s="7" t="s">
        <v>2681</v>
      </c>
      <c r="CH238" s="17">
        <v>0</v>
      </c>
      <c r="CI238" s="7" t="s">
        <v>5477</v>
      </c>
      <c r="CJ238" s="17"/>
      <c r="CK238" s="7" t="s">
        <v>134</v>
      </c>
      <c r="CL238" s="17">
        <v>1</v>
      </c>
      <c r="CM238" s="7" t="s">
        <v>2682</v>
      </c>
      <c r="CN238" s="17">
        <v>1</v>
      </c>
      <c r="CO238" s="7" t="s">
        <v>195</v>
      </c>
      <c r="CP238" s="18">
        <v>0</v>
      </c>
      <c r="CQ238" s="7" t="s">
        <v>368</v>
      </c>
      <c r="CR238" s="7" t="s">
        <v>663</v>
      </c>
      <c r="CS238" s="7" t="s">
        <v>71</v>
      </c>
      <c r="CT238" s="7" t="s">
        <v>184</v>
      </c>
      <c r="CU238" s="7" t="s">
        <v>2683</v>
      </c>
      <c r="CV238" s="8" t="s">
        <v>2684</v>
      </c>
    </row>
    <row r="239" spans="1:100" ht="199.5">
      <c r="A239" s="1">
        <f t="shared" si="3"/>
        <v>238</v>
      </c>
      <c r="B239" s="9">
        <v>1396</v>
      </c>
      <c r="C239" s="10">
        <v>45387</v>
      </c>
      <c r="D239" s="11" t="s">
        <v>2685</v>
      </c>
      <c r="E239" s="10">
        <v>27656</v>
      </c>
      <c r="F239" s="29">
        <f ca="1">_xlfn.DAYS(NOW(),Tabella1[[#This Row],[Data di Nascita]])/365.25</f>
        <v>49.875427789185487</v>
      </c>
      <c r="G239" s="11" t="s">
        <v>2686</v>
      </c>
      <c r="H239" s="11" t="s">
        <v>2687</v>
      </c>
      <c r="I239" s="11" t="s">
        <v>2142</v>
      </c>
      <c r="J239" s="11" t="s">
        <v>1346</v>
      </c>
      <c r="K239" s="11" t="s">
        <v>881</v>
      </c>
      <c r="L239" s="18">
        <f>IF(ISERROR(SEARCH("EX",Tabella1[[#This Row],[Attività lavorativa]],1)),0,1)</f>
        <v>0</v>
      </c>
      <c r="M239" s="18"/>
      <c r="N239" s="18"/>
      <c r="O239" s="18"/>
      <c r="P239" s="18"/>
      <c r="Q239" s="18"/>
      <c r="R239" s="18"/>
      <c r="S239" s="18"/>
      <c r="T239" s="17">
        <f>IF(ISERROR(SEARCH("NDD",Tabella1[[#This Row],[Attività lavorativa]],1)),0,1)</f>
        <v>0</v>
      </c>
      <c r="U239" s="11" t="s">
        <v>8</v>
      </c>
      <c r="V239" s="22"/>
      <c r="W239" s="22">
        <f>IF(ISERROR(SEARCH("ex",Tabella1[[#This Row],[Fumo]],1)),0,1)</f>
        <v>0</v>
      </c>
      <c r="X239" s="22">
        <f>IF(ISERROR(SEARCH("no",Tabella1[[#This Row],[Fumo]],1)),0,1)</f>
        <v>1</v>
      </c>
      <c r="Y239" s="11" t="s">
        <v>26</v>
      </c>
      <c r="Z239" s="18">
        <f>IF(ISERROR(SEARCH("NDD",Tabella1[[#This Row],[Bevitore alcolici]],1)),0,1)</f>
        <v>0</v>
      </c>
      <c r="AA239" s="17">
        <f>IF(ISERROR(SEARCH("raro",Tabella1[[#This Row],[Bevitore alcolici]],1)),0,1)</f>
        <v>0</v>
      </c>
      <c r="AB239" s="17">
        <f>IF(ISERROR(SEARCH("saltuariamente",Tabella1[[#This Row],[Bevitore alcolici]],1)),0,1)</f>
        <v>1</v>
      </c>
      <c r="AC239" s="17">
        <f>IF(ISERROR(SEARCH("nega",Tabella1[[#This Row],[Bevitore alcolici]],1)),0,1)</f>
        <v>0</v>
      </c>
      <c r="AD239" s="17">
        <f>IF(ISERROR(SEARCH("potus",Tabella1[[#This Row],[Bevitore alcolici]],1)),0,1)</f>
        <v>0</v>
      </c>
      <c r="AE239" s="11" t="s">
        <v>5679</v>
      </c>
      <c r="AF239" s="18"/>
      <c r="AG239" s="18"/>
      <c r="AH239" s="18"/>
      <c r="AI239" s="18"/>
      <c r="AJ239" s="18"/>
      <c r="AK239" s="11" t="s">
        <v>28</v>
      </c>
      <c r="AL239" s="18">
        <f>IF(ISERROR(SEARCH("si",Tabella1[[#This Row],[Patente di guida]],1)),0,1)</f>
        <v>1</v>
      </c>
      <c r="AM239" s="11" t="s">
        <v>8</v>
      </c>
      <c r="AN239" s="18">
        <f>IF(ISERROR(SEARCH("no",Tabella1[[#This Row],[Ipertensione]],1)),0,1)</f>
        <v>1</v>
      </c>
      <c r="AO239" s="11" t="s">
        <v>382</v>
      </c>
      <c r="AP239" s="18">
        <f>IF(ISERROR(SEARCH("NO",Tabella1[[#This Row],[Cardiopatia ischemica]],1)),1,0)</f>
        <v>0</v>
      </c>
      <c r="AQ239" s="17">
        <f>IF(ISERROR(SEARCH("sconosciuto",Tabella1[[#This Row],[Cardiopatia ischemica]],1)),0,1)</f>
        <v>0</v>
      </c>
      <c r="AR239" s="11" t="s">
        <v>25</v>
      </c>
      <c r="AS239" s="22">
        <f>IF(ISERROR(SEARCH("nega",Tabella1[[#This Row],[Artimie]],1)),0,1)</f>
        <v>1</v>
      </c>
      <c r="AT239" s="11" t="s">
        <v>25</v>
      </c>
      <c r="AU239" s="22">
        <f>IF(ISERROR(SEARCH("nega",Tabella1[[#This Row],[Ipercolesterolemia]],1)),0,1)</f>
        <v>1</v>
      </c>
      <c r="AV239" s="22">
        <f>IF(ISERROR(SEARCH("boh",Tabella1[[#This Row],[Ipercolesterolemia]],1)),0,1)</f>
        <v>0</v>
      </c>
      <c r="AW239" s="11" t="s">
        <v>8</v>
      </c>
      <c r="AX239" s="22">
        <f>IF(ISERROR(SEARCH("Intolleranza",Tabella1[[#This Row],[Diabete]],1)),0,1)</f>
        <v>0</v>
      </c>
      <c r="AY239" s="22">
        <f>IF(ISERROR(SEARCH("si",Tabella1[[#This Row],[Diabete]],1)),0,1)</f>
        <v>0</v>
      </c>
      <c r="AZ239" s="7" t="s">
        <v>5477</v>
      </c>
      <c r="BA239" s="17">
        <f>IF(ISERROR(SEARCH("NDD",Tabella1[[#This Row],[Patologia Tiroidea]],1)),0,1)</f>
        <v>1</v>
      </c>
      <c r="BB239" s="22">
        <f>IF(ISERROR(SEARCH("TIROIDITE",Tabella1[[#This Row],[Patologia Tiroidea]],1)),0,1)</f>
        <v>0</v>
      </c>
      <c r="BC239" s="22">
        <f>IF(ISERROR(SEARCH("HASHIMOTO",Tabella1[[#This Row],[Patologia Tiroidea]],1)),0,1)</f>
        <v>0</v>
      </c>
      <c r="BD239" s="22">
        <f>IF(ISERROR(SEARCH("BASEDOW",Tabella1[[#This Row],[Patologia Tiroidea]],1)),0,1)</f>
        <v>0</v>
      </c>
      <c r="BE239" s="22">
        <f>IF(ISERROR(SEARCH("NOD",Tabella1[[#This Row],[Patologia Tiroidea]],1)),0,1)</f>
        <v>0</v>
      </c>
      <c r="BF239" s="22">
        <f>IF(ISERROR(SEARCH("GOZ",Tabella1[[#This Row],[Patologia Tiroidea]],1)),0,1)</f>
        <v>0</v>
      </c>
      <c r="BG239" s="11" t="s">
        <v>8</v>
      </c>
      <c r="BH239" s="18">
        <f>IF(Tabella1[[#This Row],[Obesità]]="no",0,1)</f>
        <v>0</v>
      </c>
      <c r="BI239" s="11" t="s">
        <v>2688</v>
      </c>
      <c r="BJ239" s="22">
        <f>IF(ISERROR(SEARCH("nega",Tabella1[[#This Row],[Reflusso gastroesofageo]],1)),1,0)</f>
        <v>1</v>
      </c>
      <c r="BK239" s="11" t="s">
        <v>8</v>
      </c>
      <c r="BL239" s="18">
        <f>IF(ISERROR(SEARCH("NDD",Tabella1[[#This Row],[Patologia respiratoria]],1)),0,1)</f>
        <v>0</v>
      </c>
      <c r="BM239" s="18">
        <f>IF(ISERROR(SEARCH("asma",Tabella1[[#This Row],[Patologia respiratoria]],1)),0,1)</f>
        <v>0</v>
      </c>
      <c r="BN239" s="18">
        <f>IF(ISERROR(SEARCH("BPCO",Tabella1[[#This Row],[Patologia respiratoria]],1)),0,1)</f>
        <v>0</v>
      </c>
      <c r="BO239" s="18">
        <f>IF(ISERROR(SEARCH("BRONCOPOLMONITE",Tabella1[[#This Row],[Patologia respiratoria]],1)),0,1)</f>
        <v>0</v>
      </c>
      <c r="BP239" s="18">
        <f>IF(ISERROR(SEARCH("ASMA, OSAS",Tabella1[[#This Row],[Patologia respiratoria]],1)),0,1)</f>
        <v>0</v>
      </c>
      <c r="BQ239" s="18">
        <f>IF(ISERROR(SEARCH("OSAS e BPCO",Tabella1[[#This Row],[Patologia respiratoria]],1)),0,1)</f>
        <v>0</v>
      </c>
      <c r="BR239" s="18">
        <f>IF(ISERROR(SEARCH("OSAS",Tabella1[[#This Row],[Patologia respiratoria]],1)),0,1)</f>
        <v>0</v>
      </c>
      <c r="BS239" s="11"/>
      <c r="BT239" s="11" t="s">
        <v>2596</v>
      </c>
      <c r="BU239" s="11" t="s">
        <v>8</v>
      </c>
      <c r="BV239" s="18">
        <f>IF(ISERROR(SEARCH("ndd",Tabella1[[#This Row],[O2 terapia]],1)),0,1)</f>
        <v>0</v>
      </c>
      <c r="BW239" s="17">
        <v>0</v>
      </c>
      <c r="BX239" s="11"/>
      <c r="BY239" s="11" t="s">
        <v>2689</v>
      </c>
      <c r="BZ239" s="17">
        <v>1</v>
      </c>
      <c r="CA239" s="11" t="s">
        <v>2690</v>
      </c>
      <c r="CB239" s="17">
        <v>0</v>
      </c>
      <c r="CC239" s="11" t="s">
        <v>8</v>
      </c>
      <c r="CD239" s="18">
        <v>0</v>
      </c>
      <c r="CE239" s="11" t="s">
        <v>8</v>
      </c>
      <c r="CF239" s="18">
        <v>0</v>
      </c>
      <c r="CG239" s="11" t="s">
        <v>2691</v>
      </c>
      <c r="CH239" s="17">
        <v>1</v>
      </c>
      <c r="CI239" s="11" t="s">
        <v>2692</v>
      </c>
      <c r="CJ239" s="17">
        <v>1</v>
      </c>
      <c r="CK239" s="11" t="s">
        <v>2693</v>
      </c>
      <c r="CL239" s="17">
        <v>1</v>
      </c>
      <c r="CM239" s="11" t="s">
        <v>8</v>
      </c>
      <c r="CN239" s="17">
        <v>0</v>
      </c>
      <c r="CO239" s="11" t="s">
        <v>2694</v>
      </c>
      <c r="CP239" s="18">
        <v>0</v>
      </c>
      <c r="CQ239" s="11" t="s">
        <v>54</v>
      </c>
      <c r="CR239" s="11"/>
      <c r="CS239" s="11" t="s">
        <v>355</v>
      </c>
      <c r="CT239" s="11" t="s">
        <v>105</v>
      </c>
      <c r="CU239" s="11" t="s">
        <v>2695</v>
      </c>
      <c r="CV239" s="12" t="s">
        <v>2142</v>
      </c>
    </row>
    <row r="240" spans="1:100" ht="57">
      <c r="A240" s="1">
        <f t="shared" si="3"/>
        <v>239</v>
      </c>
      <c r="B240" s="5">
        <v>1403</v>
      </c>
      <c r="C240" s="6">
        <v>45393</v>
      </c>
      <c r="D240" s="7" t="s">
        <v>2696</v>
      </c>
      <c r="E240" s="6">
        <v>21779</v>
      </c>
      <c r="F240" s="29">
        <f ca="1">_xlfn.DAYS(NOW(),Tabella1[[#This Row],[Data di Nascita]])/365.25</f>
        <v>65.965776865160848</v>
      </c>
      <c r="G240" s="7" t="s">
        <v>208</v>
      </c>
      <c r="H240" s="7" t="s">
        <v>209</v>
      </c>
      <c r="I240" s="7" t="s">
        <v>2293</v>
      </c>
      <c r="J240" s="7" t="s">
        <v>473</v>
      </c>
      <c r="K240" s="7" t="s">
        <v>5597</v>
      </c>
      <c r="L240" s="17">
        <f>IF(ISERROR(SEARCH("EX",Tabella1[[#This Row],[Attività lavorativa]],1)),0,1)</f>
        <v>1</v>
      </c>
      <c r="M240" s="17"/>
      <c r="N240" s="17"/>
      <c r="O240" s="17"/>
      <c r="P240" s="17"/>
      <c r="Q240" s="17"/>
      <c r="R240" s="17"/>
      <c r="S240" s="17"/>
      <c r="T240" s="17">
        <f>IF(ISERROR(SEARCH("NDD",Tabella1[[#This Row],[Attività lavorativa]],1)),0,1)</f>
        <v>0</v>
      </c>
      <c r="U240" s="7" t="s">
        <v>2697</v>
      </c>
      <c r="V240" s="22">
        <v>22</v>
      </c>
      <c r="W240" s="22">
        <f>IF(ISERROR(SEARCH("ex",Tabella1[[#This Row],[Fumo]],1)),0,1)</f>
        <v>1</v>
      </c>
      <c r="X240" s="22">
        <f>IF(ISERROR(SEARCH("no",Tabella1[[#This Row],[Fumo]],1)),0,1)</f>
        <v>0</v>
      </c>
      <c r="Y240" s="7" t="s">
        <v>25</v>
      </c>
      <c r="Z240" s="17">
        <f>IF(ISERROR(SEARCH("NDD",Tabella1[[#This Row],[Bevitore alcolici]],1)),0,1)</f>
        <v>0</v>
      </c>
      <c r="AA240" s="17">
        <f>IF(ISERROR(SEARCH("raro",Tabella1[[#This Row],[Bevitore alcolici]],1)),0,1)</f>
        <v>0</v>
      </c>
      <c r="AB240" s="17">
        <f>IF(ISERROR(SEARCH("saltuariamente",Tabella1[[#This Row],[Bevitore alcolici]],1)),0,1)</f>
        <v>0</v>
      </c>
      <c r="AC240" s="17">
        <f>IF(ISERROR(SEARCH("nega",Tabella1[[#This Row],[Bevitore alcolici]],1)),0,1)</f>
        <v>1</v>
      </c>
      <c r="AD240" s="17">
        <f>IF(ISERROR(SEARCH("potus",Tabella1[[#This Row],[Bevitore alcolici]],1)),0,1)</f>
        <v>0</v>
      </c>
      <c r="AE240" s="7" t="s">
        <v>5664</v>
      </c>
      <c r="AF240" s="17"/>
      <c r="AG240" s="17"/>
      <c r="AH240" s="17"/>
      <c r="AI240" s="17"/>
      <c r="AJ240" s="17"/>
      <c r="AK240" s="7" t="s">
        <v>194</v>
      </c>
      <c r="AL240" s="17">
        <f>IF(ISERROR(SEARCH("si",Tabella1[[#This Row],[Patente di guida]],1)),0,1)</f>
        <v>1</v>
      </c>
      <c r="AM240" s="7" t="s">
        <v>195</v>
      </c>
      <c r="AN240" s="17">
        <f>IF(ISERROR(SEARCH("no",Tabella1[[#This Row],[Ipertensione]],1)),0,1)</f>
        <v>1</v>
      </c>
      <c r="AO240" s="7" t="s">
        <v>382</v>
      </c>
      <c r="AP240" s="18">
        <f>IF(ISERROR(SEARCH("NO",Tabella1[[#This Row],[Cardiopatia ischemica]],1)),1,0)</f>
        <v>0</v>
      </c>
      <c r="AQ240" s="17">
        <f>IF(ISERROR(SEARCH("sconosciuto",Tabella1[[#This Row],[Cardiopatia ischemica]],1)),0,1)</f>
        <v>0</v>
      </c>
      <c r="AR240" s="7" t="s">
        <v>25</v>
      </c>
      <c r="AS240" s="17">
        <f>IF(ISERROR(SEARCH("nega",Tabella1[[#This Row],[Artimie]],1)),0,1)</f>
        <v>1</v>
      </c>
      <c r="AT240" s="7" t="s">
        <v>194</v>
      </c>
      <c r="AU240" s="17">
        <f>IF(ISERROR(SEARCH("nega",Tabella1[[#This Row],[Ipercolesterolemia]],1)),0,1)</f>
        <v>0</v>
      </c>
      <c r="AV240" s="17">
        <f>IF(ISERROR(SEARCH("boh",Tabella1[[#This Row],[Ipercolesterolemia]],1)),0,1)</f>
        <v>0</v>
      </c>
      <c r="AW240" s="7" t="s">
        <v>28</v>
      </c>
      <c r="AX240" s="17">
        <f>IF(ISERROR(SEARCH("Intolleranza",Tabella1[[#This Row],[Diabete]],1)),0,1)</f>
        <v>0</v>
      </c>
      <c r="AY240" s="17">
        <f>IF(ISERROR(SEARCH("si",Tabella1[[#This Row],[Diabete]],1)),0,1)</f>
        <v>1</v>
      </c>
      <c r="AZ240" s="7" t="s">
        <v>195</v>
      </c>
      <c r="BA240" s="17">
        <f>IF(ISERROR(SEARCH("NDD",Tabella1[[#This Row],[Patologia Tiroidea]],1)),0,1)</f>
        <v>0</v>
      </c>
      <c r="BB240" s="17">
        <f>IF(ISERROR(SEARCH("TIROIDITE",Tabella1[[#This Row],[Patologia Tiroidea]],1)),0,1)</f>
        <v>0</v>
      </c>
      <c r="BC240" s="17">
        <f>IF(ISERROR(SEARCH("HASHIMOTO",Tabella1[[#This Row],[Patologia Tiroidea]],1)),0,1)</f>
        <v>0</v>
      </c>
      <c r="BD240" s="17">
        <f>IF(ISERROR(SEARCH("BASEDOW",Tabella1[[#This Row],[Patologia Tiroidea]],1)),0,1)</f>
        <v>0</v>
      </c>
      <c r="BE240" s="17">
        <f>IF(ISERROR(SEARCH("NOD",Tabella1[[#This Row],[Patologia Tiroidea]],1)),0,1)</f>
        <v>0</v>
      </c>
      <c r="BF240" s="17">
        <f>IF(ISERROR(SEARCH("GOZ",Tabella1[[#This Row],[Patologia Tiroidea]],1)),0,1)</f>
        <v>0</v>
      </c>
      <c r="BG240" s="7" t="s">
        <v>194</v>
      </c>
      <c r="BH240" s="17">
        <f>IF(Tabella1[[#This Row],[Obesità]]="no",0,1)</f>
        <v>1</v>
      </c>
      <c r="BI240" s="7" t="s">
        <v>2698</v>
      </c>
      <c r="BJ240" s="22">
        <f>IF(ISERROR(SEARCH("nega",Tabella1[[#This Row],[Reflusso gastroesofageo]],1)),1,0)</f>
        <v>1</v>
      </c>
      <c r="BK240" s="7" t="s">
        <v>3823</v>
      </c>
      <c r="BL240" s="17">
        <f>IF(ISERROR(SEARCH("NDD",Tabella1[[#This Row],[Patologia respiratoria]],1)),0,1)</f>
        <v>0</v>
      </c>
      <c r="BM240" s="17">
        <f>IF(ISERROR(SEARCH("asma",Tabella1[[#This Row],[Patologia respiratoria]],1)),0,1)</f>
        <v>0</v>
      </c>
      <c r="BN240" s="17">
        <f>IF(ISERROR(SEARCH("BPCO",Tabella1[[#This Row],[Patologia respiratoria]],1)),0,1)</f>
        <v>0</v>
      </c>
      <c r="BO240" s="17">
        <f>IF(ISERROR(SEARCH("BRONCOPOLMONITE",Tabella1[[#This Row],[Patologia respiratoria]],1)),0,1)</f>
        <v>1</v>
      </c>
      <c r="BP240" s="17">
        <f>IF(ISERROR(SEARCH("ASMA, OSAS",Tabella1[[#This Row],[Patologia respiratoria]],1)),0,1)</f>
        <v>0</v>
      </c>
      <c r="BQ240" s="17">
        <f>IF(ISERROR(SEARCH("OSAS e BPCO",Tabella1[[#This Row],[Patologia respiratoria]],1)),0,1)</f>
        <v>0</v>
      </c>
      <c r="BR240" s="17">
        <f>IF(ISERROR(SEARCH("OSAS",Tabella1[[#This Row],[Patologia respiratoria]],1)),0,1)</f>
        <v>0</v>
      </c>
      <c r="BS240" s="7" t="s">
        <v>2699</v>
      </c>
      <c r="BT240" s="7" t="s">
        <v>2700</v>
      </c>
      <c r="BU240" s="7" t="s">
        <v>5477</v>
      </c>
      <c r="BV240" s="17">
        <f>IF(ISERROR(SEARCH("ndd",Tabella1[[#This Row],[O2 terapia]],1)),0,1)</f>
        <v>1</v>
      </c>
      <c r="BW240" s="17"/>
      <c r="BX240" s="7"/>
      <c r="BY240" s="7" t="s">
        <v>2701</v>
      </c>
      <c r="BZ240" s="17">
        <v>1</v>
      </c>
      <c r="CA240" s="7" t="s">
        <v>2702</v>
      </c>
      <c r="CB240" s="17">
        <v>1</v>
      </c>
      <c r="CC240" s="7" t="s">
        <v>2703</v>
      </c>
      <c r="CD240" s="17">
        <v>1</v>
      </c>
      <c r="CE240" s="7" t="s">
        <v>309</v>
      </c>
      <c r="CF240" s="18">
        <v>0</v>
      </c>
      <c r="CG240" s="7" t="s">
        <v>194</v>
      </c>
      <c r="CH240" s="17">
        <v>1</v>
      </c>
      <c r="CI240" s="7" t="s">
        <v>195</v>
      </c>
      <c r="CJ240" s="18">
        <v>0</v>
      </c>
      <c r="CK240" s="7" t="s">
        <v>2704</v>
      </c>
      <c r="CL240" s="17">
        <v>1</v>
      </c>
      <c r="CM240" s="7" t="s">
        <v>195</v>
      </c>
      <c r="CN240" s="17">
        <v>0</v>
      </c>
      <c r="CO240" s="7" t="s">
        <v>194</v>
      </c>
      <c r="CP240" s="17">
        <v>1</v>
      </c>
      <c r="CQ240" s="7" t="s">
        <v>54</v>
      </c>
      <c r="CR240" s="7" t="s">
        <v>55</v>
      </c>
      <c r="CS240" s="7"/>
      <c r="CT240" s="7"/>
      <c r="CU240" s="7"/>
      <c r="CV240" s="8"/>
    </row>
    <row r="241" spans="1:100" ht="270.75">
      <c r="A241" s="1">
        <f t="shared" si="3"/>
        <v>240</v>
      </c>
      <c r="B241" s="9">
        <v>1412</v>
      </c>
      <c r="C241" s="10">
        <v>45398</v>
      </c>
      <c r="D241" s="11" t="s">
        <v>2705</v>
      </c>
      <c r="E241" s="10">
        <v>22716</v>
      </c>
      <c r="F241" s="29">
        <f ca="1">_xlfn.DAYS(NOW(),Tabella1[[#This Row],[Data di Nascita]])/365.25</f>
        <v>63.400410677618069</v>
      </c>
      <c r="G241" s="11" t="s">
        <v>2706</v>
      </c>
      <c r="H241" s="11" t="s">
        <v>2707</v>
      </c>
      <c r="I241" s="11" t="s">
        <v>2142</v>
      </c>
      <c r="J241" s="11" t="s">
        <v>1346</v>
      </c>
      <c r="K241" s="11" t="s">
        <v>2708</v>
      </c>
      <c r="L241" s="18">
        <f>IF(ISERROR(SEARCH("EX",Tabella1[[#This Row],[Attività lavorativa]],1)),0,1)</f>
        <v>0</v>
      </c>
      <c r="M241" s="18"/>
      <c r="N241" s="17">
        <v>1</v>
      </c>
      <c r="O241" s="17"/>
      <c r="P241" s="17"/>
      <c r="Q241" s="17"/>
      <c r="R241" s="17"/>
      <c r="S241" s="17"/>
      <c r="T241" s="17">
        <f>IF(ISERROR(SEARCH("NDD",Tabella1[[#This Row],[Attività lavorativa]],1)),0,1)</f>
        <v>0</v>
      </c>
      <c r="U241" s="11" t="s">
        <v>2709</v>
      </c>
      <c r="V241" s="22">
        <v>15</v>
      </c>
      <c r="W241" s="22">
        <f>IF(ISERROR(SEARCH("ex",Tabella1[[#This Row],[Fumo]],1)),0,1)</f>
        <v>1</v>
      </c>
      <c r="X241" s="22">
        <f>IF(ISERROR(SEARCH("no",Tabella1[[#This Row],[Fumo]],1)),0,1)</f>
        <v>0</v>
      </c>
      <c r="Y241" s="11" t="s">
        <v>26</v>
      </c>
      <c r="Z241" s="18">
        <f>IF(ISERROR(SEARCH("NDD",Tabella1[[#This Row],[Bevitore alcolici]],1)),0,1)</f>
        <v>0</v>
      </c>
      <c r="AA241" s="17">
        <f>IF(ISERROR(SEARCH("raro",Tabella1[[#This Row],[Bevitore alcolici]],1)),0,1)</f>
        <v>0</v>
      </c>
      <c r="AB241" s="17">
        <f>IF(ISERROR(SEARCH("saltuariamente",Tabella1[[#This Row],[Bevitore alcolici]],1)),0,1)</f>
        <v>1</v>
      </c>
      <c r="AC241" s="17">
        <f>IF(ISERROR(SEARCH("nega",Tabella1[[#This Row],[Bevitore alcolici]],1)),0,1)</f>
        <v>0</v>
      </c>
      <c r="AD241" s="17">
        <f>IF(ISERROR(SEARCH("potus",Tabella1[[#This Row],[Bevitore alcolici]],1)),0,1)</f>
        <v>0</v>
      </c>
      <c r="AE241" s="11" t="s">
        <v>2710</v>
      </c>
      <c r="AF241" s="18"/>
      <c r="AG241" s="18">
        <v>1</v>
      </c>
      <c r="AH241" s="18"/>
      <c r="AI241" s="18"/>
      <c r="AJ241" s="18"/>
      <c r="AK241" s="11" t="s">
        <v>28</v>
      </c>
      <c r="AL241" s="18">
        <f>IF(ISERROR(SEARCH("si",Tabella1[[#This Row],[Patente di guida]],1)),0,1)</f>
        <v>1</v>
      </c>
      <c r="AM241" s="11" t="s">
        <v>28</v>
      </c>
      <c r="AN241" s="18">
        <f>IF(ISERROR(SEARCH("no",Tabella1[[#This Row],[Ipertensione]],1)),0,1)</f>
        <v>0</v>
      </c>
      <c r="AO241" s="11" t="s">
        <v>382</v>
      </c>
      <c r="AP241" s="18">
        <f>IF(ISERROR(SEARCH("NO",Tabella1[[#This Row],[Cardiopatia ischemica]],1)),1,0)</f>
        <v>0</v>
      </c>
      <c r="AQ241" s="17">
        <f>IF(ISERROR(SEARCH("sconosciuto",Tabella1[[#This Row],[Cardiopatia ischemica]],1)),0,1)</f>
        <v>0</v>
      </c>
      <c r="AR241" s="11" t="s">
        <v>25</v>
      </c>
      <c r="AS241" s="18">
        <f>IF(ISERROR(SEARCH("nega",Tabella1[[#This Row],[Artimie]],1)),0,1)</f>
        <v>1</v>
      </c>
      <c r="AT241" s="11" t="s">
        <v>7</v>
      </c>
      <c r="AU241" s="18">
        <f>IF(ISERROR(SEARCH("nega",Tabella1[[#This Row],[Ipercolesterolemia]],1)),0,1)</f>
        <v>0</v>
      </c>
      <c r="AV241" s="18">
        <f>IF(ISERROR(SEARCH("boh",Tabella1[[#This Row],[Ipercolesterolemia]],1)),0,1)</f>
        <v>0</v>
      </c>
      <c r="AW241" s="11" t="s">
        <v>8</v>
      </c>
      <c r="AX241" s="18">
        <f>IF(ISERROR(SEARCH("Intolleranza",Tabella1[[#This Row],[Diabete]],1)),0,1)</f>
        <v>0</v>
      </c>
      <c r="AY241" s="18">
        <f>IF(ISERROR(SEARCH("si",Tabella1[[#This Row],[Diabete]],1)),0,1)</f>
        <v>0</v>
      </c>
      <c r="AZ241" s="11" t="s">
        <v>8</v>
      </c>
      <c r="BA241" s="18">
        <f>IF(ISERROR(SEARCH("NDD",Tabella1[[#This Row],[Patologia Tiroidea]],1)),0,1)</f>
        <v>0</v>
      </c>
      <c r="BB241" s="18">
        <f>IF(ISERROR(SEARCH("TIROIDITE",Tabella1[[#This Row],[Patologia Tiroidea]],1)),0,1)</f>
        <v>0</v>
      </c>
      <c r="BC241" s="18">
        <f>IF(ISERROR(SEARCH("HASHIMOTO",Tabella1[[#This Row],[Patologia Tiroidea]],1)),0,1)</f>
        <v>0</v>
      </c>
      <c r="BD241" s="18">
        <f>IF(ISERROR(SEARCH("BASEDOW",Tabella1[[#This Row],[Patologia Tiroidea]],1)),0,1)</f>
        <v>0</v>
      </c>
      <c r="BE241" s="18">
        <f>IF(ISERROR(SEARCH("NOD",Tabella1[[#This Row],[Patologia Tiroidea]],1)),0,1)</f>
        <v>0</v>
      </c>
      <c r="BF241" s="18">
        <f>IF(ISERROR(SEARCH("GOZ",Tabella1[[#This Row],[Patologia Tiroidea]],1)),0,1)</f>
        <v>0</v>
      </c>
      <c r="BG241" s="11" t="s">
        <v>7</v>
      </c>
      <c r="BH241" s="18">
        <f>IF(Tabella1[[#This Row],[Obesità]]="no",0,1)</f>
        <v>1</v>
      </c>
      <c r="BI241" s="11" t="s">
        <v>25</v>
      </c>
      <c r="BJ241" s="22">
        <f>IF(ISERROR(SEARCH("nega",Tabella1[[#This Row],[Reflusso gastroesofageo]],1)),1,0)</f>
        <v>0</v>
      </c>
      <c r="BK241" s="11" t="s">
        <v>8</v>
      </c>
      <c r="BL241" s="18">
        <f>IF(ISERROR(SEARCH("NDD",Tabella1[[#This Row],[Patologia respiratoria]],1)),0,1)</f>
        <v>0</v>
      </c>
      <c r="BM241" s="18">
        <f>IF(ISERROR(SEARCH("asma",Tabella1[[#This Row],[Patologia respiratoria]],1)),0,1)</f>
        <v>0</v>
      </c>
      <c r="BN241" s="18">
        <f>IF(ISERROR(SEARCH("BPCO",Tabella1[[#This Row],[Patologia respiratoria]],1)),0,1)</f>
        <v>0</v>
      </c>
      <c r="BO241" s="18">
        <f>IF(ISERROR(SEARCH("BRONCOPOLMONITE",Tabella1[[#This Row],[Patologia respiratoria]],1)),0,1)</f>
        <v>0</v>
      </c>
      <c r="BP241" s="18">
        <f>IF(ISERROR(SEARCH("ASMA, OSAS",Tabella1[[#This Row],[Patologia respiratoria]],1)),0,1)</f>
        <v>0</v>
      </c>
      <c r="BQ241" s="18">
        <f>IF(ISERROR(SEARCH("OSAS e BPCO",Tabella1[[#This Row],[Patologia respiratoria]],1)),0,1)</f>
        <v>0</v>
      </c>
      <c r="BR241" s="18">
        <f>IF(ISERROR(SEARCH("OSAS",Tabella1[[#This Row],[Patologia respiratoria]],1)),0,1)</f>
        <v>0</v>
      </c>
      <c r="BS241" s="11"/>
      <c r="BT241" s="11" t="s">
        <v>2711</v>
      </c>
      <c r="BU241" s="7" t="s">
        <v>5477</v>
      </c>
      <c r="BV241" s="17">
        <f>IF(ISERROR(SEARCH("ndd",Tabella1[[#This Row],[O2 terapia]],1)),0,1)</f>
        <v>1</v>
      </c>
      <c r="BW241" s="18"/>
      <c r="BX241" s="11"/>
      <c r="BY241" s="11" t="s">
        <v>2712</v>
      </c>
      <c r="BZ241" s="17">
        <v>1</v>
      </c>
      <c r="CA241" s="11" t="s">
        <v>8</v>
      </c>
      <c r="CB241" s="17">
        <v>0</v>
      </c>
      <c r="CC241" s="11" t="s">
        <v>7</v>
      </c>
      <c r="CD241" s="17">
        <v>1</v>
      </c>
      <c r="CE241" s="11" t="s">
        <v>8</v>
      </c>
      <c r="CF241" s="18">
        <v>0</v>
      </c>
      <c r="CG241" s="11" t="s">
        <v>8</v>
      </c>
      <c r="CH241" s="17">
        <v>0</v>
      </c>
      <c r="CI241" s="11" t="s">
        <v>8</v>
      </c>
      <c r="CJ241" s="18">
        <v>0</v>
      </c>
      <c r="CK241" s="11" t="s">
        <v>2220</v>
      </c>
      <c r="CL241" s="17">
        <v>1</v>
      </c>
      <c r="CM241" s="11" t="s">
        <v>8</v>
      </c>
      <c r="CN241" s="17">
        <v>0</v>
      </c>
      <c r="CO241" s="11" t="s">
        <v>8</v>
      </c>
      <c r="CP241" s="18">
        <v>0</v>
      </c>
      <c r="CQ241" s="11" t="s">
        <v>368</v>
      </c>
      <c r="CR241" s="11" t="s">
        <v>431</v>
      </c>
      <c r="CS241" s="11" t="s">
        <v>219</v>
      </c>
      <c r="CT241" s="11" t="s">
        <v>404</v>
      </c>
      <c r="CU241" s="11" t="s">
        <v>2713</v>
      </c>
      <c r="CV241" s="12" t="s">
        <v>2714</v>
      </c>
    </row>
    <row r="242" spans="1:100" ht="356.25">
      <c r="A242" s="1">
        <f t="shared" si="3"/>
        <v>241</v>
      </c>
      <c r="B242" s="5">
        <v>1419</v>
      </c>
      <c r="C242" s="6">
        <v>45401</v>
      </c>
      <c r="D242" s="7" t="s">
        <v>2715</v>
      </c>
      <c r="E242" s="6">
        <v>19069</v>
      </c>
      <c r="F242" s="29">
        <f ca="1">_xlfn.DAYS(NOW(),Tabella1[[#This Row],[Data di Nascita]])/365.25</f>
        <v>73.385352498288839</v>
      </c>
      <c r="G242" s="7" t="s">
        <v>2716</v>
      </c>
      <c r="H242" s="7" t="s">
        <v>2717</v>
      </c>
      <c r="I242" s="7" t="s">
        <v>2293</v>
      </c>
      <c r="J242" s="7" t="s">
        <v>2718</v>
      </c>
      <c r="K242" s="7" t="s">
        <v>5620</v>
      </c>
      <c r="L242" s="17">
        <f>IF(ISERROR(SEARCH("EX",Tabella1[[#This Row],[Attività lavorativa]],1)),0,1)</f>
        <v>1</v>
      </c>
      <c r="M242" s="18">
        <v>1</v>
      </c>
      <c r="N242" s="18"/>
      <c r="O242" s="18"/>
      <c r="P242" s="18"/>
      <c r="Q242" s="18"/>
      <c r="R242" s="18"/>
      <c r="S242" s="18"/>
      <c r="T242" s="17">
        <f>IF(ISERROR(SEARCH("NDD",Tabella1[[#This Row],[Attività lavorativa]],1)),0,1)</f>
        <v>0</v>
      </c>
      <c r="U242" s="7" t="s">
        <v>2719</v>
      </c>
      <c r="V242" s="22">
        <v>22</v>
      </c>
      <c r="W242" s="22">
        <f>IF(ISERROR(SEARCH("ex",Tabella1[[#This Row],[Fumo]],1)),0,1)</f>
        <v>1</v>
      </c>
      <c r="X242" s="22">
        <f>IF(ISERROR(SEARCH("no",Tabella1[[#This Row],[Fumo]],1)),0,1)</f>
        <v>0</v>
      </c>
      <c r="Y242" s="7" t="s">
        <v>2720</v>
      </c>
      <c r="Z242" s="17">
        <f>IF(ISERROR(SEARCH("NDD",Tabella1[[#This Row],[Bevitore alcolici]],1)),0,1)</f>
        <v>0</v>
      </c>
      <c r="AA242" s="17">
        <f>IF(ISERROR(SEARCH("raro",Tabella1[[#This Row],[Bevitore alcolici]],1)),0,1)</f>
        <v>0</v>
      </c>
      <c r="AB242" s="17">
        <f>IF(ISERROR(SEARCH("saltuariamente",Tabella1[[#This Row],[Bevitore alcolici]],1)),0,1)</f>
        <v>0</v>
      </c>
      <c r="AC242" s="17">
        <f>IF(ISERROR(SEARCH("nega",Tabella1[[#This Row],[Bevitore alcolici]],1)),0,1)</f>
        <v>0</v>
      </c>
      <c r="AD242" s="17">
        <f>IF(ISERROR(SEARCH("potus",Tabella1[[#This Row],[Bevitore alcolici]],1)),0,1)</f>
        <v>0</v>
      </c>
      <c r="AE242" s="7" t="s">
        <v>5665</v>
      </c>
      <c r="AF242" s="17"/>
      <c r="AG242" s="17"/>
      <c r="AH242" s="17"/>
      <c r="AI242" s="17"/>
      <c r="AJ242" s="17"/>
      <c r="AK242" s="7" t="s">
        <v>194</v>
      </c>
      <c r="AL242" s="17">
        <f>IF(ISERROR(SEARCH("si",Tabella1[[#This Row],[Patente di guida]],1)),0,1)</f>
        <v>1</v>
      </c>
      <c r="AM242" s="7" t="s">
        <v>28</v>
      </c>
      <c r="AN242" s="17">
        <f>IF(ISERROR(SEARCH("no",Tabella1[[#This Row],[Ipertensione]],1)),0,1)</f>
        <v>0</v>
      </c>
      <c r="AO242" s="7" t="s">
        <v>382</v>
      </c>
      <c r="AP242" s="18">
        <f>IF(ISERROR(SEARCH("NO",Tabella1[[#This Row],[Cardiopatia ischemica]],1)),1,0)</f>
        <v>0</v>
      </c>
      <c r="AQ242" s="17">
        <f>IF(ISERROR(SEARCH("sconosciuto",Tabella1[[#This Row],[Cardiopatia ischemica]],1)),0,1)</f>
        <v>0</v>
      </c>
      <c r="AR242" s="7" t="s">
        <v>25</v>
      </c>
      <c r="AS242" s="17">
        <f>IF(ISERROR(SEARCH("nega",Tabella1[[#This Row],[Artimie]],1)),0,1)</f>
        <v>1</v>
      </c>
      <c r="AT242" s="7" t="s">
        <v>194</v>
      </c>
      <c r="AU242" s="17">
        <f>IF(ISERROR(SEARCH("nega",Tabella1[[#This Row],[Ipercolesterolemia]],1)),0,1)</f>
        <v>0</v>
      </c>
      <c r="AV242" s="17">
        <f>IF(ISERROR(SEARCH("boh",Tabella1[[#This Row],[Ipercolesterolemia]],1)),0,1)</f>
        <v>0</v>
      </c>
      <c r="AW242" s="7" t="s">
        <v>28</v>
      </c>
      <c r="AX242" s="17">
        <f>IF(ISERROR(SEARCH("Intolleranza",Tabella1[[#This Row],[Diabete]],1)),0,1)</f>
        <v>0</v>
      </c>
      <c r="AY242" s="17">
        <f>IF(ISERROR(SEARCH("si",Tabella1[[#This Row],[Diabete]],1)),0,1)</f>
        <v>1</v>
      </c>
      <c r="AZ242" s="7" t="s">
        <v>195</v>
      </c>
      <c r="BA242" s="17">
        <f>IF(ISERROR(SEARCH("NDD",Tabella1[[#This Row],[Patologia Tiroidea]],1)),0,1)</f>
        <v>0</v>
      </c>
      <c r="BB242" s="17">
        <f>IF(ISERROR(SEARCH("TIROIDITE",Tabella1[[#This Row],[Patologia Tiroidea]],1)),0,1)</f>
        <v>0</v>
      </c>
      <c r="BC242" s="17">
        <f>IF(ISERROR(SEARCH("HASHIMOTO",Tabella1[[#This Row],[Patologia Tiroidea]],1)),0,1)</f>
        <v>0</v>
      </c>
      <c r="BD242" s="17">
        <f>IF(ISERROR(SEARCH("BASEDOW",Tabella1[[#This Row],[Patologia Tiroidea]],1)),0,1)</f>
        <v>0</v>
      </c>
      <c r="BE242" s="17">
        <f>IF(ISERROR(SEARCH("NOD",Tabella1[[#This Row],[Patologia Tiroidea]],1)),0,1)</f>
        <v>0</v>
      </c>
      <c r="BF242" s="17">
        <f>IF(ISERROR(SEARCH("GOZ",Tabella1[[#This Row],[Patologia Tiroidea]],1)),0,1)</f>
        <v>0</v>
      </c>
      <c r="BG242" s="7" t="s">
        <v>194</v>
      </c>
      <c r="BH242" s="17">
        <f>IF(Tabella1[[#This Row],[Obesità]]="no",0,1)</f>
        <v>1</v>
      </c>
      <c r="BI242" s="7" t="s">
        <v>2721</v>
      </c>
      <c r="BJ242" s="22">
        <f>IF(ISERROR(SEARCH("nega",Tabella1[[#This Row],[Reflusso gastroesofageo]],1)),1,0)</f>
        <v>1</v>
      </c>
      <c r="BK242" s="7" t="s">
        <v>3803</v>
      </c>
      <c r="BL242" s="17">
        <f>IF(ISERROR(SEARCH("NDD",Tabella1[[#This Row],[Patologia respiratoria]],1)),0,1)</f>
        <v>0</v>
      </c>
      <c r="BM242" s="17">
        <f>IF(ISERROR(SEARCH("asma",Tabella1[[#This Row],[Patologia respiratoria]],1)),0,1)</f>
        <v>1</v>
      </c>
      <c r="BN242" s="17">
        <f>IF(ISERROR(SEARCH("BPCO",Tabella1[[#This Row],[Patologia respiratoria]],1)),0,1)</f>
        <v>0</v>
      </c>
      <c r="BO242" s="17">
        <f>IF(ISERROR(SEARCH("BRONCOPOLMONITE",Tabella1[[#This Row],[Patologia respiratoria]],1)),0,1)</f>
        <v>0</v>
      </c>
      <c r="BP242" s="17">
        <f>IF(ISERROR(SEARCH("ASMA, OSAS",Tabella1[[#This Row],[Patologia respiratoria]],1)),0,1)</f>
        <v>0</v>
      </c>
      <c r="BQ242" s="17">
        <f>IF(ISERROR(SEARCH("OSAS e BPCO",Tabella1[[#This Row],[Patologia respiratoria]],1)),0,1)</f>
        <v>0</v>
      </c>
      <c r="BR242" s="17">
        <f>IF(ISERROR(SEARCH("OSAS",Tabella1[[#This Row],[Patologia respiratoria]],1)),0,1)</f>
        <v>0</v>
      </c>
      <c r="BS242" s="7" t="s">
        <v>2722</v>
      </c>
      <c r="BT242" s="7" t="s">
        <v>2723</v>
      </c>
      <c r="BU242" s="7" t="s">
        <v>5477</v>
      </c>
      <c r="BV242" s="17">
        <f>IF(ISERROR(SEARCH("ndd",Tabella1[[#This Row],[O2 terapia]],1)),0,1)</f>
        <v>1</v>
      </c>
      <c r="BW242" s="17"/>
      <c r="BX242" s="7"/>
      <c r="BY242" s="7" t="s">
        <v>2724</v>
      </c>
      <c r="BZ242" s="17">
        <v>1</v>
      </c>
      <c r="CA242" s="7" t="s">
        <v>2725</v>
      </c>
      <c r="CB242" s="17">
        <v>1</v>
      </c>
      <c r="CC242" s="7" t="s">
        <v>2726</v>
      </c>
      <c r="CD242" s="17">
        <v>1</v>
      </c>
      <c r="CE242" s="7" t="s">
        <v>309</v>
      </c>
      <c r="CF242" s="18">
        <v>0</v>
      </c>
      <c r="CG242" s="7" t="s">
        <v>194</v>
      </c>
      <c r="CH242" s="17">
        <v>1</v>
      </c>
      <c r="CI242" s="7" t="s">
        <v>195</v>
      </c>
      <c r="CJ242" s="18">
        <v>0</v>
      </c>
      <c r="CK242" s="7" t="s">
        <v>935</v>
      </c>
      <c r="CL242" s="17">
        <v>1</v>
      </c>
      <c r="CM242" s="7" t="s">
        <v>195</v>
      </c>
      <c r="CN242" s="17">
        <v>0</v>
      </c>
      <c r="CO242" s="7" t="s">
        <v>195</v>
      </c>
      <c r="CP242" s="18">
        <v>0</v>
      </c>
      <c r="CQ242" s="7" t="s">
        <v>202</v>
      </c>
      <c r="CR242" s="7" t="s">
        <v>14</v>
      </c>
      <c r="CS242" s="7" t="s">
        <v>105</v>
      </c>
      <c r="CT242" s="7" t="s">
        <v>122</v>
      </c>
      <c r="CU242" s="7" t="s">
        <v>2727</v>
      </c>
      <c r="CV242" s="8" t="s">
        <v>2728</v>
      </c>
    </row>
    <row r="243" spans="1:100" ht="299.25">
      <c r="A243" s="1">
        <f t="shared" si="3"/>
        <v>242</v>
      </c>
      <c r="B243" s="9">
        <v>1431</v>
      </c>
      <c r="C243" s="10">
        <v>45408</v>
      </c>
      <c r="D243" s="11" t="s">
        <v>2729</v>
      </c>
      <c r="E243" s="10">
        <v>28354</v>
      </c>
      <c r="F243" s="29">
        <f ca="1">_xlfn.DAYS(NOW(),Tabella1[[#This Row],[Data di Nascita]])/365.25</f>
        <v>47.964407939767284</v>
      </c>
      <c r="G243" s="11" t="s">
        <v>2730</v>
      </c>
      <c r="H243" s="11" t="s">
        <v>2731</v>
      </c>
      <c r="I243" s="11" t="s">
        <v>2732</v>
      </c>
      <c r="J243" s="11" t="s">
        <v>618</v>
      </c>
      <c r="K243" s="11" t="s">
        <v>2733</v>
      </c>
      <c r="L243" s="18">
        <f>IF(ISERROR(SEARCH("EX",Tabella1[[#This Row],[Attività lavorativa]],1)),0,1)</f>
        <v>0</v>
      </c>
      <c r="M243" s="18"/>
      <c r="N243" s="18"/>
      <c r="O243" s="18"/>
      <c r="P243" s="18"/>
      <c r="Q243" s="18"/>
      <c r="R243" s="17">
        <v>1</v>
      </c>
      <c r="S243" s="18"/>
      <c r="T243" s="17">
        <f>IF(ISERROR(SEARCH("NDD",Tabella1[[#This Row],[Attività lavorativa]],1)),0,1)</f>
        <v>0</v>
      </c>
      <c r="U243" s="11" t="s">
        <v>2734</v>
      </c>
      <c r="V243" s="22"/>
      <c r="W243" s="22">
        <f>IF(ISERROR(SEARCH("ex",Tabella1[[#This Row],[Fumo]],1)),0,1)</f>
        <v>0</v>
      </c>
      <c r="X243" s="22">
        <f>IF(ISERROR(SEARCH("no",Tabella1[[#This Row],[Fumo]],1)),0,1)</f>
        <v>0</v>
      </c>
      <c r="Y243" s="11" t="s">
        <v>25</v>
      </c>
      <c r="Z243" s="18">
        <f>IF(ISERROR(SEARCH("NDD",Tabella1[[#This Row],[Bevitore alcolici]],1)),0,1)</f>
        <v>0</v>
      </c>
      <c r="AA243" s="17">
        <f>IF(ISERROR(SEARCH("raro",Tabella1[[#This Row],[Bevitore alcolici]],1)),0,1)</f>
        <v>0</v>
      </c>
      <c r="AB243" s="17">
        <f>IF(ISERROR(SEARCH("saltuariamente",Tabella1[[#This Row],[Bevitore alcolici]],1)),0,1)</f>
        <v>0</v>
      </c>
      <c r="AC243" s="17">
        <f>IF(ISERROR(SEARCH("nega",Tabella1[[#This Row],[Bevitore alcolici]],1)),0,1)</f>
        <v>1</v>
      </c>
      <c r="AD243" s="17">
        <f>IF(ISERROR(SEARCH("potus",Tabella1[[#This Row],[Bevitore alcolici]],1)),0,1)</f>
        <v>0</v>
      </c>
      <c r="AE243" s="11" t="s">
        <v>657</v>
      </c>
      <c r="AF243" s="18"/>
      <c r="AG243" s="18"/>
      <c r="AH243" s="18"/>
      <c r="AI243" s="18"/>
      <c r="AJ243" s="18"/>
      <c r="AK243" s="11" t="s">
        <v>3713</v>
      </c>
      <c r="AL243" s="18">
        <f>IF(ISERROR(SEARCH("si",Tabella1[[#This Row],[Patente di guida]],1)),0,1)</f>
        <v>1</v>
      </c>
      <c r="AM243" s="11" t="s">
        <v>8</v>
      </c>
      <c r="AN243" s="18">
        <f>IF(ISERROR(SEARCH("no",Tabella1[[#This Row],[Ipertensione]],1)),0,1)</f>
        <v>1</v>
      </c>
      <c r="AO243" s="11" t="s">
        <v>382</v>
      </c>
      <c r="AP243" s="18">
        <f>IF(ISERROR(SEARCH("NO",Tabella1[[#This Row],[Cardiopatia ischemica]],1)),1,0)</f>
        <v>0</v>
      </c>
      <c r="AQ243" s="17">
        <f>IF(ISERROR(SEARCH("sconosciuto",Tabella1[[#This Row],[Cardiopatia ischemica]],1)),0,1)</f>
        <v>0</v>
      </c>
      <c r="AR243" s="11" t="s">
        <v>25</v>
      </c>
      <c r="AS243" s="22">
        <f>IF(ISERROR(SEARCH("nega",Tabella1[[#This Row],[Artimie]],1)),0,1)</f>
        <v>1</v>
      </c>
      <c r="AT243" s="11" t="s">
        <v>25</v>
      </c>
      <c r="AU243" s="22">
        <f>IF(ISERROR(SEARCH("nega",Tabella1[[#This Row],[Ipercolesterolemia]],1)),0,1)</f>
        <v>1</v>
      </c>
      <c r="AV243" s="22">
        <f>IF(ISERROR(SEARCH("boh",Tabella1[[#This Row],[Ipercolesterolemia]],1)),0,1)</f>
        <v>0</v>
      </c>
      <c r="AW243" s="11" t="s">
        <v>2735</v>
      </c>
      <c r="AX243" s="22">
        <f>IF(ISERROR(SEARCH("Intolleranza",Tabella1[[#This Row],[Diabete]],1)),0,1)</f>
        <v>0</v>
      </c>
      <c r="AY243" s="22">
        <f>IF(ISERROR(SEARCH("si",Tabella1[[#This Row],[Diabete]],1)),0,1)</f>
        <v>1</v>
      </c>
      <c r="AZ243" s="11" t="s">
        <v>8</v>
      </c>
      <c r="BA243" s="18">
        <f>IF(ISERROR(SEARCH("NDD",Tabella1[[#This Row],[Patologia Tiroidea]],1)),0,1)</f>
        <v>0</v>
      </c>
      <c r="BB243" s="22">
        <f>IF(ISERROR(SEARCH("TIROIDITE",Tabella1[[#This Row],[Patologia Tiroidea]],1)),0,1)</f>
        <v>0</v>
      </c>
      <c r="BC243" s="22">
        <f>IF(ISERROR(SEARCH("HASHIMOTO",Tabella1[[#This Row],[Patologia Tiroidea]],1)),0,1)</f>
        <v>0</v>
      </c>
      <c r="BD243" s="22">
        <f>IF(ISERROR(SEARCH("BASEDOW",Tabella1[[#This Row],[Patologia Tiroidea]],1)),0,1)</f>
        <v>0</v>
      </c>
      <c r="BE243" s="22">
        <f>IF(ISERROR(SEARCH("NOD",Tabella1[[#This Row],[Patologia Tiroidea]],1)),0,1)</f>
        <v>0</v>
      </c>
      <c r="BF243" s="22">
        <f>IF(ISERROR(SEARCH("GOZ",Tabella1[[#This Row],[Patologia Tiroidea]],1)),0,1)</f>
        <v>0</v>
      </c>
      <c r="BG243" s="11" t="s">
        <v>28</v>
      </c>
      <c r="BH243" s="18">
        <f>IF(Tabella1[[#This Row],[Obesità]]="no",0,1)</f>
        <v>1</v>
      </c>
      <c r="BI243" s="11" t="s">
        <v>25</v>
      </c>
      <c r="BJ243" s="22">
        <f>IF(ISERROR(SEARCH("nega",Tabella1[[#This Row],[Reflusso gastroesofageo]],1)),1,0)</f>
        <v>0</v>
      </c>
      <c r="BK243" s="11" t="s">
        <v>8</v>
      </c>
      <c r="BL243" s="18">
        <f>IF(ISERROR(SEARCH("NDD",Tabella1[[#This Row],[Patologia respiratoria]],1)),0,1)</f>
        <v>0</v>
      </c>
      <c r="BM243" s="18">
        <f>IF(ISERROR(SEARCH("asma",Tabella1[[#This Row],[Patologia respiratoria]],1)),0,1)</f>
        <v>0</v>
      </c>
      <c r="BN243" s="18">
        <f>IF(ISERROR(SEARCH("BPCO",Tabella1[[#This Row],[Patologia respiratoria]],1)),0,1)</f>
        <v>0</v>
      </c>
      <c r="BO243" s="18">
        <f>IF(ISERROR(SEARCH("BRONCOPOLMONITE",Tabella1[[#This Row],[Patologia respiratoria]],1)),0,1)</f>
        <v>0</v>
      </c>
      <c r="BP243" s="18">
        <f>IF(ISERROR(SEARCH("ASMA, OSAS",Tabella1[[#This Row],[Patologia respiratoria]],1)),0,1)</f>
        <v>0</v>
      </c>
      <c r="BQ243" s="18">
        <f>IF(ISERROR(SEARCH("OSAS e BPCO",Tabella1[[#This Row],[Patologia respiratoria]],1)),0,1)</f>
        <v>0</v>
      </c>
      <c r="BR243" s="18">
        <f>IF(ISERROR(SEARCH("OSAS",Tabella1[[#This Row],[Patologia respiratoria]],1)),0,1)</f>
        <v>0</v>
      </c>
      <c r="BS243" s="11" t="s">
        <v>8</v>
      </c>
      <c r="BT243" s="11" t="s">
        <v>2736</v>
      </c>
      <c r="BU243" s="11" t="s">
        <v>8</v>
      </c>
      <c r="BV243" s="18">
        <f>IF(ISERROR(SEARCH("ndd",Tabella1[[#This Row],[O2 terapia]],1)),0,1)</f>
        <v>0</v>
      </c>
      <c r="BW243" s="17">
        <v>0</v>
      </c>
      <c r="BX243" s="11" t="s">
        <v>8</v>
      </c>
      <c r="BY243" s="11" t="s">
        <v>2737</v>
      </c>
      <c r="BZ243" s="17">
        <v>1</v>
      </c>
      <c r="CA243" s="11" t="s">
        <v>28</v>
      </c>
      <c r="CB243" s="17">
        <v>1</v>
      </c>
      <c r="CC243" s="11" t="s">
        <v>8</v>
      </c>
      <c r="CD243" s="18">
        <v>0</v>
      </c>
      <c r="CE243" s="11" t="s">
        <v>8</v>
      </c>
      <c r="CF243" s="18">
        <v>0</v>
      </c>
      <c r="CG243" s="11" t="s">
        <v>8</v>
      </c>
      <c r="CH243" s="17">
        <v>0</v>
      </c>
      <c r="CI243" s="11" t="s">
        <v>8</v>
      </c>
      <c r="CJ243" s="18">
        <v>0</v>
      </c>
      <c r="CK243" s="11" t="s">
        <v>2738</v>
      </c>
      <c r="CL243" s="17">
        <v>1</v>
      </c>
      <c r="CM243" s="11" t="s">
        <v>8</v>
      </c>
      <c r="CN243" s="17">
        <v>0</v>
      </c>
      <c r="CO243" s="11" t="s">
        <v>8</v>
      </c>
      <c r="CP243" s="18">
        <v>0</v>
      </c>
      <c r="CQ243" s="11" t="s">
        <v>13</v>
      </c>
      <c r="CR243" s="11" t="s">
        <v>1558</v>
      </c>
      <c r="CS243" s="11" t="s">
        <v>105</v>
      </c>
      <c r="CT243" s="11" t="s">
        <v>554</v>
      </c>
      <c r="CU243" s="11" t="s">
        <v>2739</v>
      </c>
      <c r="CV243" s="12" t="s">
        <v>2740</v>
      </c>
    </row>
    <row r="244" spans="1:100" ht="270.75">
      <c r="A244" s="1">
        <f t="shared" si="3"/>
        <v>243</v>
      </c>
      <c r="B244" s="5">
        <v>1432</v>
      </c>
      <c r="C244" s="6">
        <v>45411</v>
      </c>
      <c r="D244" s="7" t="s">
        <v>2741</v>
      </c>
      <c r="E244" s="6">
        <v>24824</v>
      </c>
      <c r="F244" s="29">
        <f ca="1">_xlfn.DAYS(NOW(),Tabella1[[#This Row],[Data di Nascita]])/365.25</f>
        <v>57.629021218343603</v>
      </c>
      <c r="G244" s="7" t="s">
        <v>2742</v>
      </c>
      <c r="H244" s="7" t="s">
        <v>2743</v>
      </c>
      <c r="I244" s="7" t="s">
        <v>2293</v>
      </c>
      <c r="J244" s="7" t="s">
        <v>2744</v>
      </c>
      <c r="K244" s="7" t="s">
        <v>2745</v>
      </c>
      <c r="L244" s="17">
        <f>IF(ISERROR(SEARCH("EX",Tabella1[[#This Row],[Attività lavorativa]],1)),0,1)</f>
        <v>0</v>
      </c>
      <c r="M244" s="17"/>
      <c r="N244" s="17"/>
      <c r="O244" s="17"/>
      <c r="P244" s="18">
        <v>1</v>
      </c>
      <c r="Q244" s="17"/>
      <c r="R244" s="17"/>
      <c r="S244" s="17"/>
      <c r="T244" s="17">
        <f>IF(ISERROR(SEARCH("NDD",Tabella1[[#This Row],[Attività lavorativa]],1)),0,1)</f>
        <v>0</v>
      </c>
      <c r="U244" s="7" t="s">
        <v>195</v>
      </c>
      <c r="V244" s="22"/>
      <c r="W244" s="22">
        <f>IF(ISERROR(SEARCH("ex",Tabella1[[#This Row],[Fumo]],1)),0,1)</f>
        <v>0</v>
      </c>
      <c r="X244" s="22">
        <f>IF(ISERROR(SEARCH("no",Tabella1[[#This Row],[Fumo]],1)),0,1)</f>
        <v>1</v>
      </c>
      <c r="Y244" s="7" t="s">
        <v>25</v>
      </c>
      <c r="Z244" s="17">
        <f>IF(ISERROR(SEARCH("NDD",Tabella1[[#This Row],[Bevitore alcolici]],1)),0,1)</f>
        <v>0</v>
      </c>
      <c r="AA244" s="17">
        <f>IF(ISERROR(SEARCH("raro",Tabella1[[#This Row],[Bevitore alcolici]],1)),0,1)</f>
        <v>0</v>
      </c>
      <c r="AB244" s="17">
        <f>IF(ISERROR(SEARCH("saltuariamente",Tabella1[[#This Row],[Bevitore alcolici]],1)),0,1)</f>
        <v>0</v>
      </c>
      <c r="AC244" s="17">
        <f>IF(ISERROR(SEARCH("nega",Tabella1[[#This Row],[Bevitore alcolici]],1)),0,1)</f>
        <v>1</v>
      </c>
      <c r="AD244" s="17">
        <f>IF(ISERROR(SEARCH("potus",Tabella1[[#This Row],[Bevitore alcolici]],1)),0,1)</f>
        <v>0</v>
      </c>
      <c r="AE244" s="7" t="s">
        <v>657</v>
      </c>
      <c r="AF244" s="17"/>
      <c r="AG244" s="17"/>
      <c r="AH244" s="17"/>
      <c r="AI244" s="17"/>
      <c r="AJ244" s="17"/>
      <c r="AK244" s="7" t="s">
        <v>195</v>
      </c>
      <c r="AL244" s="17">
        <f>IF(ISERROR(SEARCH("si",Tabella1[[#This Row],[Patente di guida]],1)),0,1)</f>
        <v>0</v>
      </c>
      <c r="AM244" s="7" t="s">
        <v>28</v>
      </c>
      <c r="AN244" s="17">
        <f>IF(ISERROR(SEARCH("no",Tabella1[[#This Row],[Ipertensione]],1)),0,1)</f>
        <v>0</v>
      </c>
      <c r="AO244" s="7" t="s">
        <v>382</v>
      </c>
      <c r="AP244" s="18">
        <f>IF(ISERROR(SEARCH("NO",Tabella1[[#This Row],[Cardiopatia ischemica]],1)),1,0)</f>
        <v>0</v>
      </c>
      <c r="AQ244" s="17">
        <f>IF(ISERROR(SEARCH("sconosciuto",Tabella1[[#This Row],[Cardiopatia ischemica]],1)),0,1)</f>
        <v>0</v>
      </c>
      <c r="AR244" s="7" t="s">
        <v>25</v>
      </c>
      <c r="AS244" s="22">
        <f>IF(ISERROR(SEARCH("nega",Tabella1[[#This Row],[Artimie]],1)),0,1)</f>
        <v>1</v>
      </c>
      <c r="AT244" s="7" t="s">
        <v>25</v>
      </c>
      <c r="AU244" s="22">
        <f>IF(ISERROR(SEARCH("nega",Tabella1[[#This Row],[Ipercolesterolemia]],1)),0,1)</f>
        <v>1</v>
      </c>
      <c r="AV244" s="22">
        <f>IF(ISERROR(SEARCH("boh",Tabella1[[#This Row],[Ipercolesterolemia]],1)),0,1)</f>
        <v>0</v>
      </c>
      <c r="AW244" s="7" t="s">
        <v>195</v>
      </c>
      <c r="AX244" s="22">
        <f>IF(ISERROR(SEARCH("Intolleranza",Tabella1[[#This Row],[Diabete]],1)),0,1)</f>
        <v>0</v>
      </c>
      <c r="AY244" s="22">
        <f>IF(ISERROR(SEARCH("si",Tabella1[[#This Row],[Diabete]],1)),0,1)</f>
        <v>0</v>
      </c>
      <c r="AZ244" s="7" t="s">
        <v>195</v>
      </c>
      <c r="BA244" s="17">
        <f>IF(ISERROR(SEARCH("NDD",Tabella1[[#This Row],[Patologia Tiroidea]],1)),0,1)</f>
        <v>0</v>
      </c>
      <c r="BB244" s="22">
        <f>IF(ISERROR(SEARCH("TIROIDITE",Tabella1[[#This Row],[Patologia Tiroidea]],1)),0,1)</f>
        <v>0</v>
      </c>
      <c r="BC244" s="22">
        <f>IF(ISERROR(SEARCH("HASHIMOTO",Tabella1[[#This Row],[Patologia Tiroidea]],1)),0,1)</f>
        <v>0</v>
      </c>
      <c r="BD244" s="22">
        <f>IF(ISERROR(SEARCH("BASEDOW",Tabella1[[#This Row],[Patologia Tiroidea]],1)),0,1)</f>
        <v>0</v>
      </c>
      <c r="BE244" s="22">
        <f>IF(ISERROR(SEARCH("NOD",Tabella1[[#This Row],[Patologia Tiroidea]],1)),0,1)</f>
        <v>0</v>
      </c>
      <c r="BF244" s="22">
        <f>IF(ISERROR(SEARCH("GOZ",Tabella1[[#This Row],[Patologia Tiroidea]],1)),0,1)</f>
        <v>0</v>
      </c>
      <c r="BG244" s="7" t="s">
        <v>194</v>
      </c>
      <c r="BH244" s="17">
        <f>IF(Tabella1[[#This Row],[Obesità]]="no",0,1)</f>
        <v>1</v>
      </c>
      <c r="BI244" s="7" t="s">
        <v>25</v>
      </c>
      <c r="BJ244" s="22">
        <f>IF(ISERROR(SEARCH("nega",Tabella1[[#This Row],[Reflusso gastroesofageo]],1)),1,0)</f>
        <v>0</v>
      </c>
      <c r="BK244" s="7" t="s">
        <v>195</v>
      </c>
      <c r="BL244" s="17">
        <f>IF(ISERROR(SEARCH("NDD",Tabella1[[#This Row],[Patologia respiratoria]],1)),0,1)</f>
        <v>0</v>
      </c>
      <c r="BM244" s="17">
        <f>IF(ISERROR(SEARCH("asma",Tabella1[[#This Row],[Patologia respiratoria]],1)),0,1)</f>
        <v>0</v>
      </c>
      <c r="BN244" s="17">
        <f>IF(ISERROR(SEARCH("BPCO",Tabella1[[#This Row],[Patologia respiratoria]],1)),0,1)</f>
        <v>0</v>
      </c>
      <c r="BO244" s="17">
        <f>IF(ISERROR(SEARCH("BRONCOPOLMONITE",Tabella1[[#This Row],[Patologia respiratoria]],1)),0,1)</f>
        <v>0</v>
      </c>
      <c r="BP244" s="17">
        <f>IF(ISERROR(SEARCH("ASMA, OSAS",Tabella1[[#This Row],[Patologia respiratoria]],1)),0,1)</f>
        <v>0</v>
      </c>
      <c r="BQ244" s="17">
        <f>IF(ISERROR(SEARCH("OSAS e BPCO",Tabella1[[#This Row],[Patologia respiratoria]],1)),0,1)</f>
        <v>0</v>
      </c>
      <c r="BR244" s="17">
        <f>IF(ISERROR(SEARCH("OSAS",Tabella1[[#This Row],[Patologia respiratoria]],1)),0,1)</f>
        <v>0</v>
      </c>
      <c r="BS244" s="7" t="s">
        <v>2746</v>
      </c>
      <c r="BT244" s="7" t="s">
        <v>2747</v>
      </c>
      <c r="BU244" s="7" t="s">
        <v>195</v>
      </c>
      <c r="BV244" s="17">
        <f>IF(ISERROR(SEARCH("ndd",Tabella1[[#This Row],[O2 terapia]],1)),0,1)</f>
        <v>0</v>
      </c>
      <c r="BW244" s="17">
        <v>0</v>
      </c>
      <c r="BX244" s="7"/>
      <c r="BY244" s="7" t="s">
        <v>195</v>
      </c>
      <c r="BZ244" s="18">
        <v>0</v>
      </c>
      <c r="CA244" s="7" t="s">
        <v>2748</v>
      </c>
      <c r="CB244" s="17">
        <v>1</v>
      </c>
      <c r="CC244" s="7" t="s">
        <v>2749</v>
      </c>
      <c r="CD244" s="18">
        <v>0</v>
      </c>
      <c r="CE244" s="7" t="s">
        <v>195</v>
      </c>
      <c r="CF244" s="18">
        <v>0</v>
      </c>
      <c r="CG244" s="7" t="s">
        <v>195</v>
      </c>
      <c r="CH244" s="17">
        <v>0</v>
      </c>
      <c r="CI244" s="7" t="s">
        <v>5477</v>
      </c>
      <c r="CJ244" s="17"/>
      <c r="CK244" s="7" t="s">
        <v>2750</v>
      </c>
      <c r="CL244" s="17">
        <v>1</v>
      </c>
      <c r="CM244" s="7" t="s">
        <v>195</v>
      </c>
      <c r="CN244" s="17">
        <v>0</v>
      </c>
      <c r="CO244" s="7" t="s">
        <v>2751</v>
      </c>
      <c r="CP244" s="17">
        <v>1</v>
      </c>
      <c r="CQ244" s="7" t="s">
        <v>54</v>
      </c>
      <c r="CR244" s="7" t="s">
        <v>14</v>
      </c>
      <c r="CS244" s="7" t="s">
        <v>71</v>
      </c>
      <c r="CT244" s="7" t="s">
        <v>1372</v>
      </c>
      <c r="CU244" s="7" t="s">
        <v>2752</v>
      </c>
      <c r="CV244" s="8" t="s">
        <v>2142</v>
      </c>
    </row>
    <row r="245" spans="1:100" ht="327.75">
      <c r="A245" s="1">
        <f t="shared" si="3"/>
        <v>244</v>
      </c>
      <c r="B245" s="9">
        <v>1437</v>
      </c>
      <c r="C245" s="10">
        <v>45414</v>
      </c>
      <c r="D245" s="11" t="s">
        <v>2753</v>
      </c>
      <c r="E245" s="10">
        <v>28189</v>
      </c>
      <c r="F245" s="29">
        <f ca="1">_xlfn.DAYS(NOW(),Tabella1[[#This Row],[Data di Nascita]])/365.25</f>
        <v>48.416153319644081</v>
      </c>
      <c r="G245" s="11" t="s">
        <v>2754</v>
      </c>
      <c r="H245" s="11" t="s">
        <v>2755</v>
      </c>
      <c r="I245" s="11" t="s">
        <v>2293</v>
      </c>
      <c r="J245" s="11" t="s">
        <v>618</v>
      </c>
      <c r="K245" s="11" t="s">
        <v>2756</v>
      </c>
      <c r="L245" s="18">
        <f>IF(ISERROR(SEARCH("EX",Tabella1[[#This Row],[Attività lavorativa]],1)),0,1)</f>
        <v>0</v>
      </c>
      <c r="M245" s="18"/>
      <c r="N245" s="18"/>
      <c r="O245" s="18"/>
      <c r="P245" s="18"/>
      <c r="Q245" s="18"/>
      <c r="R245" s="17">
        <v>1</v>
      </c>
      <c r="S245" s="17"/>
      <c r="T245" s="17">
        <f>IF(ISERROR(SEARCH("NDD",Tabella1[[#This Row],[Attività lavorativa]],1)),0,1)</f>
        <v>0</v>
      </c>
      <c r="U245" s="11" t="s">
        <v>2757</v>
      </c>
      <c r="V245" s="22">
        <v>30</v>
      </c>
      <c r="W245" s="22">
        <f>IF(ISERROR(SEARCH("ex",Tabella1[[#This Row],[Fumo]],1)),0,1)</f>
        <v>0</v>
      </c>
      <c r="X245" s="22">
        <f>IF(ISERROR(SEARCH("no",Tabella1[[#This Row],[Fumo]],1)),0,1)</f>
        <v>0</v>
      </c>
      <c r="Y245" s="11" t="s">
        <v>25</v>
      </c>
      <c r="Z245" s="18">
        <f>IF(ISERROR(SEARCH("NDD",Tabella1[[#This Row],[Bevitore alcolici]],1)),0,1)</f>
        <v>0</v>
      </c>
      <c r="AA245" s="17">
        <f>IF(ISERROR(SEARCH("raro",Tabella1[[#This Row],[Bevitore alcolici]],1)),0,1)</f>
        <v>0</v>
      </c>
      <c r="AB245" s="17">
        <f>IF(ISERROR(SEARCH("saltuariamente",Tabella1[[#This Row],[Bevitore alcolici]],1)),0,1)</f>
        <v>0</v>
      </c>
      <c r="AC245" s="17">
        <f>IF(ISERROR(SEARCH("nega",Tabella1[[#This Row],[Bevitore alcolici]],1)),0,1)</f>
        <v>1</v>
      </c>
      <c r="AD245" s="17">
        <f>IF(ISERROR(SEARCH("potus",Tabella1[[#This Row],[Bevitore alcolici]],1)),0,1)</f>
        <v>0</v>
      </c>
      <c r="AE245" s="11" t="s">
        <v>2758</v>
      </c>
      <c r="AF245" s="18"/>
      <c r="AG245" s="18">
        <v>1</v>
      </c>
      <c r="AH245" s="18"/>
      <c r="AI245" s="18"/>
      <c r="AJ245" s="18"/>
      <c r="AK245" s="11" t="s">
        <v>194</v>
      </c>
      <c r="AL245" s="18">
        <f>IF(ISERROR(SEARCH("si",Tabella1[[#This Row],[Patente di guida]],1)),0,1)</f>
        <v>1</v>
      </c>
      <c r="AM245" s="11" t="s">
        <v>8</v>
      </c>
      <c r="AN245" s="18">
        <f>IF(ISERROR(SEARCH("no",Tabella1[[#This Row],[Ipertensione]],1)),0,1)</f>
        <v>1</v>
      </c>
      <c r="AO245" s="11" t="s">
        <v>382</v>
      </c>
      <c r="AP245" s="18">
        <f>IF(ISERROR(SEARCH("NO",Tabella1[[#This Row],[Cardiopatia ischemica]],1)),1,0)</f>
        <v>0</v>
      </c>
      <c r="AQ245" s="17">
        <f>IF(ISERROR(SEARCH("sconosciuto",Tabella1[[#This Row],[Cardiopatia ischemica]],1)),0,1)</f>
        <v>0</v>
      </c>
      <c r="AR245" s="11" t="s">
        <v>25</v>
      </c>
      <c r="AS245" s="18">
        <f>IF(ISERROR(SEARCH("nega",Tabella1[[#This Row],[Artimie]],1)),0,1)</f>
        <v>1</v>
      </c>
      <c r="AT245" s="11" t="s">
        <v>25</v>
      </c>
      <c r="AU245" s="18">
        <f>IF(ISERROR(SEARCH("nega",Tabella1[[#This Row],[Ipercolesterolemia]],1)),0,1)</f>
        <v>1</v>
      </c>
      <c r="AV245" s="18">
        <f>IF(ISERROR(SEARCH("boh",Tabella1[[#This Row],[Ipercolesterolemia]],1)),0,1)</f>
        <v>0</v>
      </c>
      <c r="AW245" s="11" t="s">
        <v>8</v>
      </c>
      <c r="AX245" s="18">
        <f>IF(ISERROR(SEARCH("Intolleranza",Tabella1[[#This Row],[Diabete]],1)),0,1)</f>
        <v>0</v>
      </c>
      <c r="AY245" s="18">
        <f>IF(ISERROR(SEARCH("si",Tabella1[[#This Row],[Diabete]],1)),0,1)</f>
        <v>0</v>
      </c>
      <c r="AZ245" s="11" t="s">
        <v>8</v>
      </c>
      <c r="BA245" s="18">
        <f>IF(ISERROR(SEARCH("NDD",Tabella1[[#This Row],[Patologia Tiroidea]],1)),0,1)</f>
        <v>0</v>
      </c>
      <c r="BB245" s="18">
        <f>IF(ISERROR(SEARCH("TIROIDITE",Tabella1[[#This Row],[Patologia Tiroidea]],1)),0,1)</f>
        <v>0</v>
      </c>
      <c r="BC245" s="18">
        <f>IF(ISERROR(SEARCH("HASHIMOTO",Tabella1[[#This Row],[Patologia Tiroidea]],1)),0,1)</f>
        <v>0</v>
      </c>
      <c r="BD245" s="18">
        <f>IF(ISERROR(SEARCH("BASEDOW",Tabella1[[#This Row],[Patologia Tiroidea]],1)),0,1)</f>
        <v>0</v>
      </c>
      <c r="BE245" s="18">
        <f>IF(ISERROR(SEARCH("NOD",Tabella1[[#This Row],[Patologia Tiroidea]],1)),0,1)</f>
        <v>0</v>
      </c>
      <c r="BF245" s="18">
        <f>IF(ISERROR(SEARCH("GOZ",Tabella1[[#This Row],[Patologia Tiroidea]],1)),0,1)</f>
        <v>0</v>
      </c>
      <c r="BG245" s="11" t="s">
        <v>8</v>
      </c>
      <c r="BH245" s="18">
        <f>IF(Tabella1[[#This Row],[Obesità]]="no",0,1)</f>
        <v>0</v>
      </c>
      <c r="BI245" s="11" t="s">
        <v>25</v>
      </c>
      <c r="BJ245" s="22">
        <f>IF(ISERROR(SEARCH("nega",Tabella1[[#This Row],[Reflusso gastroesofageo]],1)),1,0)</f>
        <v>0</v>
      </c>
      <c r="BK245" s="11" t="s">
        <v>8</v>
      </c>
      <c r="BL245" s="18">
        <f>IF(ISERROR(SEARCH("NDD",Tabella1[[#This Row],[Patologia respiratoria]],1)),0,1)</f>
        <v>0</v>
      </c>
      <c r="BM245" s="18">
        <f>IF(ISERROR(SEARCH("asma",Tabella1[[#This Row],[Patologia respiratoria]],1)),0,1)</f>
        <v>0</v>
      </c>
      <c r="BN245" s="18">
        <f>IF(ISERROR(SEARCH("BPCO",Tabella1[[#This Row],[Patologia respiratoria]],1)),0,1)</f>
        <v>0</v>
      </c>
      <c r="BO245" s="18">
        <f>IF(ISERROR(SEARCH("BRONCOPOLMONITE",Tabella1[[#This Row],[Patologia respiratoria]],1)),0,1)</f>
        <v>0</v>
      </c>
      <c r="BP245" s="18">
        <f>IF(ISERROR(SEARCH("ASMA, OSAS",Tabella1[[#This Row],[Patologia respiratoria]],1)),0,1)</f>
        <v>0</v>
      </c>
      <c r="BQ245" s="18">
        <f>IF(ISERROR(SEARCH("OSAS e BPCO",Tabella1[[#This Row],[Patologia respiratoria]],1)),0,1)</f>
        <v>0</v>
      </c>
      <c r="BR245" s="18">
        <f>IF(ISERROR(SEARCH("OSAS",Tabella1[[#This Row],[Patologia respiratoria]],1)),0,1)</f>
        <v>0</v>
      </c>
      <c r="BS245" s="11" t="s">
        <v>8</v>
      </c>
      <c r="BT245" s="11" t="s">
        <v>2759</v>
      </c>
      <c r="BU245" s="7" t="s">
        <v>5477</v>
      </c>
      <c r="BV245" s="17">
        <f>IF(ISERROR(SEARCH("ndd",Tabella1[[#This Row],[O2 terapia]],1)),0,1)</f>
        <v>1</v>
      </c>
      <c r="BW245" s="18"/>
      <c r="BX245" s="11"/>
      <c r="BY245" s="11" t="s">
        <v>309</v>
      </c>
      <c r="BZ245" s="18">
        <v>0</v>
      </c>
      <c r="CA245" s="11" t="s">
        <v>2760</v>
      </c>
      <c r="CB245" s="17">
        <v>1</v>
      </c>
      <c r="CC245" s="11" t="s">
        <v>2761</v>
      </c>
      <c r="CD245" s="17">
        <v>1</v>
      </c>
      <c r="CE245" s="11" t="s">
        <v>309</v>
      </c>
      <c r="CF245" s="18">
        <v>0</v>
      </c>
      <c r="CG245" s="11" t="s">
        <v>309</v>
      </c>
      <c r="CH245" s="17">
        <v>0</v>
      </c>
      <c r="CI245" s="7" t="s">
        <v>5477</v>
      </c>
      <c r="CJ245" s="18"/>
      <c r="CK245" s="11" t="s">
        <v>195</v>
      </c>
      <c r="CL245" s="17">
        <v>0</v>
      </c>
      <c r="CM245" s="11" t="s">
        <v>2586</v>
      </c>
      <c r="CN245" s="17">
        <v>1</v>
      </c>
      <c r="CO245" s="11" t="s">
        <v>195</v>
      </c>
      <c r="CP245" s="18">
        <v>0</v>
      </c>
      <c r="CQ245" s="11" t="s">
        <v>54</v>
      </c>
      <c r="CR245" s="11" t="s">
        <v>2762</v>
      </c>
      <c r="CS245" s="11" t="s">
        <v>37</v>
      </c>
      <c r="CT245" s="11" t="s">
        <v>569</v>
      </c>
      <c r="CU245" s="11" t="s">
        <v>2763</v>
      </c>
      <c r="CV245" s="12"/>
    </row>
    <row r="246" spans="1:100" ht="384.75">
      <c r="A246" s="1">
        <f t="shared" si="3"/>
        <v>245</v>
      </c>
      <c r="B246" s="5">
        <v>1443</v>
      </c>
      <c r="C246" s="6">
        <v>45418</v>
      </c>
      <c r="D246" s="7" t="s">
        <v>2764</v>
      </c>
      <c r="E246" s="6">
        <v>32250</v>
      </c>
      <c r="F246" s="29">
        <f ca="1">_xlfn.DAYS(NOW(),Tabella1[[#This Row],[Data di Nascita]])/365.25</f>
        <v>37.297741273100613</v>
      </c>
      <c r="G246" s="7" t="s">
        <v>2765</v>
      </c>
      <c r="H246" s="7" t="s">
        <v>2766</v>
      </c>
      <c r="I246" s="7" t="s">
        <v>2293</v>
      </c>
      <c r="J246" s="7" t="s">
        <v>473</v>
      </c>
      <c r="K246" s="7" t="s">
        <v>2767</v>
      </c>
      <c r="L246" s="17">
        <f>IF(ISERROR(SEARCH("EX",Tabella1[[#This Row],[Attività lavorativa]],1)),0,1)</f>
        <v>0</v>
      </c>
      <c r="M246" s="17"/>
      <c r="N246" s="17"/>
      <c r="O246" s="17"/>
      <c r="P246" s="17"/>
      <c r="Q246" s="17"/>
      <c r="R246" s="17"/>
      <c r="S246" s="17"/>
      <c r="T246" s="17">
        <f>IF(ISERROR(SEARCH("NDD",Tabella1[[#This Row],[Attività lavorativa]],1)),0,1)</f>
        <v>0</v>
      </c>
      <c r="U246" s="7" t="s">
        <v>8</v>
      </c>
      <c r="V246" s="22"/>
      <c r="W246" s="22">
        <f>IF(ISERROR(SEARCH("ex",Tabella1[[#This Row],[Fumo]],1)),0,1)</f>
        <v>0</v>
      </c>
      <c r="X246" s="22">
        <f>IF(ISERROR(SEARCH("no",Tabella1[[#This Row],[Fumo]],1)),0,1)</f>
        <v>1</v>
      </c>
      <c r="Y246" s="7" t="s">
        <v>309</v>
      </c>
      <c r="Z246" s="17">
        <f>IF(ISERROR(SEARCH("NDD",Tabella1[[#This Row],[Bevitore alcolici]],1)),0,1)</f>
        <v>0</v>
      </c>
      <c r="AA246" s="17">
        <f>IF(ISERROR(SEARCH("raro",Tabella1[[#This Row],[Bevitore alcolici]],1)),0,1)</f>
        <v>0</v>
      </c>
      <c r="AB246" s="17">
        <f>IF(ISERROR(SEARCH("saltuariamente",Tabella1[[#This Row],[Bevitore alcolici]],1)),0,1)</f>
        <v>0</v>
      </c>
      <c r="AC246" s="17">
        <f>IF(ISERROR(SEARCH("nega",Tabella1[[#This Row],[Bevitore alcolici]],1)),0,1)</f>
        <v>1</v>
      </c>
      <c r="AD246" s="17">
        <f>IF(ISERROR(SEARCH("potus",Tabella1[[#This Row],[Bevitore alcolici]],1)),0,1)</f>
        <v>0</v>
      </c>
      <c r="AE246" s="7" t="s">
        <v>2768</v>
      </c>
      <c r="AF246" s="17"/>
      <c r="AG246" s="18">
        <v>1</v>
      </c>
      <c r="AH246" s="18">
        <v>1</v>
      </c>
      <c r="AI246" s="18"/>
      <c r="AJ246" s="18"/>
      <c r="AK246" s="7" t="s">
        <v>194</v>
      </c>
      <c r="AL246" s="17">
        <f>IF(ISERROR(SEARCH("si",Tabella1[[#This Row],[Patente di guida]],1)),0,1)</f>
        <v>1</v>
      </c>
      <c r="AM246" s="7" t="s">
        <v>195</v>
      </c>
      <c r="AN246" s="17">
        <f>IF(ISERROR(SEARCH("no",Tabella1[[#This Row],[Ipertensione]],1)),0,1)</f>
        <v>1</v>
      </c>
      <c r="AO246" s="7" t="s">
        <v>382</v>
      </c>
      <c r="AP246" s="18">
        <f>IF(ISERROR(SEARCH("NO",Tabella1[[#This Row],[Cardiopatia ischemica]],1)),1,0)</f>
        <v>0</v>
      </c>
      <c r="AQ246" s="17">
        <f>IF(ISERROR(SEARCH("sconosciuto",Tabella1[[#This Row],[Cardiopatia ischemica]],1)),0,1)</f>
        <v>0</v>
      </c>
      <c r="AR246" s="7" t="s">
        <v>25</v>
      </c>
      <c r="AS246" s="22">
        <f>IF(ISERROR(SEARCH("nega",Tabella1[[#This Row],[Artimie]],1)),0,1)</f>
        <v>1</v>
      </c>
      <c r="AT246" s="7" t="s">
        <v>25</v>
      </c>
      <c r="AU246" s="22">
        <f>IF(ISERROR(SEARCH("nega",Tabella1[[#This Row],[Ipercolesterolemia]],1)),0,1)</f>
        <v>1</v>
      </c>
      <c r="AV246" s="22">
        <f>IF(ISERROR(SEARCH("boh",Tabella1[[#This Row],[Ipercolesterolemia]],1)),0,1)</f>
        <v>0</v>
      </c>
      <c r="AW246" s="7" t="s">
        <v>195</v>
      </c>
      <c r="AX246" s="22">
        <f>IF(ISERROR(SEARCH("Intolleranza",Tabella1[[#This Row],[Diabete]],1)),0,1)</f>
        <v>0</v>
      </c>
      <c r="AY246" s="22">
        <f>IF(ISERROR(SEARCH("si",Tabella1[[#This Row],[Diabete]],1)),0,1)</f>
        <v>0</v>
      </c>
      <c r="AZ246" s="7" t="s">
        <v>195</v>
      </c>
      <c r="BA246" s="17">
        <f>IF(ISERROR(SEARCH("NDD",Tabella1[[#This Row],[Patologia Tiroidea]],1)),0,1)</f>
        <v>0</v>
      </c>
      <c r="BB246" s="22">
        <f>IF(ISERROR(SEARCH("TIROIDITE",Tabella1[[#This Row],[Patologia Tiroidea]],1)),0,1)</f>
        <v>0</v>
      </c>
      <c r="BC246" s="22">
        <f>IF(ISERROR(SEARCH("HASHIMOTO",Tabella1[[#This Row],[Patologia Tiroidea]],1)),0,1)</f>
        <v>0</v>
      </c>
      <c r="BD246" s="22">
        <f>IF(ISERROR(SEARCH("BASEDOW",Tabella1[[#This Row],[Patologia Tiroidea]],1)),0,1)</f>
        <v>0</v>
      </c>
      <c r="BE246" s="22">
        <f>IF(ISERROR(SEARCH("NOD",Tabella1[[#This Row],[Patologia Tiroidea]],1)),0,1)</f>
        <v>0</v>
      </c>
      <c r="BF246" s="22">
        <f>IF(ISERROR(SEARCH("GOZ",Tabella1[[#This Row],[Patologia Tiroidea]],1)),0,1)</f>
        <v>0</v>
      </c>
      <c r="BG246" s="7" t="s">
        <v>194</v>
      </c>
      <c r="BH246" s="17">
        <f>IF(Tabella1[[#This Row],[Obesità]]="no",0,1)</f>
        <v>1</v>
      </c>
      <c r="BI246" s="7" t="s">
        <v>25</v>
      </c>
      <c r="BJ246" s="22">
        <f>IF(ISERROR(SEARCH("nega",Tabella1[[#This Row],[Reflusso gastroesofageo]],1)),1,0)</f>
        <v>0</v>
      </c>
      <c r="BK246" s="7" t="s">
        <v>2769</v>
      </c>
      <c r="BL246" s="17">
        <f>IF(ISERROR(SEARCH("NDD",Tabella1[[#This Row],[Patologia respiratoria]],1)),0,1)</f>
        <v>0</v>
      </c>
      <c r="BM246" s="17">
        <f>IF(ISERROR(SEARCH("asma",Tabella1[[#This Row],[Patologia respiratoria]],1)),0,1)</f>
        <v>0</v>
      </c>
      <c r="BN246" s="17">
        <f>IF(ISERROR(SEARCH("BPCO",Tabella1[[#This Row],[Patologia respiratoria]],1)),0,1)</f>
        <v>0</v>
      </c>
      <c r="BO246" s="17">
        <f>IF(ISERROR(SEARCH("BRONCOPOLMONITE",Tabella1[[#This Row],[Patologia respiratoria]],1)),0,1)</f>
        <v>0</v>
      </c>
      <c r="BP246" s="17">
        <f>IF(ISERROR(SEARCH("ASMA, OSAS",Tabella1[[#This Row],[Patologia respiratoria]],1)),0,1)</f>
        <v>0</v>
      </c>
      <c r="BQ246" s="17">
        <f>IF(ISERROR(SEARCH("OSAS e BPCO",Tabella1[[#This Row],[Patologia respiratoria]],1)),0,1)</f>
        <v>0</v>
      </c>
      <c r="BR246" s="17">
        <f>IF(ISERROR(SEARCH("OSAS",Tabella1[[#This Row],[Patologia respiratoria]],1)),0,1)</f>
        <v>0</v>
      </c>
      <c r="BS246" s="7" t="s">
        <v>309</v>
      </c>
      <c r="BT246" s="7" t="s">
        <v>195</v>
      </c>
      <c r="BU246" s="7" t="s">
        <v>195</v>
      </c>
      <c r="BV246" s="17">
        <f>IF(ISERROR(SEARCH("ndd",Tabella1[[#This Row],[O2 terapia]],1)),0,1)</f>
        <v>0</v>
      </c>
      <c r="BW246" s="17">
        <v>0</v>
      </c>
      <c r="BX246" s="7"/>
      <c r="BY246" s="7" t="s">
        <v>309</v>
      </c>
      <c r="BZ246" s="18">
        <v>0</v>
      </c>
      <c r="CA246" s="7" t="s">
        <v>2770</v>
      </c>
      <c r="CB246" s="17">
        <v>1</v>
      </c>
      <c r="CC246" s="7" t="s">
        <v>2771</v>
      </c>
      <c r="CD246" s="17">
        <v>1</v>
      </c>
      <c r="CE246" s="7" t="s">
        <v>309</v>
      </c>
      <c r="CF246" s="18">
        <v>0</v>
      </c>
      <c r="CG246" s="7" t="s">
        <v>309</v>
      </c>
      <c r="CH246" s="17">
        <v>0</v>
      </c>
      <c r="CI246" s="7" t="s">
        <v>5477</v>
      </c>
      <c r="CJ246" s="17"/>
      <c r="CK246" s="7" t="s">
        <v>2369</v>
      </c>
      <c r="CL246" s="17">
        <v>1</v>
      </c>
      <c r="CM246" s="7" t="s">
        <v>2772</v>
      </c>
      <c r="CN246" s="17">
        <v>1</v>
      </c>
      <c r="CO246" s="7" t="s">
        <v>2369</v>
      </c>
      <c r="CP246" s="17">
        <v>1</v>
      </c>
      <c r="CQ246" s="7" t="s">
        <v>85</v>
      </c>
      <c r="CR246" s="7" t="s">
        <v>2773</v>
      </c>
      <c r="CS246" s="7" t="s">
        <v>219</v>
      </c>
      <c r="CT246" s="7" t="s">
        <v>72</v>
      </c>
      <c r="CU246" s="7" t="s">
        <v>2774</v>
      </c>
      <c r="CV246" s="8"/>
    </row>
    <row r="247" spans="1:100" ht="114">
      <c r="A247" s="1">
        <f t="shared" si="3"/>
        <v>246</v>
      </c>
      <c r="B247" s="9">
        <v>1452</v>
      </c>
      <c r="C247" s="10">
        <v>45420</v>
      </c>
      <c r="D247" s="11" t="s">
        <v>2775</v>
      </c>
      <c r="E247" s="10">
        <v>26084</v>
      </c>
      <c r="F247" s="29">
        <f ca="1">_xlfn.DAYS(NOW(),Tabella1[[#This Row],[Data di Nascita]])/365.25</f>
        <v>54.179329226557151</v>
      </c>
      <c r="G247" s="11" t="s">
        <v>2776</v>
      </c>
      <c r="H247" s="11" t="s">
        <v>2777</v>
      </c>
      <c r="I247" s="11" t="s">
        <v>2778</v>
      </c>
      <c r="J247" s="11" t="s">
        <v>2779</v>
      </c>
      <c r="K247" s="11" t="s">
        <v>79</v>
      </c>
      <c r="L247" s="18">
        <f>IF(ISERROR(SEARCH("EX",Tabella1[[#This Row],[Attività lavorativa]],1)),0,1)</f>
        <v>0</v>
      </c>
      <c r="M247" s="18"/>
      <c r="N247" s="18"/>
      <c r="O247" s="18"/>
      <c r="P247" s="18">
        <v>1</v>
      </c>
      <c r="Q247" s="18"/>
      <c r="R247" s="18"/>
      <c r="S247" s="18"/>
      <c r="T247" s="17">
        <f>IF(ISERROR(SEARCH("NDD",Tabella1[[#This Row],[Attività lavorativa]],1)),0,1)</f>
        <v>0</v>
      </c>
      <c r="U247" s="11" t="s">
        <v>8</v>
      </c>
      <c r="V247" s="22"/>
      <c r="W247" s="22">
        <f>IF(ISERROR(SEARCH("ex",Tabella1[[#This Row],[Fumo]],1)),0,1)</f>
        <v>0</v>
      </c>
      <c r="X247" s="22">
        <f>IF(ISERROR(SEARCH("no",Tabella1[[#This Row],[Fumo]],1)),0,1)</f>
        <v>1</v>
      </c>
      <c r="Y247" s="11" t="s">
        <v>26</v>
      </c>
      <c r="Z247" s="18">
        <f>IF(ISERROR(SEARCH("NDD",Tabella1[[#This Row],[Bevitore alcolici]],1)),0,1)</f>
        <v>0</v>
      </c>
      <c r="AA247" s="17">
        <f>IF(ISERROR(SEARCH("raro",Tabella1[[#This Row],[Bevitore alcolici]],1)),0,1)</f>
        <v>0</v>
      </c>
      <c r="AB247" s="17">
        <f>IF(ISERROR(SEARCH("saltuariamente",Tabella1[[#This Row],[Bevitore alcolici]],1)),0,1)</f>
        <v>1</v>
      </c>
      <c r="AC247" s="17">
        <f>IF(ISERROR(SEARCH("nega",Tabella1[[#This Row],[Bevitore alcolici]],1)),0,1)</f>
        <v>0</v>
      </c>
      <c r="AD247" s="17">
        <f>IF(ISERROR(SEARCH("potus",Tabella1[[#This Row],[Bevitore alcolici]],1)),0,1)</f>
        <v>0</v>
      </c>
      <c r="AE247" s="11" t="s">
        <v>2780</v>
      </c>
      <c r="AF247" s="18"/>
      <c r="AG247" s="18">
        <v>1</v>
      </c>
      <c r="AH247" s="18"/>
      <c r="AI247" s="18">
        <v>1</v>
      </c>
      <c r="AJ247" s="18"/>
      <c r="AK247" s="11" t="s">
        <v>194</v>
      </c>
      <c r="AL247" s="18">
        <f>IF(ISERROR(SEARCH("si",Tabella1[[#This Row],[Patente di guida]],1)),0,1)</f>
        <v>1</v>
      </c>
      <c r="AM247" s="11" t="s">
        <v>28</v>
      </c>
      <c r="AN247" s="18">
        <f>IF(ISERROR(SEARCH("no",Tabella1[[#This Row],[Ipertensione]],1)),0,1)</f>
        <v>0</v>
      </c>
      <c r="AO247" s="11" t="s">
        <v>382</v>
      </c>
      <c r="AP247" s="18">
        <f>IF(ISERROR(SEARCH("NO",Tabella1[[#This Row],[Cardiopatia ischemica]],1)),1,0)</f>
        <v>0</v>
      </c>
      <c r="AQ247" s="17">
        <f>IF(ISERROR(SEARCH("sconosciuto",Tabella1[[#This Row],[Cardiopatia ischemica]],1)),0,1)</f>
        <v>0</v>
      </c>
      <c r="AR247" s="11" t="s">
        <v>194</v>
      </c>
      <c r="AS247" s="18">
        <f>IF(ISERROR(SEARCH("nega",Tabella1[[#This Row],[Artimie]],1)),0,1)</f>
        <v>0</v>
      </c>
      <c r="AT247" s="11" t="s">
        <v>25</v>
      </c>
      <c r="AU247" s="18">
        <f>IF(ISERROR(SEARCH("nega",Tabella1[[#This Row],[Ipercolesterolemia]],1)),0,1)</f>
        <v>1</v>
      </c>
      <c r="AV247" s="18">
        <f>IF(ISERROR(SEARCH("boh",Tabella1[[#This Row],[Ipercolesterolemia]],1)),0,1)</f>
        <v>0</v>
      </c>
      <c r="AW247" s="11" t="s">
        <v>195</v>
      </c>
      <c r="AX247" s="18">
        <f>IF(ISERROR(SEARCH("Intolleranza",Tabella1[[#This Row],[Diabete]],1)),0,1)</f>
        <v>0</v>
      </c>
      <c r="AY247" s="18">
        <f>IF(ISERROR(SEARCH("si",Tabella1[[#This Row],[Diabete]],1)),0,1)</f>
        <v>0</v>
      </c>
      <c r="AZ247" s="11" t="s">
        <v>195</v>
      </c>
      <c r="BA247" s="18">
        <f>IF(ISERROR(SEARCH("NDD",Tabella1[[#This Row],[Patologia Tiroidea]],1)),0,1)</f>
        <v>0</v>
      </c>
      <c r="BB247" s="18">
        <f>IF(ISERROR(SEARCH("TIROIDITE",Tabella1[[#This Row],[Patologia Tiroidea]],1)),0,1)</f>
        <v>0</v>
      </c>
      <c r="BC247" s="18">
        <f>IF(ISERROR(SEARCH("HASHIMOTO",Tabella1[[#This Row],[Patologia Tiroidea]],1)),0,1)</f>
        <v>0</v>
      </c>
      <c r="BD247" s="18">
        <f>IF(ISERROR(SEARCH("BASEDOW",Tabella1[[#This Row],[Patologia Tiroidea]],1)),0,1)</f>
        <v>0</v>
      </c>
      <c r="BE247" s="18">
        <f>IF(ISERROR(SEARCH("NOD",Tabella1[[#This Row],[Patologia Tiroidea]],1)),0,1)</f>
        <v>0</v>
      </c>
      <c r="BF247" s="18">
        <f>IF(ISERROR(SEARCH("GOZ",Tabella1[[#This Row],[Patologia Tiroidea]],1)),0,1)</f>
        <v>0</v>
      </c>
      <c r="BG247" s="11" t="s">
        <v>8</v>
      </c>
      <c r="BH247" s="18">
        <f>IF(Tabella1[[#This Row],[Obesità]]="no",0,1)</f>
        <v>0</v>
      </c>
      <c r="BI247" s="11" t="s">
        <v>25</v>
      </c>
      <c r="BJ247" s="22">
        <f>IF(ISERROR(SEARCH("nega",Tabella1[[#This Row],[Reflusso gastroesofageo]],1)),1,0)</f>
        <v>0</v>
      </c>
      <c r="BK247" s="11" t="s">
        <v>2781</v>
      </c>
      <c r="BL247" s="18">
        <f>IF(ISERROR(SEARCH("NDD",Tabella1[[#This Row],[Patologia respiratoria]],1)),0,1)</f>
        <v>0</v>
      </c>
      <c r="BM247" s="18">
        <f>IF(ISERROR(SEARCH("asma",Tabella1[[#This Row],[Patologia respiratoria]],1)),0,1)</f>
        <v>0</v>
      </c>
      <c r="BN247" s="18">
        <f>IF(ISERROR(SEARCH("BPCO",Tabella1[[#This Row],[Patologia respiratoria]],1)),0,1)</f>
        <v>0</v>
      </c>
      <c r="BO247" s="18">
        <f>IF(ISERROR(SEARCH("BRONCOPOLMONITE",Tabella1[[#This Row],[Patologia respiratoria]],1)),0,1)</f>
        <v>0</v>
      </c>
      <c r="BP247" s="18">
        <f>IF(ISERROR(SEARCH("ASMA, OSAS",Tabella1[[#This Row],[Patologia respiratoria]],1)),0,1)</f>
        <v>0</v>
      </c>
      <c r="BQ247" s="18">
        <f>IF(ISERROR(SEARCH("OSAS e BPCO",Tabella1[[#This Row],[Patologia respiratoria]],1)),0,1)</f>
        <v>0</v>
      </c>
      <c r="BR247" s="18">
        <f>IF(ISERROR(SEARCH("OSAS",Tabella1[[#This Row],[Patologia respiratoria]],1)),0,1)</f>
        <v>0</v>
      </c>
      <c r="BS247" s="11"/>
      <c r="BT247" s="11" t="s">
        <v>2782</v>
      </c>
      <c r="BU247" s="7" t="s">
        <v>5477</v>
      </c>
      <c r="BV247" s="17">
        <f>IF(ISERROR(SEARCH("ndd",Tabella1[[#This Row],[O2 terapia]],1)),0,1)</f>
        <v>1</v>
      </c>
      <c r="BW247" s="18"/>
      <c r="BX247" s="11"/>
      <c r="BY247" s="11" t="s">
        <v>195</v>
      </c>
      <c r="BZ247" s="18">
        <v>0</v>
      </c>
      <c r="CA247" s="11" t="s">
        <v>2783</v>
      </c>
      <c r="CB247" s="17">
        <v>0</v>
      </c>
      <c r="CC247" s="11" t="s">
        <v>2784</v>
      </c>
      <c r="CD247" s="17">
        <v>1</v>
      </c>
      <c r="CE247" s="11" t="s">
        <v>195</v>
      </c>
      <c r="CF247" s="18">
        <v>0</v>
      </c>
      <c r="CG247" s="11" t="s">
        <v>194</v>
      </c>
      <c r="CH247" s="17">
        <v>1</v>
      </c>
      <c r="CI247" s="11" t="s">
        <v>195</v>
      </c>
      <c r="CJ247" s="18">
        <v>0</v>
      </c>
      <c r="CK247" s="11" t="s">
        <v>387</v>
      </c>
      <c r="CL247" s="17">
        <v>1</v>
      </c>
      <c r="CM247" s="11" t="s">
        <v>195</v>
      </c>
      <c r="CN247" s="17">
        <v>0</v>
      </c>
      <c r="CO247" s="11" t="s">
        <v>2785</v>
      </c>
      <c r="CP247" s="17">
        <v>1</v>
      </c>
      <c r="CQ247" s="11" t="s">
        <v>54</v>
      </c>
      <c r="CR247" s="11" t="s">
        <v>2786</v>
      </c>
      <c r="CS247" s="11" t="s">
        <v>105</v>
      </c>
      <c r="CT247" s="11" t="s">
        <v>169</v>
      </c>
      <c r="CU247" s="11" t="s">
        <v>2787</v>
      </c>
      <c r="CV247" s="12" t="s">
        <v>2788</v>
      </c>
    </row>
    <row r="248" spans="1:100" ht="156.75">
      <c r="A248" s="1">
        <f t="shared" si="3"/>
        <v>247</v>
      </c>
      <c r="B248" s="5">
        <v>1455</v>
      </c>
      <c r="C248" s="6">
        <v>45422</v>
      </c>
      <c r="D248" s="7" t="s">
        <v>2789</v>
      </c>
      <c r="E248" s="6">
        <v>23519</v>
      </c>
      <c r="F248" s="29">
        <f ca="1">_xlfn.DAYS(NOW(),Tabella1[[#This Row],[Data di Nascita]])/365.25</f>
        <v>61.201916495550989</v>
      </c>
      <c r="G248" s="7" t="s">
        <v>2790</v>
      </c>
      <c r="H248" s="7" t="s">
        <v>2791</v>
      </c>
      <c r="I248" s="7" t="s">
        <v>2792</v>
      </c>
      <c r="J248" s="7" t="s">
        <v>2793</v>
      </c>
      <c r="K248" s="7" t="s">
        <v>2794</v>
      </c>
      <c r="L248" s="17">
        <f>IF(ISERROR(SEARCH("EX",Tabella1[[#This Row],[Attività lavorativa]],1)),0,1)</f>
        <v>0</v>
      </c>
      <c r="M248" s="17"/>
      <c r="N248" s="17"/>
      <c r="O248" s="17"/>
      <c r="P248" s="17"/>
      <c r="Q248" s="17"/>
      <c r="R248" s="17"/>
      <c r="S248" s="17"/>
      <c r="T248" s="17">
        <f>IF(ISERROR(SEARCH("NDD",Tabella1[[#This Row],[Attività lavorativa]],1)),0,1)</f>
        <v>0</v>
      </c>
      <c r="U248" s="7" t="s">
        <v>8</v>
      </c>
      <c r="V248" s="22"/>
      <c r="W248" s="22">
        <f>IF(ISERROR(SEARCH("ex",Tabella1[[#This Row],[Fumo]],1)),0,1)</f>
        <v>0</v>
      </c>
      <c r="X248" s="22">
        <f>IF(ISERROR(SEARCH("no",Tabella1[[#This Row],[Fumo]],1)),0,1)</f>
        <v>1</v>
      </c>
      <c r="Y248" s="7" t="s">
        <v>2795</v>
      </c>
      <c r="Z248" s="17">
        <f>IF(ISERROR(SEARCH("NDD",Tabella1[[#This Row],[Bevitore alcolici]],1)),0,1)</f>
        <v>0</v>
      </c>
      <c r="AA248" s="17">
        <f>IF(ISERROR(SEARCH("raro",Tabella1[[#This Row],[Bevitore alcolici]],1)),0,1)</f>
        <v>0</v>
      </c>
      <c r="AB248" s="17">
        <f>IF(ISERROR(SEARCH("saltuariamente",Tabella1[[#This Row],[Bevitore alcolici]],1)),0,1)</f>
        <v>0</v>
      </c>
      <c r="AC248" s="17">
        <f>IF(ISERROR(SEARCH("nega",Tabella1[[#This Row],[Bevitore alcolici]],1)),0,1)</f>
        <v>0</v>
      </c>
      <c r="AD248" s="17">
        <f>IF(ISERROR(SEARCH("potus",Tabella1[[#This Row],[Bevitore alcolici]],1)),0,1)</f>
        <v>0</v>
      </c>
      <c r="AE248" s="7" t="s">
        <v>5685</v>
      </c>
      <c r="AF248" s="17"/>
      <c r="AG248" s="18">
        <v>1</v>
      </c>
      <c r="AH248" s="18"/>
      <c r="AI248" s="18"/>
      <c r="AJ248" s="18"/>
      <c r="AK248" s="7" t="s">
        <v>194</v>
      </c>
      <c r="AL248" s="17">
        <f>IF(ISERROR(SEARCH("si",Tabella1[[#This Row],[Patente di guida]],1)),0,1)</f>
        <v>1</v>
      </c>
      <c r="AM248" s="7" t="s">
        <v>3720</v>
      </c>
      <c r="AN248" s="17">
        <f>IF(ISERROR(SEARCH("no",Tabella1[[#This Row],[Ipertensione]],1)),0,1)</f>
        <v>0</v>
      </c>
      <c r="AO248" s="7" t="s">
        <v>3740</v>
      </c>
      <c r="AP248" s="18">
        <f>IF(ISERROR(SEARCH("NO",Tabella1[[#This Row],[Cardiopatia ischemica]],1)),1,0)</f>
        <v>0</v>
      </c>
      <c r="AQ248" s="17">
        <f>IF(ISERROR(SEARCH("sconosciuto",Tabella1[[#This Row],[Cardiopatia ischemica]],1)),0,1)</f>
        <v>0</v>
      </c>
      <c r="AR248" s="7" t="s">
        <v>3754</v>
      </c>
      <c r="AS248" s="22">
        <f>IF(ISERROR(SEARCH("nega",Tabella1[[#This Row],[Artimie]],1)),0,1)</f>
        <v>1</v>
      </c>
      <c r="AT248" s="7" t="s">
        <v>25</v>
      </c>
      <c r="AU248" s="22">
        <f>IF(ISERROR(SEARCH("nega",Tabella1[[#This Row],[Ipercolesterolemia]],1)),0,1)</f>
        <v>1</v>
      </c>
      <c r="AV248" s="22">
        <f>IF(ISERROR(SEARCH("boh",Tabella1[[#This Row],[Ipercolesterolemia]],1)),0,1)</f>
        <v>0</v>
      </c>
      <c r="AW248" s="7" t="s">
        <v>2796</v>
      </c>
      <c r="AX248" s="22">
        <f>IF(ISERROR(SEARCH("Intolleranza",Tabella1[[#This Row],[Diabete]],1)),0,1)</f>
        <v>0</v>
      </c>
      <c r="AY248" s="22">
        <f>IF(ISERROR(SEARCH("si",Tabella1[[#This Row],[Diabete]],1)),0,1)</f>
        <v>0</v>
      </c>
      <c r="AZ248" s="7" t="s">
        <v>195</v>
      </c>
      <c r="BA248" s="17">
        <f>IF(ISERROR(SEARCH("NDD",Tabella1[[#This Row],[Patologia Tiroidea]],1)),0,1)</f>
        <v>0</v>
      </c>
      <c r="BB248" s="22">
        <f>IF(ISERROR(SEARCH("TIROIDITE",Tabella1[[#This Row],[Patologia Tiroidea]],1)),0,1)</f>
        <v>0</v>
      </c>
      <c r="BC248" s="22">
        <f>IF(ISERROR(SEARCH("HASHIMOTO",Tabella1[[#This Row],[Patologia Tiroidea]],1)),0,1)</f>
        <v>0</v>
      </c>
      <c r="BD248" s="22">
        <f>IF(ISERROR(SEARCH("BASEDOW",Tabella1[[#This Row],[Patologia Tiroidea]],1)),0,1)</f>
        <v>0</v>
      </c>
      <c r="BE248" s="22">
        <f>IF(ISERROR(SEARCH("NOD",Tabella1[[#This Row],[Patologia Tiroidea]],1)),0,1)</f>
        <v>0</v>
      </c>
      <c r="BF248" s="22">
        <f>IF(ISERROR(SEARCH("GOZ",Tabella1[[#This Row],[Patologia Tiroidea]],1)),0,1)</f>
        <v>0</v>
      </c>
      <c r="BG248" s="7" t="s">
        <v>2797</v>
      </c>
      <c r="BH248" s="17">
        <f>IF(Tabella1[[#This Row],[Obesità]]="no",0,1)</f>
        <v>1</v>
      </c>
      <c r="BI248" s="7" t="s">
        <v>2798</v>
      </c>
      <c r="BJ248" s="22">
        <f>IF(ISERROR(SEARCH("nega",Tabella1[[#This Row],[Reflusso gastroesofageo]],1)),1,0)</f>
        <v>1</v>
      </c>
      <c r="BK248" s="7" t="s">
        <v>3816</v>
      </c>
      <c r="BL248" s="17">
        <f>IF(ISERROR(SEARCH("NDD",Tabella1[[#This Row],[Patologia respiratoria]],1)),0,1)</f>
        <v>0</v>
      </c>
      <c r="BM248" s="17">
        <f>IF(ISERROR(SEARCH("asma",Tabella1[[#This Row],[Patologia respiratoria]],1)),0,1)</f>
        <v>1</v>
      </c>
      <c r="BN248" s="17">
        <f>IF(ISERROR(SEARCH("BPCO",Tabella1[[#This Row],[Patologia respiratoria]],1)),0,1)</f>
        <v>0</v>
      </c>
      <c r="BO248" s="17">
        <f>IF(ISERROR(SEARCH("BRONCOPOLMONITE",Tabella1[[#This Row],[Patologia respiratoria]],1)),0,1)</f>
        <v>0</v>
      </c>
      <c r="BP248" s="17">
        <f>IF(ISERROR(SEARCH("ASMA, OSAS",Tabella1[[#This Row],[Patologia respiratoria]],1)),0,1)</f>
        <v>0</v>
      </c>
      <c r="BQ248" s="17">
        <f>IF(ISERROR(SEARCH("OSAS e BPCO",Tabella1[[#This Row],[Patologia respiratoria]],1)),0,1)</f>
        <v>0</v>
      </c>
      <c r="BR248" s="17">
        <f>IF(ISERROR(SEARCH("OSAS",Tabella1[[#This Row],[Patologia respiratoria]],1)),0,1)</f>
        <v>0</v>
      </c>
      <c r="BS248" s="7"/>
      <c r="BT248" s="7" t="s">
        <v>2799</v>
      </c>
      <c r="BU248" s="7" t="s">
        <v>2800</v>
      </c>
      <c r="BV248" s="17">
        <f>IF(ISERROR(SEARCH("ndd",Tabella1[[#This Row],[O2 terapia]],1)),0,1)</f>
        <v>0</v>
      </c>
      <c r="BW248" s="17">
        <v>0</v>
      </c>
      <c r="BX248" s="7"/>
      <c r="BY248" s="7" t="s">
        <v>2801</v>
      </c>
      <c r="BZ248" s="17">
        <v>1</v>
      </c>
      <c r="CA248" s="7" t="s">
        <v>2802</v>
      </c>
      <c r="CB248" s="17">
        <v>0</v>
      </c>
      <c r="CC248" s="7" t="s">
        <v>2803</v>
      </c>
      <c r="CD248" s="17">
        <v>1</v>
      </c>
      <c r="CE248" s="7" t="s">
        <v>2804</v>
      </c>
      <c r="CF248" s="18">
        <v>0</v>
      </c>
      <c r="CG248" s="7" t="s">
        <v>2805</v>
      </c>
      <c r="CH248" s="17">
        <v>1</v>
      </c>
      <c r="CI248" s="7" t="s">
        <v>2798</v>
      </c>
      <c r="CJ248" s="17">
        <v>1</v>
      </c>
      <c r="CK248" s="7" t="s">
        <v>2806</v>
      </c>
      <c r="CL248" s="17">
        <v>1</v>
      </c>
      <c r="CM248" s="7" t="s">
        <v>2807</v>
      </c>
      <c r="CN248" s="17">
        <v>1</v>
      </c>
      <c r="CO248" s="7" t="s">
        <v>2808</v>
      </c>
      <c r="CP248" s="18">
        <v>0</v>
      </c>
      <c r="CQ248" s="7" t="s">
        <v>54</v>
      </c>
      <c r="CR248" s="7" t="s">
        <v>2809</v>
      </c>
      <c r="CS248" s="7" t="s">
        <v>2810</v>
      </c>
      <c r="CT248" s="7" t="s">
        <v>2811</v>
      </c>
      <c r="CU248" s="7" t="s">
        <v>2812</v>
      </c>
      <c r="CV248" s="8" t="s">
        <v>2813</v>
      </c>
    </row>
    <row r="249" spans="1:100" ht="356.25">
      <c r="A249" s="1">
        <f t="shared" si="3"/>
        <v>248</v>
      </c>
      <c r="B249" s="9">
        <v>1456</v>
      </c>
      <c r="C249" s="10">
        <v>45422</v>
      </c>
      <c r="D249" s="11" t="s">
        <v>2814</v>
      </c>
      <c r="E249" s="10">
        <v>25879</v>
      </c>
      <c r="F249" s="29">
        <f ca="1">_xlfn.DAYS(NOW(),Tabella1[[#This Row],[Data di Nascita]])/365.25</f>
        <v>54.740588637919231</v>
      </c>
      <c r="G249" s="11" t="s">
        <v>2815</v>
      </c>
      <c r="H249" s="11" t="s">
        <v>2816</v>
      </c>
      <c r="I249" s="11" t="s">
        <v>2293</v>
      </c>
      <c r="J249" s="11"/>
      <c r="K249" s="11" t="s">
        <v>706</v>
      </c>
      <c r="L249" s="18">
        <f>IF(ISERROR(SEARCH("EX",Tabella1[[#This Row],[Attività lavorativa]],1)),0,1)</f>
        <v>0</v>
      </c>
      <c r="M249" s="18"/>
      <c r="N249" s="18"/>
      <c r="O249" s="18"/>
      <c r="P249" s="18"/>
      <c r="Q249" s="18"/>
      <c r="R249" s="18"/>
      <c r="S249" s="18"/>
      <c r="T249" s="17">
        <f>IF(ISERROR(SEARCH("NDD",Tabella1[[#This Row],[Attività lavorativa]],1)),0,1)</f>
        <v>0</v>
      </c>
      <c r="U249" s="11" t="s">
        <v>195</v>
      </c>
      <c r="V249" s="22"/>
      <c r="W249" s="22">
        <f>IF(ISERROR(SEARCH("ex",Tabella1[[#This Row],[Fumo]],1)),0,1)</f>
        <v>0</v>
      </c>
      <c r="X249" s="22">
        <f>IF(ISERROR(SEARCH("no",Tabella1[[#This Row],[Fumo]],1)),0,1)</f>
        <v>1</v>
      </c>
      <c r="Y249" s="11" t="s">
        <v>2817</v>
      </c>
      <c r="Z249" s="18">
        <f>IF(ISERROR(SEARCH("NDD",Tabella1[[#This Row],[Bevitore alcolici]],1)),0,1)</f>
        <v>0</v>
      </c>
      <c r="AA249" s="17">
        <f>IF(ISERROR(SEARCH("raro",Tabella1[[#This Row],[Bevitore alcolici]],1)),0,1)</f>
        <v>0</v>
      </c>
      <c r="AB249" s="17">
        <f>IF(ISERROR(SEARCH("saltuariamente",Tabella1[[#This Row],[Bevitore alcolici]],1)),0,1)</f>
        <v>0</v>
      </c>
      <c r="AC249" s="17">
        <f>IF(ISERROR(SEARCH("nega",Tabella1[[#This Row],[Bevitore alcolici]],1)),0,1)</f>
        <v>0</v>
      </c>
      <c r="AD249" s="17">
        <f>IF(ISERROR(SEARCH("potus",Tabella1[[#This Row],[Bevitore alcolici]],1)),0,1)</f>
        <v>0</v>
      </c>
      <c r="AE249" s="11" t="s">
        <v>5653</v>
      </c>
      <c r="AF249" s="18"/>
      <c r="AG249" s="18"/>
      <c r="AH249" s="18"/>
      <c r="AI249" s="18"/>
      <c r="AJ249" s="18"/>
      <c r="AK249" s="11" t="s">
        <v>194</v>
      </c>
      <c r="AL249" s="18">
        <f>IF(ISERROR(SEARCH("si",Tabella1[[#This Row],[Patente di guida]],1)),0,1)</f>
        <v>1</v>
      </c>
      <c r="AM249" s="11" t="s">
        <v>195</v>
      </c>
      <c r="AN249" s="18">
        <f>IF(ISERROR(SEARCH("no",Tabella1[[#This Row],[Ipertensione]],1)),0,1)</f>
        <v>1</v>
      </c>
      <c r="AO249" s="11" t="s">
        <v>382</v>
      </c>
      <c r="AP249" s="18">
        <f>IF(ISERROR(SEARCH("NO",Tabella1[[#This Row],[Cardiopatia ischemica]],1)),1,0)</f>
        <v>0</v>
      </c>
      <c r="AQ249" s="17">
        <f>IF(ISERROR(SEARCH("sconosciuto",Tabella1[[#This Row],[Cardiopatia ischemica]],1)),0,1)</f>
        <v>0</v>
      </c>
      <c r="AR249" s="11" t="s">
        <v>25</v>
      </c>
      <c r="AS249" s="18">
        <f>IF(ISERROR(SEARCH("nega",Tabella1[[#This Row],[Artimie]],1)),0,1)</f>
        <v>1</v>
      </c>
      <c r="AT249" s="11" t="s">
        <v>25</v>
      </c>
      <c r="AU249" s="18">
        <f>IF(ISERROR(SEARCH("nega",Tabella1[[#This Row],[Ipercolesterolemia]],1)),0,1)</f>
        <v>1</v>
      </c>
      <c r="AV249" s="18">
        <f>IF(ISERROR(SEARCH("boh",Tabella1[[#This Row],[Ipercolesterolemia]],1)),0,1)</f>
        <v>0</v>
      </c>
      <c r="AW249" s="11" t="s">
        <v>195</v>
      </c>
      <c r="AX249" s="18">
        <f>IF(ISERROR(SEARCH("Intolleranza",Tabella1[[#This Row],[Diabete]],1)),0,1)</f>
        <v>0</v>
      </c>
      <c r="AY249" s="18">
        <f>IF(ISERROR(SEARCH("si",Tabella1[[#This Row],[Diabete]],1)),0,1)</f>
        <v>0</v>
      </c>
      <c r="AZ249" s="11" t="s">
        <v>3793</v>
      </c>
      <c r="BA249" s="18">
        <f>IF(ISERROR(SEARCH("NDD",Tabella1[[#This Row],[Patologia Tiroidea]],1)),0,1)</f>
        <v>0</v>
      </c>
      <c r="BB249" s="18">
        <f>IF(ISERROR(SEARCH("TIROIDITE",Tabella1[[#This Row],[Patologia Tiroidea]],1)),0,1)</f>
        <v>0</v>
      </c>
      <c r="BC249" s="18">
        <f>IF(ISERROR(SEARCH("HASHIMOTO",Tabella1[[#This Row],[Patologia Tiroidea]],1)),0,1)</f>
        <v>0</v>
      </c>
      <c r="BD249" s="18">
        <f>IF(ISERROR(SEARCH("BASEDOW",Tabella1[[#This Row],[Patologia Tiroidea]],1)),0,1)</f>
        <v>0</v>
      </c>
      <c r="BE249" s="18">
        <f>IF(ISERROR(SEARCH("NOD",Tabella1[[#This Row],[Patologia Tiroidea]],1)),0,1)</f>
        <v>1</v>
      </c>
      <c r="BF249" s="18">
        <f>IF(ISERROR(SEARCH("GOZ",Tabella1[[#This Row],[Patologia Tiroidea]],1)),0,1)</f>
        <v>0</v>
      </c>
      <c r="BG249" s="11" t="s">
        <v>194</v>
      </c>
      <c r="BH249" s="18">
        <f>IF(Tabella1[[#This Row],[Obesità]]="no",0,1)</f>
        <v>1</v>
      </c>
      <c r="BI249" s="11" t="s">
        <v>387</v>
      </c>
      <c r="BJ249" s="22">
        <f>IF(ISERROR(SEARCH("nega",Tabella1[[#This Row],[Reflusso gastroesofageo]],1)),1,0)</f>
        <v>1</v>
      </c>
      <c r="BK249" s="11" t="s">
        <v>3827</v>
      </c>
      <c r="BL249" s="18">
        <f>IF(ISERROR(SEARCH("NDD",Tabella1[[#This Row],[Patologia respiratoria]],1)),0,1)</f>
        <v>0</v>
      </c>
      <c r="BM249" s="18">
        <f>IF(ISERROR(SEARCH("asma",Tabella1[[#This Row],[Patologia respiratoria]],1)),0,1)</f>
        <v>0</v>
      </c>
      <c r="BN249" s="18">
        <f>IF(ISERROR(SEARCH("BPCO",Tabella1[[#This Row],[Patologia respiratoria]],1)),0,1)</f>
        <v>0</v>
      </c>
      <c r="BO249" s="18">
        <f>IF(ISERROR(SEARCH("BRONCOPOLMONITE",Tabella1[[#This Row],[Patologia respiratoria]],1)),0,1)</f>
        <v>1</v>
      </c>
      <c r="BP249" s="18">
        <f>IF(ISERROR(SEARCH("ASMA, OSAS",Tabella1[[#This Row],[Patologia respiratoria]],1)),0,1)</f>
        <v>0</v>
      </c>
      <c r="BQ249" s="18">
        <f>IF(ISERROR(SEARCH("OSAS e BPCO",Tabella1[[#This Row],[Patologia respiratoria]],1)),0,1)</f>
        <v>0</v>
      </c>
      <c r="BR249" s="18">
        <f>IF(ISERROR(SEARCH("OSAS",Tabella1[[#This Row],[Patologia respiratoria]],1)),0,1)</f>
        <v>0</v>
      </c>
      <c r="BS249" s="11" t="s">
        <v>2818</v>
      </c>
      <c r="BT249" s="11" t="s">
        <v>2819</v>
      </c>
      <c r="BU249" s="7" t="s">
        <v>5477</v>
      </c>
      <c r="BV249" s="17">
        <f>IF(ISERROR(SEARCH("ndd",Tabella1[[#This Row],[O2 terapia]],1)),0,1)</f>
        <v>1</v>
      </c>
      <c r="BW249" s="18"/>
      <c r="BX249" s="11"/>
      <c r="BY249" s="11" t="s">
        <v>195</v>
      </c>
      <c r="BZ249" s="18">
        <v>0</v>
      </c>
      <c r="CA249" s="11" t="s">
        <v>2820</v>
      </c>
      <c r="CB249" s="17">
        <v>1</v>
      </c>
      <c r="CC249" s="11" t="s">
        <v>8</v>
      </c>
      <c r="CD249" s="18">
        <v>0</v>
      </c>
      <c r="CE249" s="11" t="s">
        <v>8</v>
      </c>
      <c r="CF249" s="18">
        <v>0</v>
      </c>
      <c r="CG249" s="11" t="s">
        <v>2821</v>
      </c>
      <c r="CH249" s="17">
        <v>1</v>
      </c>
      <c r="CI249" s="11" t="s">
        <v>387</v>
      </c>
      <c r="CJ249" s="17">
        <v>1</v>
      </c>
      <c r="CK249" s="11" t="s">
        <v>2822</v>
      </c>
      <c r="CL249" s="17">
        <v>1</v>
      </c>
      <c r="CM249" s="11" t="s">
        <v>2823</v>
      </c>
      <c r="CN249" s="17">
        <v>1</v>
      </c>
      <c r="CO249" s="11" t="s">
        <v>2824</v>
      </c>
      <c r="CP249" s="17">
        <v>1</v>
      </c>
      <c r="CQ249" s="11" t="s">
        <v>103</v>
      </c>
      <c r="CR249" s="11" t="s">
        <v>2825</v>
      </c>
      <c r="CS249" s="11" t="s">
        <v>37</v>
      </c>
      <c r="CT249" s="11" t="s">
        <v>736</v>
      </c>
      <c r="CU249" s="11" t="s">
        <v>2826</v>
      </c>
      <c r="CV249" s="12" t="s">
        <v>2827</v>
      </c>
    </row>
    <row r="250" spans="1:100" ht="356.25">
      <c r="A250" s="1">
        <f t="shared" si="3"/>
        <v>249</v>
      </c>
      <c r="B250" s="5">
        <v>1464</v>
      </c>
      <c r="C250" s="6">
        <v>45427</v>
      </c>
      <c r="D250" s="7" t="s">
        <v>2828</v>
      </c>
      <c r="E250" s="6">
        <v>24671</v>
      </c>
      <c r="F250" s="29">
        <f ca="1">_xlfn.DAYS(NOW(),Tabella1[[#This Row],[Data di Nascita]])/365.25</f>
        <v>58.047912388774812</v>
      </c>
      <c r="G250" s="7" t="s">
        <v>2829</v>
      </c>
      <c r="H250" s="7" t="s">
        <v>2830</v>
      </c>
      <c r="I250" s="7" t="s">
        <v>2293</v>
      </c>
      <c r="J250" s="7" t="s">
        <v>2831</v>
      </c>
      <c r="K250" s="7" t="s">
        <v>2832</v>
      </c>
      <c r="L250" s="17">
        <f>IF(ISERROR(SEARCH("EX",Tabella1[[#This Row],[Attività lavorativa]],1)),0,1)</f>
        <v>0</v>
      </c>
      <c r="M250" s="17"/>
      <c r="N250" s="17"/>
      <c r="O250" s="17"/>
      <c r="P250" s="17"/>
      <c r="Q250" s="17"/>
      <c r="R250" s="17"/>
      <c r="S250" s="17"/>
      <c r="T250" s="17">
        <f>IF(ISERROR(SEARCH("NDD",Tabella1[[#This Row],[Attività lavorativa]],1)),0,1)</f>
        <v>0</v>
      </c>
      <c r="U250" s="7" t="s">
        <v>2833</v>
      </c>
      <c r="V250" s="22">
        <v>5</v>
      </c>
      <c r="W250" s="22">
        <f>IF(ISERROR(SEARCH("ex",Tabella1[[#This Row],[Fumo]],1)),0,1)</f>
        <v>1</v>
      </c>
      <c r="X250" s="22">
        <f>IF(ISERROR(SEARCH("no",Tabella1[[#This Row],[Fumo]],1)),0,1)</f>
        <v>0</v>
      </c>
      <c r="Y250" s="7" t="s">
        <v>25</v>
      </c>
      <c r="Z250" s="17">
        <f>IF(ISERROR(SEARCH("NDD",Tabella1[[#This Row],[Bevitore alcolici]],1)),0,1)</f>
        <v>0</v>
      </c>
      <c r="AA250" s="17">
        <f>IF(ISERROR(SEARCH("raro",Tabella1[[#This Row],[Bevitore alcolici]],1)),0,1)</f>
        <v>0</v>
      </c>
      <c r="AB250" s="17">
        <f>IF(ISERROR(SEARCH("saltuariamente",Tabella1[[#This Row],[Bevitore alcolici]],1)),0,1)</f>
        <v>0</v>
      </c>
      <c r="AC250" s="17">
        <f>IF(ISERROR(SEARCH("nega",Tabella1[[#This Row],[Bevitore alcolici]],1)),0,1)</f>
        <v>1</v>
      </c>
      <c r="AD250" s="17">
        <f>IF(ISERROR(SEARCH("potus",Tabella1[[#This Row],[Bevitore alcolici]],1)),0,1)</f>
        <v>0</v>
      </c>
      <c r="AE250" s="7" t="s">
        <v>5666</v>
      </c>
      <c r="AF250" s="17"/>
      <c r="AG250" s="18">
        <v>1</v>
      </c>
      <c r="AH250" s="18"/>
      <c r="AI250" s="18"/>
      <c r="AJ250" s="18"/>
      <c r="AK250" s="7" t="s">
        <v>194</v>
      </c>
      <c r="AL250" s="17">
        <f>IF(ISERROR(SEARCH("si",Tabella1[[#This Row],[Patente di guida]],1)),0,1)</f>
        <v>1</v>
      </c>
      <c r="AM250" s="7" t="s">
        <v>28</v>
      </c>
      <c r="AN250" s="17">
        <f>IF(ISERROR(SEARCH("no",Tabella1[[#This Row],[Ipertensione]],1)),0,1)</f>
        <v>0</v>
      </c>
      <c r="AO250" s="7" t="s">
        <v>382</v>
      </c>
      <c r="AP250" s="18">
        <f>IF(ISERROR(SEARCH("NO",Tabella1[[#This Row],[Cardiopatia ischemica]],1)),1,0)</f>
        <v>0</v>
      </c>
      <c r="AQ250" s="17">
        <f>IF(ISERROR(SEARCH("sconosciuto",Tabella1[[#This Row],[Cardiopatia ischemica]],1)),0,1)</f>
        <v>0</v>
      </c>
      <c r="AR250" s="7" t="s">
        <v>25</v>
      </c>
      <c r="AS250" s="17">
        <f>IF(ISERROR(SEARCH("nega",Tabella1[[#This Row],[Artimie]],1)),0,1)</f>
        <v>1</v>
      </c>
      <c r="AT250" s="7" t="s">
        <v>25</v>
      </c>
      <c r="AU250" s="17">
        <f>IF(ISERROR(SEARCH("nega",Tabella1[[#This Row],[Ipercolesterolemia]],1)),0,1)</f>
        <v>1</v>
      </c>
      <c r="AV250" s="17">
        <f>IF(ISERROR(SEARCH("boh",Tabella1[[#This Row],[Ipercolesterolemia]],1)),0,1)</f>
        <v>0</v>
      </c>
      <c r="AW250" s="7" t="s">
        <v>195</v>
      </c>
      <c r="AX250" s="17">
        <f>IF(ISERROR(SEARCH("Intolleranza",Tabella1[[#This Row],[Diabete]],1)),0,1)</f>
        <v>0</v>
      </c>
      <c r="AY250" s="17">
        <f>IF(ISERROR(SEARCH("si",Tabella1[[#This Row],[Diabete]],1)),0,1)</f>
        <v>0</v>
      </c>
      <c r="AZ250" s="7" t="s">
        <v>195</v>
      </c>
      <c r="BA250" s="17">
        <f>IF(ISERROR(SEARCH("NDD",Tabella1[[#This Row],[Patologia Tiroidea]],1)),0,1)</f>
        <v>0</v>
      </c>
      <c r="BB250" s="17">
        <f>IF(ISERROR(SEARCH("TIROIDITE",Tabella1[[#This Row],[Patologia Tiroidea]],1)),0,1)</f>
        <v>0</v>
      </c>
      <c r="BC250" s="17">
        <f>IF(ISERROR(SEARCH("HASHIMOTO",Tabella1[[#This Row],[Patologia Tiroidea]],1)),0,1)</f>
        <v>0</v>
      </c>
      <c r="BD250" s="17">
        <f>IF(ISERROR(SEARCH("BASEDOW",Tabella1[[#This Row],[Patologia Tiroidea]],1)),0,1)</f>
        <v>0</v>
      </c>
      <c r="BE250" s="17">
        <f>IF(ISERROR(SEARCH("NOD",Tabella1[[#This Row],[Patologia Tiroidea]],1)),0,1)</f>
        <v>0</v>
      </c>
      <c r="BF250" s="17">
        <f>IF(ISERROR(SEARCH("GOZ",Tabella1[[#This Row],[Patologia Tiroidea]],1)),0,1)</f>
        <v>0</v>
      </c>
      <c r="BG250" s="7" t="s">
        <v>8</v>
      </c>
      <c r="BH250" s="17">
        <f>IF(Tabella1[[#This Row],[Obesità]]="no",0,1)</f>
        <v>0</v>
      </c>
      <c r="BI250" s="7" t="s">
        <v>2721</v>
      </c>
      <c r="BJ250" s="22">
        <f>IF(ISERROR(SEARCH("nega",Tabella1[[#This Row],[Reflusso gastroesofageo]],1)),1,0)</f>
        <v>1</v>
      </c>
      <c r="BK250" s="7" t="s">
        <v>3817</v>
      </c>
      <c r="BL250" s="17">
        <f>IF(ISERROR(SEARCH("NDD",Tabella1[[#This Row],[Patologia respiratoria]],1)),0,1)</f>
        <v>0</v>
      </c>
      <c r="BM250" s="17">
        <f>IF(ISERROR(SEARCH("asma",Tabella1[[#This Row],[Patologia respiratoria]],1)),0,1)</f>
        <v>1</v>
      </c>
      <c r="BN250" s="17">
        <f>IF(ISERROR(SEARCH("BPCO",Tabella1[[#This Row],[Patologia respiratoria]],1)),0,1)</f>
        <v>0</v>
      </c>
      <c r="BO250" s="17">
        <f>IF(ISERROR(SEARCH("BRONCOPOLMONITE",Tabella1[[#This Row],[Patologia respiratoria]],1)),0,1)</f>
        <v>0</v>
      </c>
      <c r="BP250" s="17">
        <f>IF(ISERROR(SEARCH("ASMA, OSAS",Tabella1[[#This Row],[Patologia respiratoria]],1)),0,1)</f>
        <v>0</v>
      </c>
      <c r="BQ250" s="17">
        <f>IF(ISERROR(SEARCH("OSAS e BPCO",Tabella1[[#This Row],[Patologia respiratoria]],1)),0,1)</f>
        <v>0</v>
      </c>
      <c r="BR250" s="17">
        <f>IF(ISERROR(SEARCH("OSAS",Tabella1[[#This Row],[Patologia respiratoria]],1)),0,1)</f>
        <v>0</v>
      </c>
      <c r="BS250" s="7"/>
      <c r="BT250" s="7" t="s">
        <v>2834</v>
      </c>
      <c r="BU250" s="7" t="s">
        <v>5477</v>
      </c>
      <c r="BV250" s="17">
        <f>IF(ISERROR(SEARCH("ndd",Tabella1[[#This Row],[O2 terapia]],1)),0,1)</f>
        <v>1</v>
      </c>
      <c r="BW250" s="17"/>
      <c r="BX250" s="7"/>
      <c r="BY250" s="7" t="s">
        <v>195</v>
      </c>
      <c r="BZ250" s="18">
        <v>0</v>
      </c>
      <c r="CA250" s="7" t="s">
        <v>2835</v>
      </c>
      <c r="CB250" s="17">
        <v>1</v>
      </c>
      <c r="CC250" s="7" t="s">
        <v>2836</v>
      </c>
      <c r="CD250" s="17">
        <v>1</v>
      </c>
      <c r="CE250" s="7" t="s">
        <v>195</v>
      </c>
      <c r="CF250" s="18">
        <v>0</v>
      </c>
      <c r="CG250" s="7" t="s">
        <v>2837</v>
      </c>
      <c r="CH250" s="17">
        <v>1</v>
      </c>
      <c r="CI250" s="7" t="s">
        <v>194</v>
      </c>
      <c r="CJ250" s="17">
        <v>1</v>
      </c>
      <c r="CK250" s="7" t="s">
        <v>2543</v>
      </c>
      <c r="CL250" s="17">
        <v>1</v>
      </c>
      <c r="CM250" s="7" t="s">
        <v>195</v>
      </c>
      <c r="CN250" s="17">
        <v>0</v>
      </c>
      <c r="CO250" s="7" t="s">
        <v>1036</v>
      </c>
      <c r="CP250" s="17">
        <v>1</v>
      </c>
      <c r="CQ250" s="7" t="s">
        <v>368</v>
      </c>
      <c r="CR250" s="7" t="s">
        <v>318</v>
      </c>
      <c r="CS250" s="7" t="s">
        <v>37</v>
      </c>
      <c r="CT250" s="7" t="s">
        <v>2221</v>
      </c>
      <c r="CU250" s="7" t="s">
        <v>2838</v>
      </c>
      <c r="CV250" s="8" t="s">
        <v>2839</v>
      </c>
    </row>
    <row r="251" spans="1:100" ht="270.75">
      <c r="A251" s="1">
        <f t="shared" si="3"/>
        <v>250</v>
      </c>
      <c r="B251" s="9">
        <v>1465</v>
      </c>
      <c r="C251" s="10">
        <v>45428</v>
      </c>
      <c r="D251" s="11" t="s">
        <v>2840</v>
      </c>
      <c r="E251" s="10">
        <v>27195</v>
      </c>
      <c r="F251" s="29">
        <f ca="1">_xlfn.DAYS(NOW(),Tabella1[[#This Row],[Data di Nascita]])/365.25</f>
        <v>51.137577002053391</v>
      </c>
      <c r="G251" s="11" t="s">
        <v>2841</v>
      </c>
      <c r="H251" s="11" t="s">
        <v>2842</v>
      </c>
      <c r="I251" s="11" t="s">
        <v>2293</v>
      </c>
      <c r="J251" s="11" t="s">
        <v>2843</v>
      </c>
      <c r="K251" s="11" t="s">
        <v>2844</v>
      </c>
      <c r="L251" s="18">
        <f>IF(ISERROR(SEARCH("EX",Tabella1[[#This Row],[Attività lavorativa]],1)),0,1)</f>
        <v>0</v>
      </c>
      <c r="M251" s="18"/>
      <c r="N251" s="18"/>
      <c r="O251" s="18">
        <v>1</v>
      </c>
      <c r="P251" s="18"/>
      <c r="Q251" s="18"/>
      <c r="R251" s="18"/>
      <c r="S251" s="18"/>
      <c r="T251" s="17">
        <f>IF(ISERROR(SEARCH("NDD",Tabella1[[#This Row],[Attività lavorativa]],1)),0,1)</f>
        <v>0</v>
      </c>
      <c r="U251" s="11" t="s">
        <v>2845</v>
      </c>
      <c r="V251" s="22"/>
      <c r="W251" s="22">
        <f>IF(ISERROR(SEARCH("ex",Tabella1[[#This Row],[Fumo]],1)),0,1)</f>
        <v>1</v>
      </c>
      <c r="X251" s="22">
        <f>IF(ISERROR(SEARCH("no",Tabella1[[#This Row],[Fumo]],1)),0,1)</f>
        <v>0</v>
      </c>
      <c r="Y251" s="11" t="s">
        <v>26</v>
      </c>
      <c r="Z251" s="18">
        <f>IF(ISERROR(SEARCH("NDD",Tabella1[[#This Row],[Bevitore alcolici]],1)),0,1)</f>
        <v>0</v>
      </c>
      <c r="AA251" s="17">
        <f>IF(ISERROR(SEARCH("raro",Tabella1[[#This Row],[Bevitore alcolici]],1)),0,1)</f>
        <v>0</v>
      </c>
      <c r="AB251" s="17">
        <f>IF(ISERROR(SEARCH("saltuariamente",Tabella1[[#This Row],[Bevitore alcolici]],1)),0,1)</f>
        <v>1</v>
      </c>
      <c r="AC251" s="17">
        <f>IF(ISERROR(SEARCH("nega",Tabella1[[#This Row],[Bevitore alcolici]],1)),0,1)</f>
        <v>0</v>
      </c>
      <c r="AD251" s="17">
        <f>IF(ISERROR(SEARCH("potus",Tabella1[[#This Row],[Bevitore alcolici]],1)),0,1)</f>
        <v>0</v>
      </c>
      <c r="AE251" s="11" t="s">
        <v>5680</v>
      </c>
      <c r="AF251" s="18"/>
      <c r="AG251" s="18">
        <v>1</v>
      </c>
      <c r="AH251" s="18"/>
      <c r="AI251" s="18"/>
      <c r="AJ251" s="18"/>
      <c r="AK251" s="11" t="s">
        <v>195</v>
      </c>
      <c r="AL251" s="18">
        <f>IF(ISERROR(SEARCH("si",Tabella1[[#This Row],[Patente di guida]],1)),0,1)</f>
        <v>0</v>
      </c>
      <c r="AM251" s="11" t="s">
        <v>28</v>
      </c>
      <c r="AN251" s="18">
        <f>IF(ISERROR(SEARCH("no",Tabella1[[#This Row],[Ipertensione]],1)),0,1)</f>
        <v>0</v>
      </c>
      <c r="AO251" s="11" t="s">
        <v>3741</v>
      </c>
      <c r="AP251" s="18">
        <f>IF(ISERROR(SEARCH("NO",Tabella1[[#This Row],[Cardiopatia ischemica]],1)),1,0)</f>
        <v>0</v>
      </c>
      <c r="AQ251" s="17">
        <f>IF(ISERROR(SEARCH("sconosciuto",Tabella1[[#This Row],[Cardiopatia ischemica]],1)),0,1)</f>
        <v>0</v>
      </c>
      <c r="AR251" s="11" t="s">
        <v>25</v>
      </c>
      <c r="AS251" s="18">
        <f>IF(ISERROR(SEARCH("nega",Tabella1[[#This Row],[Artimie]],1)),0,1)</f>
        <v>1</v>
      </c>
      <c r="AT251" s="11" t="s">
        <v>25</v>
      </c>
      <c r="AU251" s="18">
        <f>IF(ISERROR(SEARCH("nega",Tabella1[[#This Row],[Ipercolesterolemia]],1)),0,1)</f>
        <v>1</v>
      </c>
      <c r="AV251" s="18">
        <f>IF(ISERROR(SEARCH("boh",Tabella1[[#This Row],[Ipercolesterolemia]],1)),0,1)</f>
        <v>0</v>
      </c>
      <c r="AW251" s="11" t="s">
        <v>195</v>
      </c>
      <c r="AX251" s="18">
        <f>IF(ISERROR(SEARCH("Intolleranza",Tabella1[[#This Row],[Diabete]],1)),0,1)</f>
        <v>0</v>
      </c>
      <c r="AY251" s="18">
        <f>IF(ISERROR(SEARCH("si",Tabella1[[#This Row],[Diabete]],1)),0,1)</f>
        <v>0</v>
      </c>
      <c r="AZ251" s="11" t="s">
        <v>194</v>
      </c>
      <c r="BA251" s="18">
        <f>IF(ISERROR(SEARCH("NDD",Tabella1[[#This Row],[Patologia Tiroidea]],1)),0,1)</f>
        <v>0</v>
      </c>
      <c r="BB251" s="18">
        <f>IF(ISERROR(SEARCH("TIROIDITE",Tabella1[[#This Row],[Patologia Tiroidea]],1)),0,1)</f>
        <v>0</v>
      </c>
      <c r="BC251" s="18">
        <f>IF(ISERROR(SEARCH("HASHIMOTO",Tabella1[[#This Row],[Patologia Tiroidea]],1)),0,1)</f>
        <v>0</v>
      </c>
      <c r="BD251" s="18">
        <f>IF(ISERROR(SEARCH("BASEDOW",Tabella1[[#This Row],[Patologia Tiroidea]],1)),0,1)</f>
        <v>0</v>
      </c>
      <c r="BE251" s="18">
        <f>IF(ISERROR(SEARCH("NOD",Tabella1[[#This Row],[Patologia Tiroidea]],1)),0,1)</f>
        <v>0</v>
      </c>
      <c r="BF251" s="18">
        <f>IF(ISERROR(SEARCH("GOZ",Tabella1[[#This Row],[Patologia Tiroidea]],1)),0,1)</f>
        <v>0</v>
      </c>
      <c r="BG251" s="11" t="s">
        <v>194</v>
      </c>
      <c r="BH251" s="18">
        <f>IF(Tabella1[[#This Row],[Obesità]]="no",0,1)</f>
        <v>1</v>
      </c>
      <c r="BI251" s="11" t="s">
        <v>25</v>
      </c>
      <c r="BJ251" s="22">
        <f>IF(ISERROR(SEARCH("nega",Tabella1[[#This Row],[Reflusso gastroesofageo]],1)),1,0)</f>
        <v>0</v>
      </c>
      <c r="BK251" s="11" t="s">
        <v>2846</v>
      </c>
      <c r="BL251" s="18">
        <f>IF(ISERROR(SEARCH("NDD",Tabella1[[#This Row],[Patologia respiratoria]],1)),0,1)</f>
        <v>0</v>
      </c>
      <c r="BM251" s="18">
        <f>IF(ISERROR(SEARCH("asma",Tabella1[[#This Row],[Patologia respiratoria]],1)),0,1)</f>
        <v>0</v>
      </c>
      <c r="BN251" s="18">
        <f>IF(ISERROR(SEARCH("BPCO",Tabella1[[#This Row],[Patologia respiratoria]],1)),0,1)</f>
        <v>0</v>
      </c>
      <c r="BO251" s="18">
        <f>IF(ISERROR(SEARCH("BRONCOPOLMONITE",Tabella1[[#This Row],[Patologia respiratoria]],1)),0,1)</f>
        <v>0</v>
      </c>
      <c r="BP251" s="18">
        <f>IF(ISERROR(SEARCH("ASMA, OSAS",Tabella1[[#This Row],[Patologia respiratoria]],1)),0,1)</f>
        <v>0</v>
      </c>
      <c r="BQ251" s="18">
        <f>IF(ISERROR(SEARCH("OSAS e BPCO",Tabella1[[#This Row],[Patologia respiratoria]],1)),0,1)</f>
        <v>0</v>
      </c>
      <c r="BR251" s="18">
        <f>IF(ISERROR(SEARCH("OSAS",Tabella1[[#This Row],[Patologia respiratoria]],1)),0,1)</f>
        <v>0</v>
      </c>
      <c r="BS251" s="11"/>
      <c r="BT251" s="11" t="s">
        <v>2847</v>
      </c>
      <c r="BU251" s="7" t="s">
        <v>5477</v>
      </c>
      <c r="BV251" s="17">
        <f>IF(ISERROR(SEARCH("ndd",Tabella1[[#This Row],[O2 terapia]],1)),0,1)</f>
        <v>1</v>
      </c>
      <c r="BW251" s="18"/>
      <c r="BX251" s="11"/>
      <c r="BY251" s="11" t="s">
        <v>387</v>
      </c>
      <c r="BZ251" s="17">
        <v>1</v>
      </c>
      <c r="CA251" s="11" t="s">
        <v>2848</v>
      </c>
      <c r="CB251" s="17">
        <v>1</v>
      </c>
      <c r="CC251" s="11" t="s">
        <v>2849</v>
      </c>
      <c r="CD251" s="17">
        <v>1</v>
      </c>
      <c r="CE251" s="11" t="s">
        <v>309</v>
      </c>
      <c r="CF251" s="18">
        <v>0</v>
      </c>
      <c r="CG251" s="11" t="s">
        <v>2850</v>
      </c>
      <c r="CH251" s="17">
        <v>1</v>
      </c>
      <c r="CI251" s="11" t="s">
        <v>309</v>
      </c>
      <c r="CJ251" s="18">
        <v>0</v>
      </c>
      <c r="CK251" s="11" t="s">
        <v>2585</v>
      </c>
      <c r="CL251" s="17">
        <v>1</v>
      </c>
      <c r="CM251" s="11" t="s">
        <v>2851</v>
      </c>
      <c r="CN251" s="17">
        <v>1</v>
      </c>
      <c r="CO251" s="11" t="s">
        <v>387</v>
      </c>
      <c r="CP251" s="17">
        <v>1</v>
      </c>
      <c r="CQ251" s="11" t="s">
        <v>103</v>
      </c>
      <c r="CR251" s="11" t="s">
        <v>2852</v>
      </c>
      <c r="CS251" s="11" t="s">
        <v>71</v>
      </c>
      <c r="CT251" s="11" t="s">
        <v>664</v>
      </c>
      <c r="CU251" s="11" t="s">
        <v>2853</v>
      </c>
      <c r="CV251" s="12" t="s">
        <v>2854</v>
      </c>
    </row>
    <row r="252" spans="1:100" ht="356.25">
      <c r="A252" s="1">
        <f t="shared" si="3"/>
        <v>251</v>
      </c>
      <c r="B252" s="5">
        <v>1467</v>
      </c>
      <c r="C252" s="6">
        <v>45429</v>
      </c>
      <c r="D252" s="7" t="s">
        <v>2855</v>
      </c>
      <c r="E252" s="6">
        <v>28499</v>
      </c>
      <c r="F252" s="29">
        <f ca="1">_xlfn.DAYS(NOW(),Tabella1[[#This Row],[Data di Nascita]])/365.25</f>
        <v>47.567419575633132</v>
      </c>
      <c r="G252" s="7" t="s">
        <v>2856</v>
      </c>
      <c r="H252" s="7" t="s">
        <v>2857</v>
      </c>
      <c r="I252" s="7" t="s">
        <v>2293</v>
      </c>
      <c r="J252" s="7" t="s">
        <v>473</v>
      </c>
      <c r="K252" s="7" t="s">
        <v>2858</v>
      </c>
      <c r="L252" s="17">
        <f>IF(ISERROR(SEARCH("EX",Tabella1[[#This Row],[Attività lavorativa]],1)),0,1)</f>
        <v>0</v>
      </c>
      <c r="M252" s="18">
        <v>1</v>
      </c>
      <c r="N252" s="17"/>
      <c r="O252" s="17"/>
      <c r="P252" s="17"/>
      <c r="Q252" s="17"/>
      <c r="R252" s="17"/>
      <c r="S252" s="17"/>
      <c r="T252" s="17">
        <f>IF(ISERROR(SEARCH("NDD",Tabella1[[#This Row],[Attività lavorativa]],1)),0,1)</f>
        <v>0</v>
      </c>
      <c r="U252" s="7" t="s">
        <v>8</v>
      </c>
      <c r="V252" s="22"/>
      <c r="W252" s="22">
        <f>IF(ISERROR(SEARCH("ex",Tabella1[[#This Row],[Fumo]],1)),0,1)</f>
        <v>0</v>
      </c>
      <c r="X252" s="22">
        <f>IF(ISERROR(SEARCH("no",Tabella1[[#This Row],[Fumo]],1)),0,1)</f>
        <v>1</v>
      </c>
      <c r="Y252" s="7" t="s">
        <v>26</v>
      </c>
      <c r="Z252" s="17">
        <f>IF(ISERROR(SEARCH("NDD",Tabella1[[#This Row],[Bevitore alcolici]],1)),0,1)</f>
        <v>0</v>
      </c>
      <c r="AA252" s="17">
        <f>IF(ISERROR(SEARCH("raro",Tabella1[[#This Row],[Bevitore alcolici]],1)),0,1)</f>
        <v>0</v>
      </c>
      <c r="AB252" s="17">
        <f>IF(ISERROR(SEARCH("saltuariamente",Tabella1[[#This Row],[Bevitore alcolici]],1)),0,1)</f>
        <v>1</v>
      </c>
      <c r="AC252" s="17">
        <f>IF(ISERROR(SEARCH("nega",Tabella1[[#This Row],[Bevitore alcolici]],1)),0,1)</f>
        <v>0</v>
      </c>
      <c r="AD252" s="17">
        <f>IF(ISERROR(SEARCH("potus",Tabella1[[#This Row],[Bevitore alcolici]],1)),0,1)</f>
        <v>0</v>
      </c>
      <c r="AE252" s="7" t="s">
        <v>5667</v>
      </c>
      <c r="AF252" s="17"/>
      <c r="AG252" s="17"/>
      <c r="AH252" s="17"/>
      <c r="AI252" s="17"/>
      <c r="AJ252" s="17"/>
      <c r="AK252" s="7" t="s">
        <v>194</v>
      </c>
      <c r="AL252" s="17">
        <f>IF(ISERROR(SEARCH("si",Tabella1[[#This Row],[Patente di guida]],1)),0,1)</f>
        <v>1</v>
      </c>
      <c r="AM252" s="7" t="s">
        <v>3721</v>
      </c>
      <c r="AN252" s="17">
        <f>IF(ISERROR(SEARCH("no",Tabella1[[#This Row],[Ipertensione]],1)),0,1)</f>
        <v>1</v>
      </c>
      <c r="AO252" s="7" t="s">
        <v>382</v>
      </c>
      <c r="AP252" s="18">
        <f>IF(ISERROR(SEARCH("NO",Tabella1[[#This Row],[Cardiopatia ischemica]],1)),1,0)</f>
        <v>0</v>
      </c>
      <c r="AQ252" s="17">
        <f>IF(ISERROR(SEARCH("sconosciuto",Tabella1[[#This Row],[Cardiopatia ischemica]],1)),0,1)</f>
        <v>0</v>
      </c>
      <c r="AR252" s="7" t="s">
        <v>25</v>
      </c>
      <c r="AS252" s="17">
        <f>IF(ISERROR(SEARCH("nega",Tabella1[[#This Row],[Artimie]],1)),0,1)</f>
        <v>1</v>
      </c>
      <c r="AT252" s="7" t="s">
        <v>28</v>
      </c>
      <c r="AU252" s="17">
        <f>IF(ISERROR(SEARCH("nega",Tabella1[[#This Row],[Ipercolesterolemia]],1)),0,1)</f>
        <v>0</v>
      </c>
      <c r="AV252" s="17">
        <f>IF(ISERROR(SEARCH("boh",Tabella1[[#This Row],[Ipercolesterolemia]],1)),0,1)</f>
        <v>0</v>
      </c>
      <c r="AW252" s="7" t="s">
        <v>195</v>
      </c>
      <c r="AX252" s="17">
        <f>IF(ISERROR(SEARCH("Intolleranza",Tabella1[[#This Row],[Diabete]],1)),0,1)</f>
        <v>0</v>
      </c>
      <c r="AY252" s="17">
        <f>IF(ISERROR(SEARCH("si",Tabella1[[#This Row],[Diabete]],1)),0,1)</f>
        <v>0</v>
      </c>
      <c r="AZ252" s="7" t="s">
        <v>8</v>
      </c>
      <c r="BA252" s="17">
        <f>IF(ISERROR(SEARCH("NDD",Tabella1[[#This Row],[Patologia Tiroidea]],1)),0,1)</f>
        <v>0</v>
      </c>
      <c r="BB252" s="17">
        <f>IF(ISERROR(SEARCH("TIROIDITE",Tabella1[[#This Row],[Patologia Tiroidea]],1)),0,1)</f>
        <v>0</v>
      </c>
      <c r="BC252" s="17">
        <f>IF(ISERROR(SEARCH("HASHIMOTO",Tabella1[[#This Row],[Patologia Tiroidea]],1)),0,1)</f>
        <v>0</v>
      </c>
      <c r="BD252" s="17">
        <f>IF(ISERROR(SEARCH("BASEDOW",Tabella1[[#This Row],[Patologia Tiroidea]],1)),0,1)</f>
        <v>0</v>
      </c>
      <c r="BE252" s="17">
        <f>IF(ISERROR(SEARCH("NOD",Tabella1[[#This Row],[Patologia Tiroidea]],1)),0,1)</f>
        <v>0</v>
      </c>
      <c r="BF252" s="17">
        <f>IF(ISERROR(SEARCH("GOZ",Tabella1[[#This Row],[Patologia Tiroidea]],1)),0,1)</f>
        <v>0</v>
      </c>
      <c r="BG252" s="7" t="s">
        <v>28</v>
      </c>
      <c r="BH252" s="17">
        <f>IF(Tabella1[[#This Row],[Obesità]]="no",0,1)</f>
        <v>1</v>
      </c>
      <c r="BI252" s="7" t="s">
        <v>25</v>
      </c>
      <c r="BJ252" s="22">
        <f>IF(ISERROR(SEARCH("nega",Tabella1[[#This Row],[Reflusso gastroesofageo]],1)),1,0)</f>
        <v>0</v>
      </c>
      <c r="BK252" s="7" t="s">
        <v>2859</v>
      </c>
      <c r="BL252" s="17">
        <f>IF(ISERROR(SEARCH("NDD",Tabella1[[#This Row],[Patologia respiratoria]],1)),0,1)</f>
        <v>0</v>
      </c>
      <c r="BM252" s="17">
        <f>IF(ISERROR(SEARCH("asma",Tabella1[[#This Row],[Patologia respiratoria]],1)),0,1)</f>
        <v>0</v>
      </c>
      <c r="BN252" s="17">
        <f>IF(ISERROR(SEARCH("BPCO",Tabella1[[#This Row],[Patologia respiratoria]],1)),0,1)</f>
        <v>0</v>
      </c>
      <c r="BO252" s="17">
        <f>IF(ISERROR(SEARCH("BRONCOPOLMONITE",Tabella1[[#This Row],[Patologia respiratoria]],1)),0,1)</f>
        <v>0</v>
      </c>
      <c r="BP252" s="17">
        <f>IF(ISERROR(SEARCH("ASMA, OSAS",Tabella1[[#This Row],[Patologia respiratoria]],1)),0,1)</f>
        <v>0</v>
      </c>
      <c r="BQ252" s="17">
        <f>IF(ISERROR(SEARCH("OSAS e BPCO",Tabella1[[#This Row],[Patologia respiratoria]],1)),0,1)</f>
        <v>0</v>
      </c>
      <c r="BR252" s="17">
        <f>IF(ISERROR(SEARCH("OSAS",Tabella1[[#This Row],[Patologia respiratoria]],1)),0,1)</f>
        <v>0</v>
      </c>
      <c r="BS252" s="7"/>
      <c r="BT252" s="7" t="s">
        <v>2860</v>
      </c>
      <c r="BU252" s="7" t="s">
        <v>5477</v>
      </c>
      <c r="BV252" s="17">
        <f>IF(ISERROR(SEARCH("ndd",Tabella1[[#This Row],[O2 terapia]],1)),0,1)</f>
        <v>1</v>
      </c>
      <c r="BW252" s="17"/>
      <c r="BX252" s="7"/>
      <c r="BY252" s="7" t="s">
        <v>195</v>
      </c>
      <c r="BZ252" s="18">
        <v>0</v>
      </c>
      <c r="CA252" s="7" t="s">
        <v>2861</v>
      </c>
      <c r="CB252" s="17">
        <v>1</v>
      </c>
      <c r="CC252" s="7" t="s">
        <v>2862</v>
      </c>
      <c r="CD252" s="17">
        <v>1</v>
      </c>
      <c r="CE252" s="7" t="s">
        <v>25</v>
      </c>
      <c r="CF252" s="18">
        <v>0</v>
      </c>
      <c r="CG252" s="7" t="s">
        <v>1036</v>
      </c>
      <c r="CH252" s="17">
        <v>1</v>
      </c>
      <c r="CI252" s="7" t="s">
        <v>195</v>
      </c>
      <c r="CJ252" s="18">
        <v>0</v>
      </c>
      <c r="CK252" s="7" t="s">
        <v>2530</v>
      </c>
      <c r="CL252" s="17">
        <v>1</v>
      </c>
      <c r="CM252" s="7" t="s">
        <v>194</v>
      </c>
      <c r="CN252" s="17">
        <v>1</v>
      </c>
      <c r="CO252" s="7" t="s">
        <v>387</v>
      </c>
      <c r="CP252" s="17">
        <v>1</v>
      </c>
      <c r="CQ252" s="7" t="s">
        <v>69</v>
      </c>
      <c r="CR252" s="7" t="s">
        <v>55</v>
      </c>
      <c r="CS252" s="7" t="s">
        <v>37</v>
      </c>
      <c r="CT252" s="7" t="s">
        <v>539</v>
      </c>
      <c r="CU252" s="7" t="s">
        <v>2863</v>
      </c>
      <c r="CV252" s="8" t="s">
        <v>2864</v>
      </c>
    </row>
    <row r="253" spans="1:100" ht="356.25">
      <c r="A253" s="1">
        <f t="shared" si="3"/>
        <v>252</v>
      </c>
      <c r="B253" s="9">
        <v>1471</v>
      </c>
      <c r="C253" s="10">
        <v>45433</v>
      </c>
      <c r="D253" s="11" t="s">
        <v>2865</v>
      </c>
      <c r="E253" s="10">
        <v>19984</v>
      </c>
      <c r="F253" s="29">
        <f ca="1">_xlfn.DAYS(NOW(),Tabella1[[#This Row],[Data di Nascita]])/365.25</f>
        <v>70.880219028062967</v>
      </c>
      <c r="G253" s="11" t="s">
        <v>2866</v>
      </c>
      <c r="H253" s="11" t="s">
        <v>2867</v>
      </c>
      <c r="I253" s="11" t="s">
        <v>2293</v>
      </c>
      <c r="J253" s="11" t="s">
        <v>2868</v>
      </c>
      <c r="K253" s="11" t="s">
        <v>2869</v>
      </c>
      <c r="L253" s="18">
        <f>IF(ISERROR(SEARCH("EX",Tabella1[[#This Row],[Attività lavorativa]],1)),0,1)</f>
        <v>1</v>
      </c>
      <c r="M253" s="18"/>
      <c r="N253" s="18"/>
      <c r="O253" s="18"/>
      <c r="P253" s="18"/>
      <c r="Q253" s="18"/>
      <c r="R253" s="18"/>
      <c r="S253" s="18"/>
      <c r="T253" s="17">
        <f>IF(ISERROR(SEARCH("NDD",Tabella1[[#This Row],[Attività lavorativa]],1)),0,1)</f>
        <v>0</v>
      </c>
      <c r="U253" s="11" t="s">
        <v>2870</v>
      </c>
      <c r="V253" s="22"/>
      <c r="W253" s="22">
        <f>IF(ISERROR(SEARCH("ex",Tabella1[[#This Row],[Fumo]],1)),0,1)</f>
        <v>1</v>
      </c>
      <c r="X253" s="22">
        <f>IF(ISERROR(SEARCH("no",Tabella1[[#This Row],[Fumo]],1)),0,1)</f>
        <v>0</v>
      </c>
      <c r="Y253" s="11" t="s">
        <v>25</v>
      </c>
      <c r="Z253" s="18">
        <f>IF(ISERROR(SEARCH("NDD",Tabella1[[#This Row],[Bevitore alcolici]],1)),0,1)</f>
        <v>0</v>
      </c>
      <c r="AA253" s="17">
        <f>IF(ISERROR(SEARCH("raro",Tabella1[[#This Row],[Bevitore alcolici]],1)),0,1)</f>
        <v>0</v>
      </c>
      <c r="AB253" s="17">
        <f>IF(ISERROR(SEARCH("saltuariamente",Tabella1[[#This Row],[Bevitore alcolici]],1)),0,1)</f>
        <v>0</v>
      </c>
      <c r="AC253" s="17">
        <f>IF(ISERROR(SEARCH("nega",Tabella1[[#This Row],[Bevitore alcolici]],1)),0,1)</f>
        <v>1</v>
      </c>
      <c r="AD253" s="17">
        <f>IF(ISERROR(SEARCH("potus",Tabella1[[#This Row],[Bevitore alcolici]],1)),0,1)</f>
        <v>0</v>
      </c>
      <c r="AE253" s="11" t="s">
        <v>5695</v>
      </c>
      <c r="AF253" s="18"/>
      <c r="AG253" s="18">
        <v>1</v>
      </c>
      <c r="AH253" s="18"/>
      <c r="AI253" s="18"/>
      <c r="AJ253" s="18"/>
      <c r="AK253" s="11" t="s">
        <v>194</v>
      </c>
      <c r="AL253" s="18">
        <f>IF(ISERROR(SEARCH("si",Tabella1[[#This Row],[Patente di guida]],1)),0,1)</f>
        <v>1</v>
      </c>
      <c r="AM253" s="11" t="s">
        <v>28</v>
      </c>
      <c r="AN253" s="18">
        <f>IF(ISERROR(SEARCH("no",Tabella1[[#This Row],[Ipertensione]],1)),0,1)</f>
        <v>0</v>
      </c>
      <c r="AO253" s="11" t="s">
        <v>382</v>
      </c>
      <c r="AP253" s="18">
        <f>IF(ISERROR(SEARCH("NO",Tabella1[[#This Row],[Cardiopatia ischemica]],1)),1,0)</f>
        <v>0</v>
      </c>
      <c r="AQ253" s="17">
        <f>IF(ISERROR(SEARCH("sconosciuto",Tabella1[[#This Row],[Cardiopatia ischemica]],1)),0,1)</f>
        <v>0</v>
      </c>
      <c r="AR253" s="11" t="s">
        <v>25</v>
      </c>
      <c r="AS253" s="18">
        <f>IF(ISERROR(SEARCH("nega",Tabella1[[#This Row],[Artimie]],1)),0,1)</f>
        <v>1</v>
      </c>
      <c r="AT253" s="11" t="s">
        <v>25</v>
      </c>
      <c r="AU253" s="18">
        <f>IF(ISERROR(SEARCH("nega",Tabella1[[#This Row],[Ipercolesterolemia]],1)),0,1)</f>
        <v>1</v>
      </c>
      <c r="AV253" s="18">
        <f>IF(ISERROR(SEARCH("boh",Tabella1[[#This Row],[Ipercolesterolemia]],1)),0,1)</f>
        <v>0</v>
      </c>
      <c r="AW253" s="11" t="s">
        <v>8</v>
      </c>
      <c r="AX253" s="18">
        <f>IF(ISERROR(SEARCH("Intolleranza",Tabella1[[#This Row],[Diabete]],1)),0,1)</f>
        <v>0</v>
      </c>
      <c r="AY253" s="18">
        <f>IF(ISERROR(SEARCH("si",Tabella1[[#This Row],[Diabete]],1)),0,1)</f>
        <v>0</v>
      </c>
      <c r="AZ253" s="11" t="s">
        <v>8</v>
      </c>
      <c r="BA253" s="18">
        <f>IF(ISERROR(SEARCH("NDD",Tabella1[[#This Row],[Patologia Tiroidea]],1)),0,1)</f>
        <v>0</v>
      </c>
      <c r="BB253" s="18">
        <f>IF(ISERROR(SEARCH("TIROIDITE",Tabella1[[#This Row],[Patologia Tiroidea]],1)),0,1)</f>
        <v>0</v>
      </c>
      <c r="BC253" s="18">
        <f>IF(ISERROR(SEARCH("HASHIMOTO",Tabella1[[#This Row],[Patologia Tiroidea]],1)),0,1)</f>
        <v>0</v>
      </c>
      <c r="BD253" s="18">
        <f>IF(ISERROR(SEARCH("BASEDOW",Tabella1[[#This Row],[Patologia Tiroidea]],1)),0,1)</f>
        <v>0</v>
      </c>
      <c r="BE253" s="18">
        <f>IF(ISERROR(SEARCH("NOD",Tabella1[[#This Row],[Patologia Tiroidea]],1)),0,1)</f>
        <v>0</v>
      </c>
      <c r="BF253" s="18">
        <f>IF(ISERROR(SEARCH("GOZ",Tabella1[[#This Row],[Patologia Tiroidea]],1)),0,1)</f>
        <v>0</v>
      </c>
      <c r="BG253" s="11" t="s">
        <v>8</v>
      </c>
      <c r="BH253" s="18">
        <f>IF(Tabella1[[#This Row],[Obesità]]="no",0,1)</f>
        <v>0</v>
      </c>
      <c r="BI253" s="11" t="s">
        <v>25</v>
      </c>
      <c r="BJ253" s="22">
        <f>IF(ISERROR(SEARCH("nega",Tabella1[[#This Row],[Reflusso gastroesofageo]],1)),1,0)</f>
        <v>0</v>
      </c>
      <c r="BK253" s="11" t="s">
        <v>2871</v>
      </c>
      <c r="BL253" s="18">
        <f>IF(ISERROR(SEARCH("NDD",Tabella1[[#This Row],[Patologia respiratoria]],1)),0,1)</f>
        <v>0</v>
      </c>
      <c r="BM253" s="18">
        <f>IF(ISERROR(SEARCH("asma",Tabella1[[#This Row],[Patologia respiratoria]],1)),0,1)</f>
        <v>0</v>
      </c>
      <c r="BN253" s="18">
        <f>IF(ISERROR(SEARCH("BPCO",Tabella1[[#This Row],[Patologia respiratoria]],1)),0,1)</f>
        <v>0</v>
      </c>
      <c r="BO253" s="18">
        <f>IF(ISERROR(SEARCH("BRONCOPOLMONITE",Tabella1[[#This Row],[Patologia respiratoria]],1)),0,1)</f>
        <v>0</v>
      </c>
      <c r="BP253" s="18">
        <f>IF(ISERROR(SEARCH("ASMA, OSAS",Tabella1[[#This Row],[Patologia respiratoria]],1)),0,1)</f>
        <v>0</v>
      </c>
      <c r="BQ253" s="18">
        <f>IF(ISERROR(SEARCH("OSAS e BPCO",Tabella1[[#This Row],[Patologia respiratoria]],1)),0,1)</f>
        <v>0</v>
      </c>
      <c r="BR253" s="18">
        <f>IF(ISERROR(SEARCH("OSAS",Tabella1[[#This Row],[Patologia respiratoria]],1)),0,1)</f>
        <v>0</v>
      </c>
      <c r="BS253" s="11" t="s">
        <v>2872</v>
      </c>
      <c r="BT253" s="11" t="s">
        <v>2873</v>
      </c>
      <c r="BU253" s="7" t="s">
        <v>5477</v>
      </c>
      <c r="BV253" s="17">
        <f>IF(ISERROR(SEARCH("ndd",Tabella1[[#This Row],[O2 terapia]],1)),0,1)</f>
        <v>1</v>
      </c>
      <c r="BW253" s="18"/>
      <c r="BX253" s="11"/>
      <c r="BY253" s="11" t="s">
        <v>2874</v>
      </c>
      <c r="BZ253" s="17">
        <v>1</v>
      </c>
      <c r="CA253" s="11" t="s">
        <v>2875</v>
      </c>
      <c r="CB253" s="17">
        <v>1</v>
      </c>
      <c r="CC253" s="11" t="s">
        <v>309</v>
      </c>
      <c r="CD253" s="18">
        <v>0</v>
      </c>
      <c r="CE253" s="11" t="s">
        <v>309</v>
      </c>
      <c r="CF253" s="18">
        <v>0</v>
      </c>
      <c r="CG253" s="11" t="s">
        <v>2876</v>
      </c>
      <c r="CH253" s="17">
        <v>1</v>
      </c>
      <c r="CI253" s="11" t="s">
        <v>309</v>
      </c>
      <c r="CJ253" s="18">
        <v>0</v>
      </c>
      <c r="CK253" s="11" t="s">
        <v>195</v>
      </c>
      <c r="CL253" s="17">
        <v>0</v>
      </c>
      <c r="CM253" s="11" t="s">
        <v>2586</v>
      </c>
      <c r="CN253" s="17">
        <v>1</v>
      </c>
      <c r="CO253" s="11" t="s">
        <v>2877</v>
      </c>
      <c r="CP253" s="17">
        <v>1</v>
      </c>
      <c r="CQ253" s="11" t="s">
        <v>69</v>
      </c>
      <c r="CR253" s="11" t="s">
        <v>70</v>
      </c>
      <c r="CS253" s="11" t="s">
        <v>71</v>
      </c>
      <c r="CT253" s="11" t="s">
        <v>1372</v>
      </c>
      <c r="CU253" s="11" t="s">
        <v>2878</v>
      </c>
      <c r="CV253" s="12" t="s">
        <v>2879</v>
      </c>
    </row>
    <row r="254" spans="1:100" ht="270.75">
      <c r="A254" s="1">
        <f t="shared" si="3"/>
        <v>253</v>
      </c>
      <c r="B254" s="5">
        <v>1474</v>
      </c>
      <c r="C254" s="6">
        <v>45435</v>
      </c>
      <c r="D254" s="7" t="s">
        <v>2880</v>
      </c>
      <c r="E254" s="6">
        <v>26498</v>
      </c>
      <c r="F254" s="29">
        <f ca="1">_xlfn.DAYS(NOW(),Tabella1[[#This Row],[Data di Nascita]])/365.25</f>
        <v>53.045859000684466</v>
      </c>
      <c r="G254" s="7" t="s">
        <v>2881</v>
      </c>
      <c r="H254" s="7" t="s">
        <v>2882</v>
      </c>
      <c r="I254" s="7" t="s">
        <v>2293</v>
      </c>
      <c r="J254" s="7" t="s">
        <v>2744</v>
      </c>
      <c r="K254" s="7" t="s">
        <v>79</v>
      </c>
      <c r="L254" s="17">
        <f>IF(ISERROR(SEARCH("EX",Tabella1[[#This Row],[Attività lavorativa]],1)),0,1)</f>
        <v>0</v>
      </c>
      <c r="M254" s="17"/>
      <c r="N254" s="17"/>
      <c r="O254" s="17"/>
      <c r="P254" s="18">
        <v>1</v>
      </c>
      <c r="Q254" s="17"/>
      <c r="R254" s="17"/>
      <c r="S254" s="17"/>
      <c r="T254" s="17">
        <f>IF(ISERROR(SEARCH("NDD",Tabella1[[#This Row],[Attività lavorativa]],1)),0,1)</f>
        <v>0</v>
      </c>
      <c r="U254" s="7" t="s">
        <v>2883</v>
      </c>
      <c r="V254" s="22">
        <v>15</v>
      </c>
      <c r="W254" s="22">
        <f>IF(ISERROR(SEARCH("ex",Tabella1[[#This Row],[Fumo]],1)),0,1)</f>
        <v>1</v>
      </c>
      <c r="X254" s="22">
        <f>IF(ISERROR(SEARCH("no",Tabella1[[#This Row],[Fumo]],1)),0,1)</f>
        <v>0</v>
      </c>
      <c r="Y254" s="7" t="s">
        <v>25</v>
      </c>
      <c r="Z254" s="17">
        <f>IF(ISERROR(SEARCH("NDD",Tabella1[[#This Row],[Bevitore alcolici]],1)),0,1)</f>
        <v>0</v>
      </c>
      <c r="AA254" s="17">
        <f>IF(ISERROR(SEARCH("raro",Tabella1[[#This Row],[Bevitore alcolici]],1)),0,1)</f>
        <v>0</v>
      </c>
      <c r="AB254" s="17">
        <f>IF(ISERROR(SEARCH("saltuariamente",Tabella1[[#This Row],[Bevitore alcolici]],1)),0,1)</f>
        <v>0</v>
      </c>
      <c r="AC254" s="17">
        <f>IF(ISERROR(SEARCH("nega",Tabella1[[#This Row],[Bevitore alcolici]],1)),0,1)</f>
        <v>1</v>
      </c>
      <c r="AD254" s="17">
        <f>IF(ISERROR(SEARCH("potus",Tabella1[[#This Row],[Bevitore alcolici]],1)),0,1)</f>
        <v>0</v>
      </c>
      <c r="AE254" s="7" t="s">
        <v>5668</v>
      </c>
      <c r="AF254" s="17"/>
      <c r="AG254" s="17"/>
      <c r="AH254" s="17"/>
      <c r="AI254" s="17"/>
      <c r="AJ254" s="17"/>
      <c r="AK254" s="7" t="s">
        <v>28</v>
      </c>
      <c r="AL254" s="17">
        <f>IF(ISERROR(SEARCH("si",Tabella1[[#This Row],[Patente di guida]],1)),0,1)</f>
        <v>1</v>
      </c>
      <c r="AM254" s="7" t="s">
        <v>28</v>
      </c>
      <c r="AN254" s="17">
        <f>IF(ISERROR(SEARCH("no",Tabella1[[#This Row],[Ipertensione]],1)),0,1)</f>
        <v>0</v>
      </c>
      <c r="AO254" s="7" t="s">
        <v>382</v>
      </c>
      <c r="AP254" s="18">
        <f>IF(ISERROR(SEARCH("NO",Tabella1[[#This Row],[Cardiopatia ischemica]],1)),1,0)</f>
        <v>0</v>
      </c>
      <c r="AQ254" s="17">
        <f>IF(ISERROR(SEARCH("sconosciuto",Tabella1[[#This Row],[Cardiopatia ischemica]],1)),0,1)</f>
        <v>0</v>
      </c>
      <c r="AR254" s="7" t="s">
        <v>25</v>
      </c>
      <c r="AS254" s="17">
        <f>IF(ISERROR(SEARCH("nega",Tabella1[[#This Row],[Artimie]],1)),0,1)</f>
        <v>1</v>
      </c>
      <c r="AT254" s="7" t="s">
        <v>194</v>
      </c>
      <c r="AU254" s="17">
        <f>IF(ISERROR(SEARCH("nega",Tabella1[[#This Row],[Ipercolesterolemia]],1)),0,1)</f>
        <v>0</v>
      </c>
      <c r="AV254" s="17">
        <f>IF(ISERROR(SEARCH("boh",Tabella1[[#This Row],[Ipercolesterolemia]],1)),0,1)</f>
        <v>0</v>
      </c>
      <c r="AW254" s="7" t="s">
        <v>195</v>
      </c>
      <c r="AX254" s="17">
        <f>IF(ISERROR(SEARCH("Intolleranza",Tabella1[[#This Row],[Diabete]],1)),0,1)</f>
        <v>0</v>
      </c>
      <c r="AY254" s="17">
        <f>IF(ISERROR(SEARCH("si",Tabella1[[#This Row],[Diabete]],1)),0,1)</f>
        <v>0</v>
      </c>
      <c r="AZ254" s="7" t="s">
        <v>3775</v>
      </c>
      <c r="BA254" s="17">
        <f>IF(ISERROR(SEARCH("NDD",Tabella1[[#This Row],[Patologia Tiroidea]],1)),0,1)</f>
        <v>0</v>
      </c>
      <c r="BB254" s="17">
        <f>IF(ISERROR(SEARCH("TIROIDITE",Tabella1[[#This Row],[Patologia Tiroidea]],1)),0,1)</f>
        <v>1</v>
      </c>
      <c r="BC254" s="17">
        <f>IF(ISERROR(SEARCH("HASHIMOTO",Tabella1[[#This Row],[Patologia Tiroidea]],1)),0,1)</f>
        <v>0</v>
      </c>
      <c r="BD254" s="17">
        <f>IF(ISERROR(SEARCH("BASEDOW",Tabella1[[#This Row],[Patologia Tiroidea]],1)),0,1)</f>
        <v>0</v>
      </c>
      <c r="BE254" s="17">
        <f>IF(ISERROR(SEARCH("NOD",Tabella1[[#This Row],[Patologia Tiroidea]],1)),0,1)</f>
        <v>0</v>
      </c>
      <c r="BF254" s="17">
        <f>IF(ISERROR(SEARCH("GOZ",Tabella1[[#This Row],[Patologia Tiroidea]],1)),0,1)</f>
        <v>0</v>
      </c>
      <c r="BG254" s="7" t="s">
        <v>194</v>
      </c>
      <c r="BH254" s="17">
        <f>IF(Tabella1[[#This Row],[Obesità]]="no",0,1)</f>
        <v>1</v>
      </c>
      <c r="BI254" s="7" t="s">
        <v>194</v>
      </c>
      <c r="BJ254" s="22">
        <f>IF(ISERROR(SEARCH("nega",Tabella1[[#This Row],[Reflusso gastroesofageo]],1)),1,0)</f>
        <v>1</v>
      </c>
      <c r="BK254" s="7" t="s">
        <v>5477</v>
      </c>
      <c r="BL254" s="17">
        <f>IF(ISERROR(SEARCH("NDD",Tabella1[[#This Row],[Patologia respiratoria]],1)),0,1)</f>
        <v>1</v>
      </c>
      <c r="BM254" s="17">
        <f>IF(ISERROR(SEARCH("asma",Tabella1[[#This Row],[Patologia respiratoria]],1)),0,1)</f>
        <v>0</v>
      </c>
      <c r="BN254" s="17">
        <f>IF(ISERROR(SEARCH("BPCO",Tabella1[[#This Row],[Patologia respiratoria]],1)),0,1)</f>
        <v>0</v>
      </c>
      <c r="BO254" s="17">
        <f>IF(ISERROR(SEARCH("BRONCOPOLMONITE",Tabella1[[#This Row],[Patologia respiratoria]],1)),0,1)</f>
        <v>0</v>
      </c>
      <c r="BP254" s="17">
        <f>IF(ISERROR(SEARCH("ASMA, OSAS",Tabella1[[#This Row],[Patologia respiratoria]],1)),0,1)</f>
        <v>0</v>
      </c>
      <c r="BQ254" s="17">
        <f>IF(ISERROR(SEARCH("OSAS e BPCO",Tabella1[[#This Row],[Patologia respiratoria]],1)),0,1)</f>
        <v>0</v>
      </c>
      <c r="BR254" s="17">
        <f>IF(ISERROR(SEARCH("OSAS",Tabella1[[#This Row],[Patologia respiratoria]],1)),0,1)</f>
        <v>0</v>
      </c>
      <c r="BS254" s="7" t="s">
        <v>2884</v>
      </c>
      <c r="BT254" s="7" t="s">
        <v>2885</v>
      </c>
      <c r="BU254" s="7" t="s">
        <v>5477</v>
      </c>
      <c r="BV254" s="17">
        <f>IF(ISERROR(SEARCH("ndd",Tabella1[[#This Row],[O2 terapia]],1)),0,1)</f>
        <v>1</v>
      </c>
      <c r="BW254" s="17"/>
      <c r="BX254" s="7"/>
      <c r="BY254" s="7" t="s">
        <v>2886</v>
      </c>
      <c r="BZ254" s="17">
        <v>1</v>
      </c>
      <c r="CA254" s="7" t="s">
        <v>2887</v>
      </c>
      <c r="CB254" s="17">
        <v>1</v>
      </c>
      <c r="CC254" s="7" t="s">
        <v>2888</v>
      </c>
      <c r="CD254" s="17">
        <v>1</v>
      </c>
      <c r="CE254" s="7" t="s">
        <v>309</v>
      </c>
      <c r="CF254" s="18">
        <v>0</v>
      </c>
      <c r="CG254" s="7" t="s">
        <v>2889</v>
      </c>
      <c r="CH254" s="17">
        <v>1</v>
      </c>
      <c r="CI254" s="7" t="s">
        <v>2890</v>
      </c>
      <c r="CJ254" s="17">
        <v>1</v>
      </c>
      <c r="CK254" s="7" t="s">
        <v>2891</v>
      </c>
      <c r="CL254" s="17">
        <v>1</v>
      </c>
      <c r="CM254" s="7" t="s">
        <v>2892</v>
      </c>
      <c r="CN254" s="17">
        <v>1</v>
      </c>
      <c r="CO254" s="7" t="s">
        <v>195</v>
      </c>
      <c r="CP254" s="18">
        <v>0</v>
      </c>
      <c r="CQ254" s="7" t="s">
        <v>85</v>
      </c>
      <c r="CR254" s="7" t="s">
        <v>279</v>
      </c>
      <c r="CS254" s="7" t="s">
        <v>37</v>
      </c>
      <c r="CT254" s="7" t="s">
        <v>38</v>
      </c>
      <c r="CU254" s="7" t="s">
        <v>2893</v>
      </c>
      <c r="CV254" s="8" t="s">
        <v>2894</v>
      </c>
    </row>
    <row r="255" spans="1:100" ht="199.5">
      <c r="A255" s="1">
        <f t="shared" si="3"/>
        <v>254</v>
      </c>
      <c r="B255" s="9">
        <v>1476</v>
      </c>
      <c r="C255" s="10">
        <v>45436</v>
      </c>
      <c r="D255" s="11" t="s">
        <v>2895</v>
      </c>
      <c r="E255" s="10">
        <v>23892</v>
      </c>
      <c r="F255" s="29">
        <f ca="1">_xlfn.DAYS(NOW(),Tabella1[[#This Row],[Data di Nascita]])/365.25</f>
        <v>60.180698151950722</v>
      </c>
      <c r="G255" s="11" t="s">
        <v>2896</v>
      </c>
      <c r="H255" s="11" t="s">
        <v>2897</v>
      </c>
      <c r="I255" s="11" t="s">
        <v>2898</v>
      </c>
      <c r="J255" s="11" t="s">
        <v>2899</v>
      </c>
      <c r="K255" s="11" t="s">
        <v>2900</v>
      </c>
      <c r="L255" s="18">
        <f>IF(ISERROR(SEARCH("EX",Tabella1[[#This Row],[Attività lavorativa]],1)),0,1)</f>
        <v>0</v>
      </c>
      <c r="M255" s="18"/>
      <c r="N255" s="18"/>
      <c r="O255" s="18"/>
      <c r="P255" s="18"/>
      <c r="Q255" s="18"/>
      <c r="R255" s="18"/>
      <c r="S255" s="17">
        <v>1</v>
      </c>
      <c r="T255" s="17">
        <f>IF(ISERROR(SEARCH("NDD",Tabella1[[#This Row],[Attività lavorativa]],1)),0,1)</f>
        <v>0</v>
      </c>
      <c r="U255" s="11" t="s">
        <v>2901</v>
      </c>
      <c r="V255" s="22">
        <v>40</v>
      </c>
      <c r="W255" s="22">
        <f>IF(ISERROR(SEARCH("ex",Tabella1[[#This Row],[Fumo]],1)),0,1)</f>
        <v>1</v>
      </c>
      <c r="X255" s="22">
        <f>IF(ISERROR(SEARCH("no",Tabella1[[#This Row],[Fumo]],1)),0,1)</f>
        <v>0</v>
      </c>
      <c r="Y255" s="11" t="s">
        <v>25</v>
      </c>
      <c r="Z255" s="18">
        <f>IF(ISERROR(SEARCH("NDD",Tabella1[[#This Row],[Bevitore alcolici]],1)),0,1)</f>
        <v>0</v>
      </c>
      <c r="AA255" s="17">
        <f>IF(ISERROR(SEARCH("raro",Tabella1[[#This Row],[Bevitore alcolici]],1)),0,1)</f>
        <v>0</v>
      </c>
      <c r="AB255" s="17">
        <f>IF(ISERROR(SEARCH("saltuariamente",Tabella1[[#This Row],[Bevitore alcolici]],1)),0,1)</f>
        <v>0</v>
      </c>
      <c r="AC255" s="17">
        <f>IF(ISERROR(SEARCH("nega",Tabella1[[#This Row],[Bevitore alcolici]],1)),0,1)</f>
        <v>1</v>
      </c>
      <c r="AD255" s="17">
        <f>IF(ISERROR(SEARCH("potus",Tabella1[[#This Row],[Bevitore alcolici]],1)),0,1)</f>
        <v>0</v>
      </c>
      <c r="AE255" s="11" t="s">
        <v>657</v>
      </c>
      <c r="AF255" s="18"/>
      <c r="AG255" s="18"/>
      <c r="AH255" s="18"/>
      <c r="AI255" s="18"/>
      <c r="AJ255" s="18"/>
      <c r="AK255" s="11" t="s">
        <v>195</v>
      </c>
      <c r="AL255" s="18">
        <f>IF(ISERROR(SEARCH("si",Tabella1[[#This Row],[Patente di guida]],1)),0,1)</f>
        <v>0</v>
      </c>
      <c r="AM255" s="11" t="s">
        <v>28</v>
      </c>
      <c r="AN255" s="18">
        <f>IF(ISERROR(SEARCH("no",Tabella1[[#This Row],[Ipertensione]],1)),0,1)</f>
        <v>0</v>
      </c>
      <c r="AO255" s="11" t="s">
        <v>382</v>
      </c>
      <c r="AP255" s="18">
        <f>IF(ISERROR(SEARCH("NO",Tabella1[[#This Row],[Cardiopatia ischemica]],1)),1,0)</f>
        <v>0</v>
      </c>
      <c r="AQ255" s="17">
        <f>IF(ISERROR(SEARCH("sconosciuto",Tabella1[[#This Row],[Cardiopatia ischemica]],1)),0,1)</f>
        <v>0</v>
      </c>
      <c r="AR255" s="11" t="s">
        <v>2902</v>
      </c>
      <c r="AS255" s="22">
        <f>IF(ISERROR(SEARCH("nega",Tabella1[[#This Row],[Artimie]],1)),0,1)</f>
        <v>0</v>
      </c>
      <c r="AT255" s="11" t="s">
        <v>2903</v>
      </c>
      <c r="AU255" s="22">
        <f>IF(ISERROR(SEARCH("nega",Tabella1[[#This Row],[Ipercolesterolemia]],1)),0,1)</f>
        <v>0</v>
      </c>
      <c r="AV255" s="22">
        <f>IF(ISERROR(SEARCH("boh",Tabella1[[#This Row],[Ipercolesterolemia]],1)),0,1)</f>
        <v>0</v>
      </c>
      <c r="AW255" s="11" t="s">
        <v>8</v>
      </c>
      <c r="AX255" s="22">
        <f>IF(ISERROR(SEARCH("Intolleranza",Tabella1[[#This Row],[Diabete]],1)),0,1)</f>
        <v>0</v>
      </c>
      <c r="AY255" s="22">
        <f>IF(ISERROR(SEARCH("si",Tabella1[[#This Row],[Diabete]],1)),0,1)</f>
        <v>0</v>
      </c>
      <c r="AZ255" s="11" t="s">
        <v>8</v>
      </c>
      <c r="BA255" s="18">
        <f>IF(ISERROR(SEARCH("NDD",Tabella1[[#This Row],[Patologia Tiroidea]],1)),0,1)</f>
        <v>0</v>
      </c>
      <c r="BB255" s="22">
        <f>IF(ISERROR(SEARCH("TIROIDITE",Tabella1[[#This Row],[Patologia Tiroidea]],1)),0,1)</f>
        <v>0</v>
      </c>
      <c r="BC255" s="22">
        <f>IF(ISERROR(SEARCH("HASHIMOTO",Tabella1[[#This Row],[Patologia Tiroidea]],1)),0,1)</f>
        <v>0</v>
      </c>
      <c r="BD255" s="22">
        <f>IF(ISERROR(SEARCH("BASEDOW",Tabella1[[#This Row],[Patologia Tiroidea]],1)),0,1)</f>
        <v>0</v>
      </c>
      <c r="BE255" s="22">
        <f>IF(ISERROR(SEARCH("NOD",Tabella1[[#This Row],[Patologia Tiroidea]],1)),0,1)</f>
        <v>0</v>
      </c>
      <c r="BF255" s="22">
        <f>IF(ISERROR(SEARCH("GOZ",Tabella1[[#This Row],[Patologia Tiroidea]],1)),0,1)</f>
        <v>0</v>
      </c>
      <c r="BG255" s="11" t="s">
        <v>8</v>
      </c>
      <c r="BH255" s="18">
        <f>IF(Tabella1[[#This Row],[Obesità]]="no",0,1)</f>
        <v>0</v>
      </c>
      <c r="BI255" s="11" t="s">
        <v>25</v>
      </c>
      <c r="BJ255" s="22">
        <f>IF(ISERROR(SEARCH("nega",Tabella1[[#This Row],[Reflusso gastroesofageo]],1)),1,0)</f>
        <v>0</v>
      </c>
      <c r="BK255" s="11" t="s">
        <v>2904</v>
      </c>
      <c r="BL255" s="18">
        <f>IF(ISERROR(SEARCH("NDD",Tabella1[[#This Row],[Patologia respiratoria]],1)),0,1)</f>
        <v>0</v>
      </c>
      <c r="BM255" s="18">
        <f>IF(ISERROR(SEARCH("asma",Tabella1[[#This Row],[Patologia respiratoria]],1)),0,1)</f>
        <v>0</v>
      </c>
      <c r="BN255" s="18">
        <f>IF(ISERROR(SEARCH("BPCO",Tabella1[[#This Row],[Patologia respiratoria]],1)),0,1)</f>
        <v>1</v>
      </c>
      <c r="BO255" s="18">
        <f>IF(ISERROR(SEARCH("BRONCOPOLMONITE",Tabella1[[#This Row],[Patologia respiratoria]],1)),0,1)</f>
        <v>0</v>
      </c>
      <c r="BP255" s="18">
        <f>IF(ISERROR(SEARCH("ASMA, OSAS",Tabella1[[#This Row],[Patologia respiratoria]],1)),0,1)</f>
        <v>0</v>
      </c>
      <c r="BQ255" s="18">
        <f>IF(ISERROR(SEARCH("OSAS e BPCO",Tabella1[[#This Row],[Patologia respiratoria]],1)),0,1)</f>
        <v>0</v>
      </c>
      <c r="BR255" s="18">
        <f>IF(ISERROR(SEARCH("OSAS",Tabella1[[#This Row],[Patologia respiratoria]],1)),0,1)</f>
        <v>0</v>
      </c>
      <c r="BS255" s="11" t="s">
        <v>2905</v>
      </c>
      <c r="BT255" s="11" t="s">
        <v>2906</v>
      </c>
      <c r="BU255" s="11" t="s">
        <v>2907</v>
      </c>
      <c r="BV255" s="18">
        <f>IF(ISERROR(SEARCH("ndd",Tabella1[[#This Row],[O2 terapia]],1)),0,1)</f>
        <v>0</v>
      </c>
      <c r="BW255" s="17">
        <v>0</v>
      </c>
      <c r="BX255" s="11" t="s">
        <v>2908</v>
      </c>
      <c r="BY255" s="11" t="s">
        <v>2909</v>
      </c>
      <c r="BZ255" s="17">
        <v>1</v>
      </c>
      <c r="CA255" s="11" t="s">
        <v>2800</v>
      </c>
      <c r="CB255" s="17">
        <v>0</v>
      </c>
      <c r="CC255" s="11" t="s">
        <v>461</v>
      </c>
      <c r="CD255" s="17">
        <v>1</v>
      </c>
      <c r="CE255" s="11" t="s">
        <v>461</v>
      </c>
      <c r="CF255" s="17">
        <v>1</v>
      </c>
      <c r="CG255" s="11" t="s">
        <v>195</v>
      </c>
      <c r="CH255" s="17">
        <v>0</v>
      </c>
      <c r="CI255" s="11" t="s">
        <v>195</v>
      </c>
      <c r="CJ255" s="18">
        <v>0</v>
      </c>
      <c r="CK255" s="11" t="s">
        <v>2910</v>
      </c>
      <c r="CL255" s="17">
        <v>1</v>
      </c>
      <c r="CM255" s="11" t="s">
        <v>195</v>
      </c>
      <c r="CN255" s="17">
        <v>0</v>
      </c>
      <c r="CO255" s="11" t="s">
        <v>2911</v>
      </c>
      <c r="CP255" s="17">
        <v>1</v>
      </c>
      <c r="CQ255" s="11" t="s">
        <v>54</v>
      </c>
      <c r="CR255" s="11" t="s">
        <v>2912</v>
      </c>
      <c r="CS255" s="11" t="s">
        <v>998</v>
      </c>
      <c r="CT255" s="11" t="s">
        <v>2913</v>
      </c>
      <c r="CU255" s="11"/>
      <c r="CV255" s="12"/>
    </row>
    <row r="256" spans="1:100" ht="256.5">
      <c r="A256" s="1">
        <f t="shared" si="3"/>
        <v>255</v>
      </c>
      <c r="B256" s="5">
        <v>1483</v>
      </c>
      <c r="C256" s="6">
        <v>45442</v>
      </c>
      <c r="D256" s="7" t="s">
        <v>2914</v>
      </c>
      <c r="E256" s="6">
        <v>28925</v>
      </c>
      <c r="F256" s="29">
        <f ca="1">_xlfn.DAYS(NOW(),Tabella1[[#This Row],[Data di Nascita]])/365.25</f>
        <v>46.401095140314851</v>
      </c>
      <c r="G256" s="7" t="s">
        <v>2915</v>
      </c>
      <c r="H256" s="7" t="s">
        <v>2916</v>
      </c>
      <c r="I256" s="7" t="s">
        <v>2917</v>
      </c>
      <c r="J256" s="7" t="s">
        <v>2918</v>
      </c>
      <c r="K256" s="7" t="s">
        <v>241</v>
      </c>
      <c r="L256" s="17">
        <f>IF(ISERROR(SEARCH("EX",Tabella1[[#This Row],[Attività lavorativa]],1)),0,1)</f>
        <v>0</v>
      </c>
      <c r="M256" s="17"/>
      <c r="N256" s="17"/>
      <c r="O256" s="17"/>
      <c r="P256" s="18">
        <v>1</v>
      </c>
      <c r="Q256" s="17"/>
      <c r="R256" s="17"/>
      <c r="S256" s="17"/>
      <c r="T256" s="17">
        <f>IF(ISERROR(SEARCH("NDD",Tabella1[[#This Row],[Attività lavorativa]],1)),0,1)</f>
        <v>0</v>
      </c>
      <c r="U256" s="7" t="s">
        <v>8</v>
      </c>
      <c r="V256" s="22"/>
      <c r="W256" s="22">
        <f>IF(ISERROR(SEARCH("ex",Tabella1[[#This Row],[Fumo]],1)),0,1)</f>
        <v>0</v>
      </c>
      <c r="X256" s="22">
        <f>IF(ISERROR(SEARCH("no",Tabella1[[#This Row],[Fumo]],1)),0,1)</f>
        <v>1</v>
      </c>
      <c r="Y256" s="7" t="s">
        <v>25</v>
      </c>
      <c r="Z256" s="17">
        <f>IF(ISERROR(SEARCH("NDD",Tabella1[[#This Row],[Bevitore alcolici]],1)),0,1)</f>
        <v>0</v>
      </c>
      <c r="AA256" s="17">
        <f>IF(ISERROR(SEARCH("raro",Tabella1[[#This Row],[Bevitore alcolici]],1)),0,1)</f>
        <v>0</v>
      </c>
      <c r="AB256" s="17">
        <f>IF(ISERROR(SEARCH("saltuariamente",Tabella1[[#This Row],[Bevitore alcolici]],1)),0,1)</f>
        <v>0</v>
      </c>
      <c r="AC256" s="17">
        <f>IF(ISERROR(SEARCH("nega",Tabella1[[#This Row],[Bevitore alcolici]],1)),0,1)</f>
        <v>1</v>
      </c>
      <c r="AD256" s="17">
        <f>IF(ISERROR(SEARCH("potus",Tabella1[[#This Row],[Bevitore alcolici]],1)),0,1)</f>
        <v>0</v>
      </c>
      <c r="AE256" s="7" t="s">
        <v>2919</v>
      </c>
      <c r="AF256" s="17"/>
      <c r="AG256" s="18">
        <v>1</v>
      </c>
      <c r="AH256" s="18"/>
      <c r="AI256" s="18"/>
      <c r="AJ256" s="18"/>
      <c r="AK256" s="7" t="s">
        <v>8</v>
      </c>
      <c r="AL256" s="17">
        <f>IF(ISERROR(SEARCH("si",Tabella1[[#This Row],[Patente di guida]],1)),0,1)</f>
        <v>0</v>
      </c>
      <c r="AM256" s="7" t="s">
        <v>28</v>
      </c>
      <c r="AN256" s="17">
        <f>IF(ISERROR(SEARCH("no",Tabella1[[#This Row],[Ipertensione]],1)),0,1)</f>
        <v>0</v>
      </c>
      <c r="AO256" s="7" t="s">
        <v>382</v>
      </c>
      <c r="AP256" s="18">
        <f>IF(ISERROR(SEARCH("NO",Tabella1[[#This Row],[Cardiopatia ischemica]],1)),1,0)</f>
        <v>0</v>
      </c>
      <c r="AQ256" s="17">
        <f>IF(ISERROR(SEARCH("sconosciuto",Tabella1[[#This Row],[Cardiopatia ischemica]],1)),0,1)</f>
        <v>0</v>
      </c>
      <c r="AR256" s="7" t="s">
        <v>25</v>
      </c>
      <c r="AS256" s="22">
        <f>IF(ISERROR(SEARCH("nega",Tabella1[[#This Row],[Artimie]],1)),0,1)</f>
        <v>1</v>
      </c>
      <c r="AT256" s="7" t="s">
        <v>28</v>
      </c>
      <c r="AU256" s="22">
        <f>IF(ISERROR(SEARCH("nega",Tabella1[[#This Row],[Ipercolesterolemia]],1)),0,1)</f>
        <v>0</v>
      </c>
      <c r="AV256" s="22">
        <f>IF(ISERROR(SEARCH("boh",Tabella1[[#This Row],[Ipercolesterolemia]],1)),0,1)</f>
        <v>0</v>
      </c>
      <c r="AW256" s="7" t="s">
        <v>8</v>
      </c>
      <c r="AX256" s="22">
        <f>IF(ISERROR(SEARCH("Intolleranza",Tabella1[[#This Row],[Diabete]],1)),0,1)</f>
        <v>0</v>
      </c>
      <c r="AY256" s="22">
        <f>IF(ISERROR(SEARCH("si",Tabella1[[#This Row],[Diabete]],1)),0,1)</f>
        <v>0</v>
      </c>
      <c r="AZ256" s="7" t="s">
        <v>8</v>
      </c>
      <c r="BA256" s="17">
        <f>IF(ISERROR(SEARCH("NDD",Tabella1[[#This Row],[Patologia Tiroidea]],1)),0,1)</f>
        <v>0</v>
      </c>
      <c r="BB256" s="22">
        <f>IF(ISERROR(SEARCH("TIROIDITE",Tabella1[[#This Row],[Patologia Tiroidea]],1)),0,1)</f>
        <v>0</v>
      </c>
      <c r="BC256" s="22">
        <f>IF(ISERROR(SEARCH("HASHIMOTO",Tabella1[[#This Row],[Patologia Tiroidea]],1)),0,1)</f>
        <v>0</v>
      </c>
      <c r="BD256" s="22">
        <f>IF(ISERROR(SEARCH("BASEDOW",Tabella1[[#This Row],[Patologia Tiroidea]],1)),0,1)</f>
        <v>0</v>
      </c>
      <c r="BE256" s="22">
        <f>IF(ISERROR(SEARCH("NOD",Tabella1[[#This Row],[Patologia Tiroidea]],1)),0,1)</f>
        <v>0</v>
      </c>
      <c r="BF256" s="22">
        <f>IF(ISERROR(SEARCH("GOZ",Tabella1[[#This Row],[Patologia Tiroidea]],1)),0,1)</f>
        <v>0</v>
      </c>
      <c r="BG256" s="7" t="s">
        <v>28</v>
      </c>
      <c r="BH256" s="17">
        <f>IF(Tabella1[[#This Row],[Obesità]]="no",0,1)</f>
        <v>1</v>
      </c>
      <c r="BI256" s="7" t="s">
        <v>5477</v>
      </c>
      <c r="BJ256" s="22">
        <v>0</v>
      </c>
      <c r="BK256" s="7" t="s">
        <v>3818</v>
      </c>
      <c r="BL256" s="17">
        <f>IF(ISERROR(SEARCH("NDD",Tabella1[[#This Row],[Patologia respiratoria]],1)),0,1)</f>
        <v>0</v>
      </c>
      <c r="BM256" s="17">
        <f>IF(ISERROR(SEARCH("asma",Tabella1[[#This Row],[Patologia respiratoria]],1)),0,1)</f>
        <v>1</v>
      </c>
      <c r="BN256" s="17">
        <f>IF(ISERROR(SEARCH("BPCO",Tabella1[[#This Row],[Patologia respiratoria]],1)),0,1)</f>
        <v>0</v>
      </c>
      <c r="BO256" s="17">
        <f>IF(ISERROR(SEARCH("BRONCOPOLMONITE",Tabella1[[#This Row],[Patologia respiratoria]],1)),0,1)</f>
        <v>0</v>
      </c>
      <c r="BP256" s="17">
        <f>IF(ISERROR(SEARCH("ASMA, OSAS",Tabella1[[#This Row],[Patologia respiratoria]],1)),0,1)</f>
        <v>0</v>
      </c>
      <c r="BQ256" s="17">
        <f>IF(ISERROR(SEARCH("OSAS e BPCO",Tabella1[[#This Row],[Patologia respiratoria]],1)),0,1)</f>
        <v>0</v>
      </c>
      <c r="BR256" s="17">
        <f>IF(ISERROR(SEARCH("OSAS",Tabella1[[#This Row],[Patologia respiratoria]],1)),0,1)</f>
        <v>0</v>
      </c>
      <c r="BS256" s="7" t="s">
        <v>2920</v>
      </c>
      <c r="BT256" s="7" t="s">
        <v>2921</v>
      </c>
      <c r="BU256" s="7" t="s">
        <v>8</v>
      </c>
      <c r="BV256" s="17">
        <f>IF(ISERROR(SEARCH("ndd",Tabella1[[#This Row],[O2 terapia]],1)),0,1)</f>
        <v>0</v>
      </c>
      <c r="BW256" s="17">
        <v>0</v>
      </c>
      <c r="BX256" s="7" t="s">
        <v>2922</v>
      </c>
      <c r="BY256" s="7" t="s">
        <v>1486</v>
      </c>
      <c r="BZ256" s="17">
        <v>1</v>
      </c>
      <c r="CA256" s="7" t="s">
        <v>28</v>
      </c>
      <c r="CB256" s="17">
        <v>1</v>
      </c>
      <c r="CC256" s="7" t="s">
        <v>8</v>
      </c>
      <c r="CD256" s="18">
        <v>0</v>
      </c>
      <c r="CE256" s="7" t="s">
        <v>28</v>
      </c>
      <c r="CF256" s="17">
        <v>1</v>
      </c>
      <c r="CG256" s="7" t="s">
        <v>28</v>
      </c>
      <c r="CH256" s="17">
        <v>1</v>
      </c>
      <c r="CI256" s="7" t="s">
        <v>8</v>
      </c>
      <c r="CJ256" s="18">
        <v>0</v>
      </c>
      <c r="CK256" s="7" t="s">
        <v>8</v>
      </c>
      <c r="CL256" s="17">
        <v>0</v>
      </c>
      <c r="CM256" s="7" t="s">
        <v>28</v>
      </c>
      <c r="CN256" s="17">
        <v>1</v>
      </c>
      <c r="CO256" s="7" t="s">
        <v>28</v>
      </c>
      <c r="CP256" s="17">
        <v>1</v>
      </c>
      <c r="CQ256" s="7" t="s">
        <v>85</v>
      </c>
      <c r="CR256" s="7" t="s">
        <v>2923</v>
      </c>
      <c r="CS256" s="7" t="s">
        <v>71</v>
      </c>
      <c r="CT256" s="7" t="s">
        <v>154</v>
      </c>
      <c r="CU256" s="7" t="s">
        <v>2924</v>
      </c>
      <c r="CV256" s="8" t="s">
        <v>2925</v>
      </c>
    </row>
    <row r="257" spans="1:100" ht="285">
      <c r="A257" s="1">
        <f t="shared" si="3"/>
        <v>256</v>
      </c>
      <c r="B257" s="9">
        <v>1485</v>
      </c>
      <c r="C257" s="10">
        <v>45443</v>
      </c>
      <c r="D257" s="11" t="s">
        <v>2926</v>
      </c>
      <c r="E257" s="10">
        <v>26647</v>
      </c>
      <c r="F257" s="29">
        <f ca="1">_xlfn.DAYS(NOW(),Tabella1[[#This Row],[Data di Nascita]])/365.25</f>
        <v>52.637919233401782</v>
      </c>
      <c r="G257" s="11" t="s">
        <v>2927</v>
      </c>
      <c r="H257" s="11" t="s">
        <v>2928</v>
      </c>
      <c r="I257" s="11" t="s">
        <v>2293</v>
      </c>
      <c r="J257" s="11" t="s">
        <v>473</v>
      </c>
      <c r="K257" s="11" t="s">
        <v>2929</v>
      </c>
      <c r="L257" s="18">
        <f>IF(ISERROR(SEARCH("EX",Tabella1[[#This Row],[Attività lavorativa]],1)),0,1)</f>
        <v>0</v>
      </c>
      <c r="M257" s="18"/>
      <c r="N257" s="18"/>
      <c r="O257" s="18"/>
      <c r="P257" s="18">
        <v>1</v>
      </c>
      <c r="Q257" s="18"/>
      <c r="R257" s="18"/>
      <c r="S257" s="18"/>
      <c r="T257" s="17">
        <f>IF(ISERROR(SEARCH("NDD",Tabella1[[#This Row],[Attività lavorativa]],1)),0,1)</f>
        <v>0</v>
      </c>
      <c r="U257" s="11" t="s">
        <v>2930</v>
      </c>
      <c r="V257" s="22"/>
      <c r="W257" s="22">
        <f>IF(ISERROR(SEARCH("ex",Tabella1[[#This Row],[Fumo]],1)),0,1)</f>
        <v>1</v>
      </c>
      <c r="X257" s="22">
        <f>IF(ISERROR(SEARCH("no",Tabella1[[#This Row],[Fumo]],1)),0,1)</f>
        <v>0</v>
      </c>
      <c r="Y257" s="11" t="s">
        <v>25</v>
      </c>
      <c r="Z257" s="18">
        <f>IF(ISERROR(SEARCH("NDD",Tabella1[[#This Row],[Bevitore alcolici]],1)),0,1)</f>
        <v>0</v>
      </c>
      <c r="AA257" s="17">
        <f>IF(ISERROR(SEARCH("raro",Tabella1[[#This Row],[Bevitore alcolici]],1)),0,1)</f>
        <v>0</v>
      </c>
      <c r="AB257" s="17">
        <f>IF(ISERROR(SEARCH("saltuariamente",Tabella1[[#This Row],[Bevitore alcolici]],1)),0,1)</f>
        <v>0</v>
      </c>
      <c r="AC257" s="17">
        <f>IF(ISERROR(SEARCH("nega",Tabella1[[#This Row],[Bevitore alcolici]],1)),0,1)</f>
        <v>1</v>
      </c>
      <c r="AD257" s="17">
        <f>IF(ISERROR(SEARCH("potus",Tabella1[[#This Row],[Bevitore alcolici]],1)),0,1)</f>
        <v>0</v>
      </c>
      <c r="AE257" s="11" t="s">
        <v>5669</v>
      </c>
      <c r="AF257" s="18"/>
      <c r="AG257" s="18"/>
      <c r="AH257" s="18"/>
      <c r="AI257" s="18"/>
      <c r="AJ257" s="18"/>
      <c r="AK257" s="11" t="s">
        <v>194</v>
      </c>
      <c r="AL257" s="18">
        <f>IF(ISERROR(SEARCH("si",Tabella1[[#This Row],[Patente di guida]],1)),0,1)</f>
        <v>1</v>
      </c>
      <c r="AM257" s="11" t="s">
        <v>195</v>
      </c>
      <c r="AN257" s="18">
        <f>IF(ISERROR(SEARCH("no",Tabella1[[#This Row],[Ipertensione]],1)),0,1)</f>
        <v>1</v>
      </c>
      <c r="AO257" s="11" t="s">
        <v>382</v>
      </c>
      <c r="AP257" s="18">
        <f>IF(ISERROR(SEARCH("NO",Tabella1[[#This Row],[Cardiopatia ischemica]],1)),1,0)</f>
        <v>0</v>
      </c>
      <c r="AQ257" s="17">
        <f>IF(ISERROR(SEARCH("sconosciuto",Tabella1[[#This Row],[Cardiopatia ischemica]],1)),0,1)</f>
        <v>0</v>
      </c>
      <c r="AR257" s="11" t="s">
        <v>25</v>
      </c>
      <c r="AS257" s="18">
        <f>IF(ISERROR(SEARCH("nega",Tabella1[[#This Row],[Artimie]],1)),0,1)</f>
        <v>1</v>
      </c>
      <c r="AT257" s="11" t="s">
        <v>25</v>
      </c>
      <c r="AU257" s="18">
        <f>IF(ISERROR(SEARCH("nega",Tabella1[[#This Row],[Ipercolesterolemia]],1)),0,1)</f>
        <v>1</v>
      </c>
      <c r="AV257" s="18">
        <f>IF(ISERROR(SEARCH("boh",Tabella1[[#This Row],[Ipercolesterolemia]],1)),0,1)</f>
        <v>0</v>
      </c>
      <c r="AW257" s="11" t="s">
        <v>195</v>
      </c>
      <c r="AX257" s="18">
        <f>IF(ISERROR(SEARCH("Intolleranza",Tabella1[[#This Row],[Diabete]],1)),0,1)</f>
        <v>0</v>
      </c>
      <c r="AY257" s="18">
        <f>IF(ISERROR(SEARCH("si",Tabella1[[#This Row],[Diabete]],1)),0,1)</f>
        <v>0</v>
      </c>
      <c r="AZ257" s="11" t="s">
        <v>195</v>
      </c>
      <c r="BA257" s="18">
        <f>IF(ISERROR(SEARCH("NDD",Tabella1[[#This Row],[Patologia Tiroidea]],1)),0,1)</f>
        <v>0</v>
      </c>
      <c r="BB257" s="18">
        <f>IF(ISERROR(SEARCH("TIROIDITE",Tabella1[[#This Row],[Patologia Tiroidea]],1)),0,1)</f>
        <v>0</v>
      </c>
      <c r="BC257" s="18">
        <f>IF(ISERROR(SEARCH("HASHIMOTO",Tabella1[[#This Row],[Patologia Tiroidea]],1)),0,1)</f>
        <v>0</v>
      </c>
      <c r="BD257" s="18">
        <f>IF(ISERROR(SEARCH("BASEDOW",Tabella1[[#This Row],[Patologia Tiroidea]],1)),0,1)</f>
        <v>0</v>
      </c>
      <c r="BE257" s="18">
        <f>IF(ISERROR(SEARCH("NOD",Tabella1[[#This Row],[Patologia Tiroidea]],1)),0,1)</f>
        <v>0</v>
      </c>
      <c r="BF257" s="18">
        <f>IF(ISERROR(SEARCH("GOZ",Tabella1[[#This Row],[Patologia Tiroidea]],1)),0,1)</f>
        <v>0</v>
      </c>
      <c r="BG257" s="11" t="s">
        <v>8</v>
      </c>
      <c r="BH257" s="18">
        <f>IF(Tabella1[[#This Row],[Obesità]]="no",0,1)</f>
        <v>0</v>
      </c>
      <c r="BI257" s="11" t="s">
        <v>387</v>
      </c>
      <c r="BJ257" s="22">
        <f>IF(ISERROR(SEARCH("nega",Tabella1[[#This Row],[Reflusso gastroesofageo]],1)),1,0)</f>
        <v>1</v>
      </c>
      <c r="BK257" s="11" t="s">
        <v>2931</v>
      </c>
      <c r="BL257" s="18">
        <f>IF(ISERROR(SEARCH("NDD",Tabella1[[#This Row],[Patologia respiratoria]],1)),0,1)</f>
        <v>0</v>
      </c>
      <c r="BM257" s="18">
        <f>IF(ISERROR(SEARCH("asma",Tabella1[[#This Row],[Patologia respiratoria]],1)),0,1)</f>
        <v>0</v>
      </c>
      <c r="BN257" s="18">
        <f>IF(ISERROR(SEARCH("BPCO",Tabella1[[#This Row],[Patologia respiratoria]],1)),0,1)</f>
        <v>0</v>
      </c>
      <c r="BO257" s="18">
        <f>IF(ISERROR(SEARCH("BRONCOPOLMONITE",Tabella1[[#This Row],[Patologia respiratoria]],1)),0,1)</f>
        <v>0</v>
      </c>
      <c r="BP257" s="18">
        <f>IF(ISERROR(SEARCH("ASMA, OSAS",Tabella1[[#This Row],[Patologia respiratoria]],1)),0,1)</f>
        <v>0</v>
      </c>
      <c r="BQ257" s="18">
        <f>IF(ISERROR(SEARCH("OSAS e BPCO",Tabella1[[#This Row],[Patologia respiratoria]],1)),0,1)</f>
        <v>0</v>
      </c>
      <c r="BR257" s="18">
        <f>IF(ISERROR(SEARCH("OSAS",Tabella1[[#This Row],[Patologia respiratoria]],1)),0,1)</f>
        <v>0</v>
      </c>
      <c r="BS257" s="11"/>
      <c r="BT257" s="11" t="s">
        <v>309</v>
      </c>
      <c r="BU257" s="7" t="s">
        <v>5477</v>
      </c>
      <c r="BV257" s="17">
        <f>IF(ISERROR(SEARCH("ndd",Tabella1[[#This Row],[O2 terapia]],1)),0,1)</f>
        <v>1</v>
      </c>
      <c r="BW257" s="18"/>
      <c r="BX257" s="11"/>
      <c r="BY257" s="11" t="s">
        <v>2932</v>
      </c>
      <c r="BZ257" s="17">
        <v>1</v>
      </c>
      <c r="CA257" s="11" t="s">
        <v>2933</v>
      </c>
      <c r="CB257" s="17">
        <v>1</v>
      </c>
      <c r="CC257" s="11" t="s">
        <v>195</v>
      </c>
      <c r="CD257" s="18">
        <v>0</v>
      </c>
      <c r="CE257" s="11" t="s">
        <v>195</v>
      </c>
      <c r="CF257" s="18">
        <v>0</v>
      </c>
      <c r="CG257" s="11" t="s">
        <v>2934</v>
      </c>
      <c r="CH257" s="17">
        <v>1</v>
      </c>
      <c r="CI257" s="11" t="s">
        <v>2935</v>
      </c>
      <c r="CJ257" s="17">
        <v>1</v>
      </c>
      <c r="CK257" s="11" t="s">
        <v>2936</v>
      </c>
      <c r="CL257" s="17">
        <v>1</v>
      </c>
      <c r="CM257" s="11" t="s">
        <v>8</v>
      </c>
      <c r="CN257" s="17">
        <v>0</v>
      </c>
      <c r="CO257" s="11" t="s">
        <v>195</v>
      </c>
      <c r="CP257" s="18">
        <v>0</v>
      </c>
      <c r="CQ257" s="11" t="s">
        <v>54</v>
      </c>
      <c r="CR257" s="11" t="s">
        <v>2937</v>
      </c>
      <c r="CS257" s="11" t="s">
        <v>37</v>
      </c>
      <c r="CT257" s="11" t="s">
        <v>122</v>
      </c>
      <c r="CU257" s="11" t="s">
        <v>2938</v>
      </c>
      <c r="CV257" s="12" t="s">
        <v>2939</v>
      </c>
    </row>
    <row r="258" spans="1:100" ht="370.5">
      <c r="A258" s="1">
        <f t="shared" si="3"/>
        <v>257</v>
      </c>
      <c r="B258" s="5">
        <v>1505</v>
      </c>
      <c r="C258" s="6">
        <v>45461</v>
      </c>
      <c r="D258" s="7" t="s">
        <v>2940</v>
      </c>
      <c r="E258" s="6">
        <v>20114</v>
      </c>
      <c r="F258" s="29">
        <f ca="1">_xlfn.DAYS(NOW(),Tabella1[[#This Row],[Data di Nascita]])/365.25</f>
        <v>70.524298425735793</v>
      </c>
      <c r="G258" s="7" t="s">
        <v>2941</v>
      </c>
      <c r="H258" s="7" t="s">
        <v>2942</v>
      </c>
      <c r="I258" s="7" t="s">
        <v>2293</v>
      </c>
      <c r="J258" s="7" t="s">
        <v>473</v>
      </c>
      <c r="K258" s="7" t="s">
        <v>5621</v>
      </c>
      <c r="L258" s="17">
        <f>IF(ISERROR(SEARCH("EX",Tabella1[[#This Row],[Attività lavorativa]],1)),0,1)</f>
        <v>1</v>
      </c>
      <c r="M258" s="17"/>
      <c r="N258" s="17"/>
      <c r="O258" s="18">
        <v>1</v>
      </c>
      <c r="P258" s="18"/>
      <c r="Q258" s="18"/>
      <c r="R258" s="18"/>
      <c r="S258" s="18"/>
      <c r="T258" s="17">
        <f>IF(ISERROR(SEARCH("NDD",Tabella1[[#This Row],[Attività lavorativa]],1)),0,1)</f>
        <v>0</v>
      </c>
      <c r="U258" s="7" t="s">
        <v>2943</v>
      </c>
      <c r="V258" s="22">
        <v>25</v>
      </c>
      <c r="W258" s="22">
        <f>IF(ISERROR(SEARCH("ex",Tabella1[[#This Row],[Fumo]],1)),0,1)</f>
        <v>1</v>
      </c>
      <c r="X258" s="22">
        <f>IF(ISERROR(SEARCH("no",Tabella1[[#This Row],[Fumo]],1)),0,1)</f>
        <v>0</v>
      </c>
      <c r="Y258" s="7" t="s">
        <v>2944</v>
      </c>
      <c r="Z258" s="17">
        <f>IF(ISERROR(SEARCH("NDD",Tabella1[[#This Row],[Bevitore alcolici]],1)),0,1)</f>
        <v>0</v>
      </c>
      <c r="AA258" s="17">
        <f>IF(ISERROR(SEARCH("raro",Tabella1[[#This Row],[Bevitore alcolici]],1)),0,1)</f>
        <v>0</v>
      </c>
      <c r="AB258" s="17">
        <f>IF(ISERROR(SEARCH("saltuariamente",Tabella1[[#This Row],[Bevitore alcolici]],1)),0,1)</f>
        <v>0</v>
      </c>
      <c r="AC258" s="17">
        <f>IF(ISERROR(SEARCH("nega",Tabella1[[#This Row],[Bevitore alcolici]],1)),0,1)</f>
        <v>0</v>
      </c>
      <c r="AD258" s="17">
        <f>IF(ISERROR(SEARCH("potus",Tabella1[[#This Row],[Bevitore alcolici]],1)),0,1)</f>
        <v>0</v>
      </c>
      <c r="AE258" s="7" t="s">
        <v>2945</v>
      </c>
      <c r="AF258" s="17"/>
      <c r="AG258" s="17"/>
      <c r="AH258" s="17"/>
      <c r="AI258" s="17"/>
      <c r="AJ258" s="17"/>
      <c r="AK258" s="7" t="s">
        <v>195</v>
      </c>
      <c r="AL258" s="17">
        <f>IF(ISERROR(SEARCH("si",Tabella1[[#This Row],[Patente di guida]],1)),0,1)</f>
        <v>0</v>
      </c>
      <c r="AM258" s="7" t="s">
        <v>28</v>
      </c>
      <c r="AN258" s="17">
        <f>IF(ISERROR(SEARCH("no",Tabella1[[#This Row],[Ipertensione]],1)),0,1)</f>
        <v>0</v>
      </c>
      <c r="AO258" s="7" t="s">
        <v>2946</v>
      </c>
      <c r="AP258" s="18">
        <f>IF(ISERROR(SEARCH("NO",Tabella1[[#This Row],[Cardiopatia ischemica]],1)),1,0)</f>
        <v>1</v>
      </c>
      <c r="AQ258" s="17">
        <f>IF(ISERROR(SEARCH("sconosciuto",Tabella1[[#This Row],[Cardiopatia ischemica]],1)),0,1)</f>
        <v>0</v>
      </c>
      <c r="AR258" s="7" t="s">
        <v>25</v>
      </c>
      <c r="AS258" s="22">
        <f>IF(ISERROR(SEARCH("nega",Tabella1[[#This Row],[Artimie]],1)),0,1)</f>
        <v>1</v>
      </c>
      <c r="AT258" s="7" t="s">
        <v>194</v>
      </c>
      <c r="AU258" s="22">
        <f>IF(ISERROR(SEARCH("nega",Tabella1[[#This Row],[Ipercolesterolemia]],1)),0,1)</f>
        <v>0</v>
      </c>
      <c r="AV258" s="22">
        <f>IF(ISERROR(SEARCH("boh",Tabella1[[#This Row],[Ipercolesterolemia]],1)),0,1)</f>
        <v>0</v>
      </c>
      <c r="AW258" s="7" t="s">
        <v>28</v>
      </c>
      <c r="AX258" s="22">
        <f>IF(ISERROR(SEARCH("Intolleranza",Tabella1[[#This Row],[Diabete]],1)),0,1)</f>
        <v>0</v>
      </c>
      <c r="AY258" s="22">
        <f>IF(ISERROR(SEARCH("si",Tabella1[[#This Row],[Diabete]],1)),0,1)</f>
        <v>1</v>
      </c>
      <c r="AZ258" s="7" t="s">
        <v>2947</v>
      </c>
      <c r="BA258" s="17">
        <f>IF(ISERROR(SEARCH("NDD",Tabella1[[#This Row],[Patologia Tiroidea]],1)),0,1)</f>
        <v>0</v>
      </c>
      <c r="BB258" s="22">
        <f>IF(ISERROR(SEARCH("TIROIDITE",Tabella1[[#This Row],[Patologia Tiroidea]],1)),0,1)</f>
        <v>0</v>
      </c>
      <c r="BC258" s="22">
        <f>IF(ISERROR(SEARCH("HASHIMOTO",Tabella1[[#This Row],[Patologia Tiroidea]],1)),0,1)</f>
        <v>0</v>
      </c>
      <c r="BD258" s="22">
        <f>IF(ISERROR(SEARCH("BASEDOW",Tabella1[[#This Row],[Patologia Tiroidea]],1)),0,1)</f>
        <v>0</v>
      </c>
      <c r="BE258" s="22">
        <f>IF(ISERROR(SEARCH("NOD",Tabella1[[#This Row],[Patologia Tiroidea]],1)),0,1)</f>
        <v>0</v>
      </c>
      <c r="BF258" s="22">
        <f>IF(ISERROR(SEARCH("GOZ",Tabella1[[#This Row],[Patologia Tiroidea]],1)),0,1)</f>
        <v>0</v>
      </c>
      <c r="BG258" s="7" t="s">
        <v>8</v>
      </c>
      <c r="BH258" s="17">
        <f>IF(Tabella1[[#This Row],[Obesità]]="no",0,1)</f>
        <v>0</v>
      </c>
      <c r="BI258" s="7" t="s">
        <v>387</v>
      </c>
      <c r="BJ258" s="22">
        <f>IF(ISERROR(SEARCH("nega",Tabella1[[#This Row],[Reflusso gastroesofageo]],1)),1,0)</f>
        <v>1</v>
      </c>
      <c r="BK258" s="7" t="s">
        <v>2846</v>
      </c>
      <c r="BL258" s="17">
        <f>IF(ISERROR(SEARCH("NDD",Tabella1[[#This Row],[Patologia respiratoria]],1)),0,1)</f>
        <v>0</v>
      </c>
      <c r="BM258" s="17">
        <f>IF(ISERROR(SEARCH("asma",Tabella1[[#This Row],[Patologia respiratoria]],1)),0,1)</f>
        <v>0</v>
      </c>
      <c r="BN258" s="17">
        <f>IF(ISERROR(SEARCH("BPCO",Tabella1[[#This Row],[Patologia respiratoria]],1)),0,1)</f>
        <v>0</v>
      </c>
      <c r="BO258" s="17">
        <f>IF(ISERROR(SEARCH("BRONCOPOLMONITE",Tabella1[[#This Row],[Patologia respiratoria]],1)),0,1)</f>
        <v>0</v>
      </c>
      <c r="BP258" s="17">
        <f>IF(ISERROR(SEARCH("ASMA, OSAS",Tabella1[[#This Row],[Patologia respiratoria]],1)),0,1)</f>
        <v>0</v>
      </c>
      <c r="BQ258" s="17">
        <f>IF(ISERROR(SEARCH("OSAS e BPCO",Tabella1[[#This Row],[Patologia respiratoria]],1)),0,1)</f>
        <v>0</v>
      </c>
      <c r="BR258" s="17">
        <f>IF(ISERROR(SEARCH("OSAS",Tabella1[[#This Row],[Patologia respiratoria]],1)),0,1)</f>
        <v>0</v>
      </c>
      <c r="BS258" s="7" t="s">
        <v>2948</v>
      </c>
      <c r="BT258" s="7" t="s">
        <v>2949</v>
      </c>
      <c r="BU258" s="7" t="s">
        <v>382</v>
      </c>
      <c r="BV258" s="17">
        <f>IF(ISERROR(SEARCH("ndd",Tabella1[[#This Row],[O2 terapia]],1)),0,1)</f>
        <v>0</v>
      </c>
      <c r="BW258" s="17">
        <v>0</v>
      </c>
      <c r="BX258" s="7"/>
      <c r="BY258" s="7" t="s">
        <v>2950</v>
      </c>
      <c r="BZ258" s="17">
        <v>1</v>
      </c>
      <c r="CA258" s="7" t="s">
        <v>2951</v>
      </c>
      <c r="CB258" s="17">
        <v>1</v>
      </c>
      <c r="CC258" s="7" t="s">
        <v>309</v>
      </c>
      <c r="CD258" s="18">
        <v>0</v>
      </c>
      <c r="CE258" s="7" t="s">
        <v>309</v>
      </c>
      <c r="CF258" s="18">
        <v>0</v>
      </c>
      <c r="CG258" s="7" t="s">
        <v>2952</v>
      </c>
      <c r="CH258" s="17">
        <v>1</v>
      </c>
      <c r="CI258" s="7" t="s">
        <v>387</v>
      </c>
      <c r="CJ258" s="17">
        <v>1</v>
      </c>
      <c r="CK258" s="7" t="s">
        <v>1944</v>
      </c>
      <c r="CL258" s="17">
        <v>1</v>
      </c>
      <c r="CM258" s="7" t="s">
        <v>195</v>
      </c>
      <c r="CN258" s="17">
        <v>0</v>
      </c>
      <c r="CO258" s="7" t="s">
        <v>195</v>
      </c>
      <c r="CP258" s="18">
        <v>0</v>
      </c>
      <c r="CQ258" s="7" t="s">
        <v>85</v>
      </c>
      <c r="CR258" s="7" t="s">
        <v>2953</v>
      </c>
      <c r="CS258" s="7" t="s">
        <v>219</v>
      </c>
      <c r="CT258" s="7" t="s">
        <v>204</v>
      </c>
      <c r="CU258" s="7" t="s">
        <v>2954</v>
      </c>
      <c r="CV258" s="8" t="s">
        <v>2142</v>
      </c>
    </row>
    <row r="259" spans="1:100" ht="270.75">
      <c r="A259" s="1">
        <f t="shared" ref="A259:A325" si="4">A258+1</f>
        <v>258</v>
      </c>
      <c r="B259" s="9">
        <v>1506</v>
      </c>
      <c r="C259" s="10">
        <v>45462</v>
      </c>
      <c r="D259" s="11" t="s">
        <v>2955</v>
      </c>
      <c r="E259" s="10">
        <v>29059</v>
      </c>
      <c r="F259" s="29">
        <f ca="1">_xlfn.DAYS(NOW(),Tabella1[[#This Row],[Data di Nascita]])/365.25</f>
        <v>46.034223134839152</v>
      </c>
      <c r="G259" s="11" t="s">
        <v>2956</v>
      </c>
      <c r="H259" s="11" t="s">
        <v>2957</v>
      </c>
      <c r="I259" s="11" t="s">
        <v>2293</v>
      </c>
      <c r="J259" s="11" t="s">
        <v>473</v>
      </c>
      <c r="K259" s="11" t="s">
        <v>2958</v>
      </c>
      <c r="L259" s="18">
        <f>IF(ISERROR(SEARCH("EX",Tabella1[[#This Row],[Attività lavorativa]],1)),0,1)</f>
        <v>0</v>
      </c>
      <c r="M259" s="18"/>
      <c r="N259" s="18"/>
      <c r="O259" s="18"/>
      <c r="P259" s="18"/>
      <c r="Q259" s="18">
        <v>1</v>
      </c>
      <c r="R259" s="18"/>
      <c r="S259" s="18"/>
      <c r="T259" s="17">
        <f>IF(ISERROR(SEARCH("NDD",Tabella1[[#This Row],[Attività lavorativa]],1)),0,1)</f>
        <v>0</v>
      </c>
      <c r="U259" s="11" t="s">
        <v>2959</v>
      </c>
      <c r="V259" s="22">
        <v>4.5</v>
      </c>
      <c r="W259" s="22">
        <f>IF(ISERROR(SEARCH("ex",Tabella1[[#This Row],[Fumo]],1)),0,1)</f>
        <v>0</v>
      </c>
      <c r="X259" s="22">
        <f>IF(ISERROR(SEARCH("no",Tabella1[[#This Row],[Fumo]],1)),0,1)</f>
        <v>0</v>
      </c>
      <c r="Y259" s="11" t="s">
        <v>25</v>
      </c>
      <c r="Z259" s="18">
        <f>IF(ISERROR(SEARCH("NDD",Tabella1[[#This Row],[Bevitore alcolici]],1)),0,1)</f>
        <v>0</v>
      </c>
      <c r="AA259" s="17">
        <f>IF(ISERROR(SEARCH("raro",Tabella1[[#This Row],[Bevitore alcolici]],1)),0,1)</f>
        <v>0</v>
      </c>
      <c r="AB259" s="17">
        <f>IF(ISERROR(SEARCH("saltuariamente",Tabella1[[#This Row],[Bevitore alcolici]],1)),0,1)</f>
        <v>0</v>
      </c>
      <c r="AC259" s="17">
        <f>IF(ISERROR(SEARCH("nega",Tabella1[[#This Row],[Bevitore alcolici]],1)),0,1)</f>
        <v>1</v>
      </c>
      <c r="AD259" s="17">
        <f>IF(ISERROR(SEARCH("potus",Tabella1[[#This Row],[Bevitore alcolici]],1)),0,1)</f>
        <v>0</v>
      </c>
      <c r="AE259" s="11" t="s">
        <v>5662</v>
      </c>
      <c r="AF259" s="18"/>
      <c r="AG259" s="18"/>
      <c r="AH259" s="18"/>
      <c r="AI259" s="18"/>
      <c r="AJ259" s="18"/>
      <c r="AK259" s="11" t="s">
        <v>194</v>
      </c>
      <c r="AL259" s="18">
        <f>IF(ISERROR(SEARCH("si",Tabella1[[#This Row],[Patente di guida]],1)),0,1)</f>
        <v>1</v>
      </c>
      <c r="AM259" s="11" t="s">
        <v>195</v>
      </c>
      <c r="AN259" s="18">
        <f>IF(ISERROR(SEARCH("no",Tabella1[[#This Row],[Ipertensione]],1)),0,1)</f>
        <v>1</v>
      </c>
      <c r="AO259" s="11" t="s">
        <v>382</v>
      </c>
      <c r="AP259" s="18">
        <f>IF(ISERROR(SEARCH("NO",Tabella1[[#This Row],[Cardiopatia ischemica]],1)),1,0)</f>
        <v>0</v>
      </c>
      <c r="AQ259" s="17">
        <f>IF(ISERROR(SEARCH("sconosciuto",Tabella1[[#This Row],[Cardiopatia ischemica]],1)),0,1)</f>
        <v>0</v>
      </c>
      <c r="AR259" s="11" t="s">
        <v>25</v>
      </c>
      <c r="AS259" s="18">
        <f>IF(ISERROR(SEARCH("nega",Tabella1[[#This Row],[Artimie]],1)),0,1)</f>
        <v>1</v>
      </c>
      <c r="AT259" s="11" t="s">
        <v>25</v>
      </c>
      <c r="AU259" s="18">
        <f>IF(ISERROR(SEARCH("nega",Tabella1[[#This Row],[Ipercolesterolemia]],1)),0,1)</f>
        <v>1</v>
      </c>
      <c r="AV259" s="18">
        <f>IF(ISERROR(SEARCH("boh",Tabella1[[#This Row],[Ipercolesterolemia]],1)),0,1)</f>
        <v>0</v>
      </c>
      <c r="AW259" s="11" t="s">
        <v>195</v>
      </c>
      <c r="AX259" s="18">
        <f>IF(ISERROR(SEARCH("Intolleranza",Tabella1[[#This Row],[Diabete]],1)),0,1)</f>
        <v>0</v>
      </c>
      <c r="AY259" s="18">
        <f>IF(ISERROR(SEARCH("si",Tabella1[[#This Row],[Diabete]],1)),0,1)</f>
        <v>0</v>
      </c>
      <c r="AZ259" s="11" t="s">
        <v>195</v>
      </c>
      <c r="BA259" s="18">
        <f>IF(ISERROR(SEARCH("NDD",Tabella1[[#This Row],[Patologia Tiroidea]],1)),0,1)</f>
        <v>0</v>
      </c>
      <c r="BB259" s="18">
        <f>IF(ISERROR(SEARCH("TIROIDITE",Tabella1[[#This Row],[Patologia Tiroidea]],1)),0,1)</f>
        <v>0</v>
      </c>
      <c r="BC259" s="18">
        <f>IF(ISERROR(SEARCH("HASHIMOTO",Tabella1[[#This Row],[Patologia Tiroidea]],1)),0,1)</f>
        <v>0</v>
      </c>
      <c r="BD259" s="18">
        <f>IF(ISERROR(SEARCH("BASEDOW",Tabella1[[#This Row],[Patologia Tiroidea]],1)),0,1)</f>
        <v>0</v>
      </c>
      <c r="BE259" s="18">
        <f>IF(ISERROR(SEARCH("NOD",Tabella1[[#This Row],[Patologia Tiroidea]],1)),0,1)</f>
        <v>0</v>
      </c>
      <c r="BF259" s="18">
        <f>IF(ISERROR(SEARCH("GOZ",Tabella1[[#This Row],[Patologia Tiroidea]],1)),0,1)</f>
        <v>0</v>
      </c>
      <c r="BG259" s="11" t="s">
        <v>8</v>
      </c>
      <c r="BH259" s="18">
        <f>IF(Tabella1[[#This Row],[Obesità]]="no",0,1)</f>
        <v>0</v>
      </c>
      <c r="BI259" s="11" t="s">
        <v>25</v>
      </c>
      <c r="BJ259" s="22">
        <f>IF(ISERROR(SEARCH("nega",Tabella1[[#This Row],[Reflusso gastroesofageo]],1)),1,0)</f>
        <v>0</v>
      </c>
      <c r="BK259" s="11" t="s">
        <v>195</v>
      </c>
      <c r="BL259" s="18">
        <f>IF(ISERROR(SEARCH("NDD",Tabella1[[#This Row],[Patologia respiratoria]],1)),0,1)</f>
        <v>0</v>
      </c>
      <c r="BM259" s="18">
        <f>IF(ISERROR(SEARCH("asma",Tabella1[[#This Row],[Patologia respiratoria]],1)),0,1)</f>
        <v>0</v>
      </c>
      <c r="BN259" s="18">
        <f>IF(ISERROR(SEARCH("BPCO",Tabella1[[#This Row],[Patologia respiratoria]],1)),0,1)</f>
        <v>0</v>
      </c>
      <c r="BO259" s="18">
        <f>IF(ISERROR(SEARCH("BRONCOPOLMONITE",Tabella1[[#This Row],[Patologia respiratoria]],1)),0,1)</f>
        <v>0</v>
      </c>
      <c r="BP259" s="18">
        <f>IF(ISERROR(SEARCH("ASMA, OSAS",Tabella1[[#This Row],[Patologia respiratoria]],1)),0,1)</f>
        <v>0</v>
      </c>
      <c r="BQ259" s="18">
        <f>IF(ISERROR(SEARCH("OSAS e BPCO",Tabella1[[#This Row],[Patologia respiratoria]],1)),0,1)</f>
        <v>0</v>
      </c>
      <c r="BR259" s="18">
        <f>IF(ISERROR(SEARCH("OSAS",Tabella1[[#This Row],[Patologia respiratoria]],1)),0,1)</f>
        <v>0</v>
      </c>
      <c r="BS259" s="11" t="s">
        <v>2960</v>
      </c>
      <c r="BT259" s="11" t="s">
        <v>195</v>
      </c>
      <c r="BU259" s="7" t="s">
        <v>5477</v>
      </c>
      <c r="BV259" s="17">
        <f>IF(ISERROR(SEARCH("ndd",Tabella1[[#This Row],[O2 terapia]],1)),0,1)</f>
        <v>1</v>
      </c>
      <c r="BW259" s="18"/>
      <c r="BX259" s="11"/>
      <c r="BY259" s="11" t="s">
        <v>195</v>
      </c>
      <c r="BZ259" s="18">
        <v>0</v>
      </c>
      <c r="CA259" s="11" t="s">
        <v>2961</v>
      </c>
      <c r="CB259" s="17">
        <v>0</v>
      </c>
      <c r="CC259" s="11" t="s">
        <v>195</v>
      </c>
      <c r="CD259" s="18">
        <v>0</v>
      </c>
      <c r="CE259" s="11" t="s">
        <v>195</v>
      </c>
      <c r="CF259" s="18">
        <v>0</v>
      </c>
      <c r="CG259" s="11" t="s">
        <v>2962</v>
      </c>
      <c r="CH259" s="17">
        <v>0</v>
      </c>
      <c r="CI259" s="11" t="s">
        <v>2963</v>
      </c>
      <c r="CJ259" s="17">
        <v>1</v>
      </c>
      <c r="CK259" s="11" t="s">
        <v>2585</v>
      </c>
      <c r="CL259" s="17">
        <v>1</v>
      </c>
      <c r="CM259" s="11" t="s">
        <v>195</v>
      </c>
      <c r="CN259" s="17">
        <v>0</v>
      </c>
      <c r="CO259" s="11" t="s">
        <v>195</v>
      </c>
      <c r="CP259" s="18">
        <v>0</v>
      </c>
      <c r="CQ259" s="11" t="s">
        <v>103</v>
      </c>
      <c r="CR259" s="11" t="s">
        <v>2964</v>
      </c>
      <c r="CS259" s="11" t="s">
        <v>37</v>
      </c>
      <c r="CT259" s="11" t="s">
        <v>121</v>
      </c>
      <c r="CU259" s="11" t="s">
        <v>2965</v>
      </c>
      <c r="CV259" s="12"/>
    </row>
    <row r="260" spans="1:100" ht="228">
      <c r="A260" s="1">
        <f t="shared" si="4"/>
        <v>259</v>
      </c>
      <c r="B260" s="5">
        <v>1510</v>
      </c>
      <c r="C260" s="6">
        <v>45464</v>
      </c>
      <c r="D260" s="7" t="s">
        <v>2966</v>
      </c>
      <c r="E260" s="6">
        <v>24589</v>
      </c>
      <c r="F260" s="29">
        <f ca="1">_xlfn.DAYS(NOW(),Tabella1[[#This Row],[Data di Nascita]])/365.25</f>
        <v>58.272416153319647</v>
      </c>
      <c r="G260" s="7" t="s">
        <v>2967</v>
      </c>
      <c r="H260" s="7" t="s">
        <v>2968</v>
      </c>
      <c r="I260" s="7" t="s">
        <v>2293</v>
      </c>
      <c r="J260" s="7" t="s">
        <v>2969</v>
      </c>
      <c r="K260" s="7" t="s">
        <v>2970</v>
      </c>
      <c r="L260" s="17">
        <f>IF(ISERROR(SEARCH("EX",Tabella1[[#This Row],[Attività lavorativa]],1)),0,1)</f>
        <v>0</v>
      </c>
      <c r="M260" s="17"/>
      <c r="N260" s="17"/>
      <c r="O260" s="18">
        <v>1</v>
      </c>
      <c r="P260" s="17"/>
      <c r="Q260" s="17"/>
      <c r="R260" s="17"/>
      <c r="S260" s="17"/>
      <c r="T260" s="17">
        <f>IF(ISERROR(SEARCH("NDD",Tabella1[[#This Row],[Attività lavorativa]],1)),0,1)</f>
        <v>0</v>
      </c>
      <c r="U260" s="7" t="s">
        <v>2971</v>
      </c>
      <c r="V260" s="22">
        <v>3</v>
      </c>
      <c r="W260" s="22">
        <f>IF(ISERROR(SEARCH("ex",Tabella1[[#This Row],[Fumo]],1)),0,1)</f>
        <v>0</v>
      </c>
      <c r="X260" s="22">
        <f>IF(ISERROR(SEARCH("no",Tabella1[[#This Row],[Fumo]],1)),0,1)</f>
        <v>0</v>
      </c>
      <c r="Y260" s="7" t="s">
        <v>2972</v>
      </c>
      <c r="Z260" s="17">
        <f>IF(ISERROR(SEARCH("NDD",Tabella1[[#This Row],[Bevitore alcolici]],1)),0,1)</f>
        <v>0</v>
      </c>
      <c r="AA260" s="17">
        <f>IF(ISERROR(SEARCH("raro",Tabella1[[#This Row],[Bevitore alcolici]],1)),0,1)</f>
        <v>0</v>
      </c>
      <c r="AB260" s="17">
        <f>IF(ISERROR(SEARCH("saltuariamente",Tabella1[[#This Row],[Bevitore alcolici]],1)),0,1)</f>
        <v>0</v>
      </c>
      <c r="AC260" s="17">
        <f>IF(ISERROR(SEARCH("nega",Tabella1[[#This Row],[Bevitore alcolici]],1)),0,1)</f>
        <v>1</v>
      </c>
      <c r="AD260" s="17">
        <f>IF(ISERROR(SEARCH("potus",Tabella1[[#This Row],[Bevitore alcolici]],1)),0,1)</f>
        <v>1</v>
      </c>
      <c r="AE260" s="7" t="s">
        <v>657</v>
      </c>
      <c r="AF260" s="17"/>
      <c r="AG260" s="17"/>
      <c r="AH260" s="17"/>
      <c r="AI260" s="17"/>
      <c r="AJ260" s="17"/>
      <c r="AK260" s="7" t="s">
        <v>3710</v>
      </c>
      <c r="AL260" s="17">
        <f>IF(ISERROR(SEARCH("si",Tabella1[[#This Row],[Patente di guida]],1)),0,1)</f>
        <v>1</v>
      </c>
      <c r="AM260" s="7" t="s">
        <v>8</v>
      </c>
      <c r="AN260" s="17">
        <f>IF(ISERROR(SEARCH("no",Tabella1[[#This Row],[Ipertensione]],1)),0,1)</f>
        <v>1</v>
      </c>
      <c r="AO260" s="7" t="s">
        <v>382</v>
      </c>
      <c r="AP260" s="18">
        <f>IF(ISERROR(SEARCH("NO",Tabella1[[#This Row],[Cardiopatia ischemica]],1)),1,0)</f>
        <v>0</v>
      </c>
      <c r="AQ260" s="17">
        <f>IF(ISERROR(SEARCH("sconosciuto",Tabella1[[#This Row],[Cardiopatia ischemica]],1)),0,1)</f>
        <v>0</v>
      </c>
      <c r="AR260" s="7" t="s">
        <v>25</v>
      </c>
      <c r="AS260" s="17">
        <f>IF(ISERROR(SEARCH("nega",Tabella1[[#This Row],[Artimie]],1)),0,1)</f>
        <v>1</v>
      </c>
      <c r="AT260" s="7" t="s">
        <v>25</v>
      </c>
      <c r="AU260" s="17">
        <f>IF(ISERROR(SEARCH("nega",Tabella1[[#This Row],[Ipercolesterolemia]],1)),0,1)</f>
        <v>1</v>
      </c>
      <c r="AV260" s="17">
        <f>IF(ISERROR(SEARCH("boh",Tabella1[[#This Row],[Ipercolesterolemia]],1)),0,1)</f>
        <v>0</v>
      </c>
      <c r="AW260" s="7" t="s">
        <v>8</v>
      </c>
      <c r="AX260" s="17">
        <f>IF(ISERROR(SEARCH("Intolleranza",Tabella1[[#This Row],[Diabete]],1)),0,1)</f>
        <v>0</v>
      </c>
      <c r="AY260" s="17">
        <f>IF(ISERROR(SEARCH("si",Tabella1[[#This Row],[Diabete]],1)),0,1)</f>
        <v>0</v>
      </c>
      <c r="AZ260" s="7" t="s">
        <v>8</v>
      </c>
      <c r="BA260" s="17">
        <f>IF(ISERROR(SEARCH("NDD",Tabella1[[#This Row],[Patologia Tiroidea]],1)),0,1)</f>
        <v>0</v>
      </c>
      <c r="BB260" s="17">
        <f>IF(ISERROR(SEARCH("TIROIDITE",Tabella1[[#This Row],[Patologia Tiroidea]],1)),0,1)</f>
        <v>0</v>
      </c>
      <c r="BC260" s="17">
        <f>IF(ISERROR(SEARCH("HASHIMOTO",Tabella1[[#This Row],[Patologia Tiroidea]],1)),0,1)</f>
        <v>0</v>
      </c>
      <c r="BD260" s="17">
        <f>IF(ISERROR(SEARCH("BASEDOW",Tabella1[[#This Row],[Patologia Tiroidea]],1)),0,1)</f>
        <v>0</v>
      </c>
      <c r="BE260" s="17">
        <f>IF(ISERROR(SEARCH("NOD",Tabella1[[#This Row],[Patologia Tiroidea]],1)),0,1)</f>
        <v>0</v>
      </c>
      <c r="BF260" s="17">
        <f>IF(ISERROR(SEARCH("GOZ",Tabella1[[#This Row],[Patologia Tiroidea]],1)),0,1)</f>
        <v>0</v>
      </c>
      <c r="BG260" s="7" t="s">
        <v>28</v>
      </c>
      <c r="BH260" s="17">
        <f>IF(Tabella1[[#This Row],[Obesità]]="no",0,1)</f>
        <v>1</v>
      </c>
      <c r="BI260" s="7" t="s">
        <v>28</v>
      </c>
      <c r="BJ260" s="22">
        <f>IF(ISERROR(SEARCH("nega",Tabella1[[#This Row],[Reflusso gastroesofageo]],1)),1,0)</f>
        <v>1</v>
      </c>
      <c r="BK260" s="7" t="s">
        <v>2973</v>
      </c>
      <c r="BL260" s="17">
        <f>IF(ISERROR(SEARCH("NDD",Tabella1[[#This Row],[Patologia respiratoria]],1)),0,1)</f>
        <v>0</v>
      </c>
      <c r="BM260" s="17">
        <f>IF(ISERROR(SEARCH("asma",Tabella1[[#This Row],[Patologia respiratoria]],1)),0,1)</f>
        <v>0</v>
      </c>
      <c r="BN260" s="17">
        <f>IF(ISERROR(SEARCH("BPCO",Tabella1[[#This Row],[Patologia respiratoria]],1)),0,1)</f>
        <v>0</v>
      </c>
      <c r="BO260" s="17">
        <f>IF(ISERROR(SEARCH("BRONCOPOLMONITE",Tabella1[[#This Row],[Patologia respiratoria]],1)),0,1)</f>
        <v>0</v>
      </c>
      <c r="BP260" s="17">
        <f>IF(ISERROR(SEARCH("ASMA, OSAS",Tabella1[[#This Row],[Patologia respiratoria]],1)),0,1)</f>
        <v>0</v>
      </c>
      <c r="BQ260" s="17">
        <f>IF(ISERROR(SEARCH("OSAS e BPCO",Tabella1[[#This Row],[Patologia respiratoria]],1)),0,1)</f>
        <v>0</v>
      </c>
      <c r="BR260" s="17">
        <f>IF(ISERROR(SEARCH("OSAS",Tabella1[[#This Row],[Patologia respiratoria]],1)),0,1)</f>
        <v>0</v>
      </c>
      <c r="BS260" s="7" t="s">
        <v>2974</v>
      </c>
      <c r="BT260" s="7" t="s">
        <v>2975</v>
      </c>
      <c r="BU260" s="7" t="s">
        <v>5477</v>
      </c>
      <c r="BV260" s="17">
        <f>IF(ISERROR(SEARCH("ndd",Tabella1[[#This Row],[O2 terapia]],1)),0,1)</f>
        <v>1</v>
      </c>
      <c r="BW260" s="17"/>
      <c r="BX260" s="7"/>
      <c r="BY260" s="7" t="s">
        <v>195</v>
      </c>
      <c r="BZ260" s="18">
        <v>0</v>
      </c>
      <c r="CA260" s="7" t="s">
        <v>2976</v>
      </c>
      <c r="CB260" s="17">
        <v>1</v>
      </c>
      <c r="CC260" s="7" t="s">
        <v>2977</v>
      </c>
      <c r="CD260" s="17">
        <v>1</v>
      </c>
      <c r="CE260" s="7" t="s">
        <v>195</v>
      </c>
      <c r="CF260" s="18">
        <v>0</v>
      </c>
      <c r="CG260" s="7" t="s">
        <v>195</v>
      </c>
      <c r="CH260" s="17">
        <v>0</v>
      </c>
      <c r="CI260" s="7" t="s">
        <v>194</v>
      </c>
      <c r="CJ260" s="17">
        <v>1</v>
      </c>
      <c r="CK260" s="7" t="s">
        <v>2488</v>
      </c>
      <c r="CL260" s="17">
        <v>1</v>
      </c>
      <c r="CM260" s="7" t="s">
        <v>8</v>
      </c>
      <c r="CN260" s="17">
        <v>0</v>
      </c>
      <c r="CO260" s="7" t="s">
        <v>8</v>
      </c>
      <c r="CP260" s="18">
        <v>0</v>
      </c>
      <c r="CQ260" s="7" t="s">
        <v>54</v>
      </c>
      <c r="CR260" s="7" t="s">
        <v>2978</v>
      </c>
      <c r="CS260" s="7" t="s">
        <v>105</v>
      </c>
      <c r="CT260" s="7" t="s">
        <v>736</v>
      </c>
      <c r="CU260" s="7" t="s">
        <v>2979</v>
      </c>
      <c r="CV260" s="8" t="s">
        <v>2980</v>
      </c>
    </row>
    <row r="261" spans="1:100" ht="270.75">
      <c r="A261" s="1">
        <f t="shared" si="4"/>
        <v>260</v>
      </c>
      <c r="B261" s="9">
        <v>1518</v>
      </c>
      <c r="C261" s="10">
        <v>45477</v>
      </c>
      <c r="D261" s="11" t="s">
        <v>2981</v>
      </c>
      <c r="E261" s="10">
        <v>28655</v>
      </c>
      <c r="F261" s="29">
        <f ca="1">_xlfn.DAYS(NOW(),Tabella1[[#This Row],[Data di Nascita]])/365.25</f>
        <v>47.140314852840518</v>
      </c>
      <c r="G261" s="11" t="s">
        <v>2982</v>
      </c>
      <c r="H261" s="11" t="s">
        <v>2983</v>
      </c>
      <c r="I261" s="11" t="s">
        <v>2293</v>
      </c>
      <c r="J261" s="11" t="s">
        <v>473</v>
      </c>
      <c r="K261" s="11" t="s">
        <v>2984</v>
      </c>
      <c r="L261" s="18">
        <f>IF(ISERROR(SEARCH("EX",Tabella1[[#This Row],[Attività lavorativa]],1)),0,1)</f>
        <v>0</v>
      </c>
      <c r="M261" s="18"/>
      <c r="N261" s="18"/>
      <c r="O261" s="18"/>
      <c r="P261" s="18"/>
      <c r="Q261" s="18">
        <v>1</v>
      </c>
      <c r="R261" s="18"/>
      <c r="S261" s="18"/>
      <c r="T261" s="17">
        <f>IF(ISERROR(SEARCH("NDD",Tabella1[[#This Row],[Attività lavorativa]],1)),0,1)</f>
        <v>0</v>
      </c>
      <c r="U261" s="11" t="s">
        <v>8</v>
      </c>
      <c r="V261" s="22"/>
      <c r="W261" s="22">
        <f>IF(ISERROR(SEARCH("ex",Tabella1[[#This Row],[Fumo]],1)),0,1)</f>
        <v>0</v>
      </c>
      <c r="X261" s="22">
        <f>IF(ISERROR(SEARCH("no",Tabella1[[#This Row],[Fumo]],1)),0,1)</f>
        <v>1</v>
      </c>
      <c r="Y261" s="11" t="s">
        <v>309</v>
      </c>
      <c r="Z261" s="18">
        <f>IF(ISERROR(SEARCH("NDD",Tabella1[[#This Row],[Bevitore alcolici]],1)),0,1)</f>
        <v>0</v>
      </c>
      <c r="AA261" s="17">
        <f>IF(ISERROR(SEARCH("raro",Tabella1[[#This Row],[Bevitore alcolici]],1)),0,1)</f>
        <v>0</v>
      </c>
      <c r="AB261" s="17">
        <f>IF(ISERROR(SEARCH("saltuariamente",Tabella1[[#This Row],[Bevitore alcolici]],1)),0,1)</f>
        <v>0</v>
      </c>
      <c r="AC261" s="17">
        <f>IF(ISERROR(SEARCH("nega",Tabella1[[#This Row],[Bevitore alcolici]],1)),0,1)</f>
        <v>1</v>
      </c>
      <c r="AD261" s="17">
        <f>IF(ISERROR(SEARCH("potus",Tabella1[[#This Row],[Bevitore alcolici]],1)),0,1)</f>
        <v>0</v>
      </c>
      <c r="AE261" s="11" t="s">
        <v>2985</v>
      </c>
      <c r="AF261" s="18"/>
      <c r="AG261" s="18">
        <v>1</v>
      </c>
      <c r="AH261" s="18"/>
      <c r="AI261" s="18"/>
      <c r="AJ261" s="18"/>
      <c r="AK261" s="11" t="s">
        <v>195</v>
      </c>
      <c r="AL261" s="18">
        <f>IF(ISERROR(SEARCH("si",Tabella1[[#This Row],[Patente di guida]],1)),0,1)</f>
        <v>0</v>
      </c>
      <c r="AM261" s="11" t="s">
        <v>195</v>
      </c>
      <c r="AN261" s="18">
        <f>IF(ISERROR(SEARCH("no",Tabella1[[#This Row],[Ipertensione]],1)),0,1)</f>
        <v>1</v>
      </c>
      <c r="AO261" s="11" t="s">
        <v>382</v>
      </c>
      <c r="AP261" s="18">
        <f>IF(ISERROR(SEARCH("NO",Tabella1[[#This Row],[Cardiopatia ischemica]],1)),1,0)</f>
        <v>0</v>
      </c>
      <c r="AQ261" s="17">
        <f>IF(ISERROR(SEARCH("sconosciuto",Tabella1[[#This Row],[Cardiopatia ischemica]],1)),0,1)</f>
        <v>0</v>
      </c>
      <c r="AR261" s="11" t="s">
        <v>25</v>
      </c>
      <c r="AS261" s="22">
        <f>IF(ISERROR(SEARCH("nega",Tabella1[[#This Row],[Artimie]],1)),0,1)</f>
        <v>1</v>
      </c>
      <c r="AT261" s="11" t="s">
        <v>25</v>
      </c>
      <c r="AU261" s="22">
        <f>IF(ISERROR(SEARCH("nega",Tabella1[[#This Row],[Ipercolesterolemia]],1)),0,1)</f>
        <v>1</v>
      </c>
      <c r="AV261" s="22">
        <f>IF(ISERROR(SEARCH("boh",Tabella1[[#This Row],[Ipercolesterolemia]],1)),0,1)</f>
        <v>0</v>
      </c>
      <c r="AW261" s="11" t="s">
        <v>195</v>
      </c>
      <c r="AX261" s="22">
        <f>IF(ISERROR(SEARCH("Intolleranza",Tabella1[[#This Row],[Diabete]],1)),0,1)</f>
        <v>0</v>
      </c>
      <c r="AY261" s="22">
        <f>IF(ISERROR(SEARCH("si",Tabella1[[#This Row],[Diabete]],1)),0,1)</f>
        <v>0</v>
      </c>
      <c r="AZ261" s="11" t="s">
        <v>195</v>
      </c>
      <c r="BA261" s="18">
        <f>IF(ISERROR(SEARCH("NDD",Tabella1[[#This Row],[Patologia Tiroidea]],1)),0,1)</f>
        <v>0</v>
      </c>
      <c r="BB261" s="22">
        <f>IF(ISERROR(SEARCH("TIROIDITE",Tabella1[[#This Row],[Patologia Tiroidea]],1)),0,1)</f>
        <v>0</v>
      </c>
      <c r="BC261" s="22">
        <f>IF(ISERROR(SEARCH("HASHIMOTO",Tabella1[[#This Row],[Patologia Tiroidea]],1)),0,1)</f>
        <v>0</v>
      </c>
      <c r="BD261" s="22">
        <f>IF(ISERROR(SEARCH("BASEDOW",Tabella1[[#This Row],[Patologia Tiroidea]],1)),0,1)</f>
        <v>0</v>
      </c>
      <c r="BE261" s="22">
        <f>IF(ISERROR(SEARCH("NOD",Tabella1[[#This Row],[Patologia Tiroidea]],1)),0,1)</f>
        <v>0</v>
      </c>
      <c r="BF261" s="22">
        <f>IF(ISERROR(SEARCH("GOZ",Tabella1[[#This Row],[Patologia Tiroidea]],1)),0,1)</f>
        <v>0</v>
      </c>
      <c r="BG261" s="11" t="s">
        <v>8</v>
      </c>
      <c r="BH261" s="18">
        <f>IF(Tabella1[[#This Row],[Obesità]]="no",0,1)</f>
        <v>0</v>
      </c>
      <c r="BI261" s="11" t="s">
        <v>2986</v>
      </c>
      <c r="BJ261" s="22">
        <f>IF(ISERROR(SEARCH("nega",Tabella1[[#This Row],[Reflusso gastroesofageo]],1)),1,0)</f>
        <v>1</v>
      </c>
      <c r="BK261" s="11" t="s">
        <v>195</v>
      </c>
      <c r="BL261" s="18">
        <f>IF(ISERROR(SEARCH("NDD",Tabella1[[#This Row],[Patologia respiratoria]],1)),0,1)</f>
        <v>0</v>
      </c>
      <c r="BM261" s="18">
        <f>IF(ISERROR(SEARCH("asma",Tabella1[[#This Row],[Patologia respiratoria]],1)),0,1)</f>
        <v>0</v>
      </c>
      <c r="BN261" s="18">
        <f>IF(ISERROR(SEARCH("BPCO",Tabella1[[#This Row],[Patologia respiratoria]],1)),0,1)</f>
        <v>0</v>
      </c>
      <c r="BO261" s="18">
        <f>IF(ISERROR(SEARCH("BRONCOPOLMONITE",Tabella1[[#This Row],[Patologia respiratoria]],1)),0,1)</f>
        <v>0</v>
      </c>
      <c r="BP261" s="18">
        <f>IF(ISERROR(SEARCH("ASMA, OSAS",Tabella1[[#This Row],[Patologia respiratoria]],1)),0,1)</f>
        <v>0</v>
      </c>
      <c r="BQ261" s="18">
        <f>IF(ISERROR(SEARCH("OSAS e BPCO",Tabella1[[#This Row],[Patologia respiratoria]],1)),0,1)</f>
        <v>0</v>
      </c>
      <c r="BR261" s="18">
        <f>IF(ISERROR(SEARCH("OSAS",Tabella1[[#This Row],[Patologia respiratoria]],1)),0,1)</f>
        <v>0</v>
      </c>
      <c r="BS261" s="11"/>
      <c r="BT261" s="11" t="s">
        <v>2987</v>
      </c>
      <c r="BU261" s="11" t="s">
        <v>195</v>
      </c>
      <c r="BV261" s="18">
        <f>IF(ISERROR(SEARCH("ndd",Tabella1[[#This Row],[O2 terapia]],1)),0,1)</f>
        <v>0</v>
      </c>
      <c r="BW261" s="17">
        <v>0</v>
      </c>
      <c r="BX261" s="11"/>
      <c r="BY261" s="11" t="s">
        <v>195</v>
      </c>
      <c r="BZ261" s="18">
        <v>0</v>
      </c>
      <c r="CA261" s="11" t="s">
        <v>2988</v>
      </c>
      <c r="CB261" s="17">
        <v>1</v>
      </c>
      <c r="CC261" s="11" t="s">
        <v>2989</v>
      </c>
      <c r="CD261" s="17">
        <v>1</v>
      </c>
      <c r="CE261" s="11" t="s">
        <v>309</v>
      </c>
      <c r="CF261" s="18">
        <v>0</v>
      </c>
      <c r="CG261" s="11" t="s">
        <v>2990</v>
      </c>
      <c r="CH261" s="17">
        <v>1</v>
      </c>
      <c r="CI261" s="11" t="s">
        <v>2991</v>
      </c>
      <c r="CJ261" s="17">
        <v>1</v>
      </c>
      <c r="CK261" s="11" t="s">
        <v>2992</v>
      </c>
      <c r="CL261" s="17">
        <v>1</v>
      </c>
      <c r="CM261" s="11" t="s">
        <v>2993</v>
      </c>
      <c r="CN261" s="17">
        <v>1</v>
      </c>
      <c r="CO261" s="11" t="s">
        <v>2994</v>
      </c>
      <c r="CP261" s="17">
        <v>1</v>
      </c>
      <c r="CQ261" s="11" t="s">
        <v>663</v>
      </c>
      <c r="CR261" s="11" t="s">
        <v>2995</v>
      </c>
      <c r="CS261" s="11" t="s">
        <v>219</v>
      </c>
      <c r="CT261" s="11" t="s">
        <v>122</v>
      </c>
      <c r="CU261" s="11" t="s">
        <v>2996</v>
      </c>
      <c r="CV261" s="12" t="s">
        <v>2997</v>
      </c>
    </row>
    <row r="262" spans="1:100" ht="270.75">
      <c r="A262" s="1">
        <f t="shared" si="4"/>
        <v>261</v>
      </c>
      <c r="B262" s="5">
        <v>1523</v>
      </c>
      <c r="C262" s="6">
        <v>45481</v>
      </c>
      <c r="D262" s="7" t="s">
        <v>2998</v>
      </c>
      <c r="E262" s="6">
        <v>35156</v>
      </c>
      <c r="F262" s="29">
        <f ca="1">_xlfn.DAYS(NOW(),Tabella1[[#This Row],[Data di Nascita]])/365.25</f>
        <v>29.341546885694729</v>
      </c>
      <c r="G262" s="7" t="s">
        <v>2999</v>
      </c>
      <c r="H262" s="7" t="s">
        <v>3000</v>
      </c>
      <c r="I262" s="7" t="s">
        <v>2293</v>
      </c>
      <c r="J262" s="7" t="s">
        <v>2410</v>
      </c>
      <c r="K262" s="7" t="s">
        <v>3001</v>
      </c>
      <c r="L262" s="17">
        <f>IF(ISERROR(SEARCH("EX",Tabella1[[#This Row],[Attività lavorativa]],1)),0,1)</f>
        <v>0</v>
      </c>
      <c r="M262" s="17"/>
      <c r="N262" s="17"/>
      <c r="O262" s="17"/>
      <c r="P262" s="17"/>
      <c r="Q262" s="17"/>
      <c r="R262" s="17"/>
      <c r="S262" s="17"/>
      <c r="T262" s="17">
        <f>IF(ISERROR(SEARCH("NDD",Tabella1[[#This Row],[Attività lavorativa]],1)),0,1)</f>
        <v>0</v>
      </c>
      <c r="U262" s="7" t="s">
        <v>3688</v>
      </c>
      <c r="V262" s="22"/>
      <c r="W262" s="22">
        <f>IF(ISERROR(SEARCH("ex",Tabella1[[#This Row],[Fumo]],1)),0,1)</f>
        <v>0</v>
      </c>
      <c r="X262" s="22">
        <f>IF(ISERROR(SEARCH("no",Tabella1[[#This Row],[Fumo]],1)),0,1)</f>
        <v>1</v>
      </c>
      <c r="Y262" s="7" t="s">
        <v>25</v>
      </c>
      <c r="Z262" s="17">
        <f>IF(ISERROR(SEARCH("NDD",Tabella1[[#This Row],[Bevitore alcolici]],1)),0,1)</f>
        <v>0</v>
      </c>
      <c r="AA262" s="17">
        <f>IF(ISERROR(SEARCH("raro",Tabella1[[#This Row],[Bevitore alcolici]],1)),0,1)</f>
        <v>0</v>
      </c>
      <c r="AB262" s="17">
        <f>IF(ISERROR(SEARCH("saltuariamente",Tabella1[[#This Row],[Bevitore alcolici]],1)),0,1)</f>
        <v>0</v>
      </c>
      <c r="AC262" s="17">
        <f>IF(ISERROR(SEARCH("nega",Tabella1[[#This Row],[Bevitore alcolici]],1)),0,1)</f>
        <v>1</v>
      </c>
      <c r="AD262" s="17">
        <f>IF(ISERROR(SEARCH("potus",Tabella1[[#This Row],[Bevitore alcolici]],1)),0,1)</f>
        <v>0</v>
      </c>
      <c r="AE262" s="7" t="s">
        <v>5670</v>
      </c>
      <c r="AF262" s="17"/>
      <c r="AG262" s="18">
        <v>1</v>
      </c>
      <c r="AH262" s="18"/>
      <c r="AI262" s="18"/>
      <c r="AJ262" s="18"/>
      <c r="AK262" s="7" t="s">
        <v>194</v>
      </c>
      <c r="AL262" s="17">
        <f>IF(ISERROR(SEARCH("si",Tabella1[[#This Row],[Patente di guida]],1)),0,1)</f>
        <v>1</v>
      </c>
      <c r="AM262" s="7" t="s">
        <v>195</v>
      </c>
      <c r="AN262" s="17">
        <f>IF(ISERROR(SEARCH("no",Tabella1[[#This Row],[Ipertensione]],1)),0,1)</f>
        <v>1</v>
      </c>
      <c r="AO262" s="7" t="s">
        <v>382</v>
      </c>
      <c r="AP262" s="18">
        <f>IF(ISERROR(SEARCH("NO",Tabella1[[#This Row],[Cardiopatia ischemica]],1)),1,0)</f>
        <v>0</v>
      </c>
      <c r="AQ262" s="17">
        <f>IF(ISERROR(SEARCH("sconosciuto",Tabella1[[#This Row],[Cardiopatia ischemica]],1)),0,1)</f>
        <v>0</v>
      </c>
      <c r="AR262" s="7" t="s">
        <v>25</v>
      </c>
      <c r="AS262" s="17">
        <f>IF(ISERROR(SEARCH("nega",Tabella1[[#This Row],[Artimie]],1)),0,1)</f>
        <v>1</v>
      </c>
      <c r="AT262" s="7" t="s">
        <v>25</v>
      </c>
      <c r="AU262" s="17">
        <f>IF(ISERROR(SEARCH("nega",Tabella1[[#This Row],[Ipercolesterolemia]],1)),0,1)</f>
        <v>1</v>
      </c>
      <c r="AV262" s="17">
        <f>IF(ISERROR(SEARCH("boh",Tabella1[[#This Row],[Ipercolesterolemia]],1)),0,1)</f>
        <v>0</v>
      </c>
      <c r="AW262" s="7" t="s">
        <v>195</v>
      </c>
      <c r="AX262" s="17">
        <f>IF(ISERROR(SEARCH("Intolleranza",Tabella1[[#This Row],[Diabete]],1)),0,1)</f>
        <v>0</v>
      </c>
      <c r="AY262" s="17">
        <f>IF(ISERROR(SEARCH("si",Tabella1[[#This Row],[Diabete]],1)),0,1)</f>
        <v>0</v>
      </c>
      <c r="AZ262" s="7" t="s">
        <v>195</v>
      </c>
      <c r="BA262" s="17">
        <f>IF(ISERROR(SEARCH("NDD",Tabella1[[#This Row],[Patologia Tiroidea]],1)),0,1)</f>
        <v>0</v>
      </c>
      <c r="BB262" s="17">
        <f>IF(ISERROR(SEARCH("TIROIDITE",Tabella1[[#This Row],[Patologia Tiroidea]],1)),0,1)</f>
        <v>0</v>
      </c>
      <c r="BC262" s="17">
        <f>IF(ISERROR(SEARCH("HASHIMOTO",Tabella1[[#This Row],[Patologia Tiroidea]],1)),0,1)</f>
        <v>0</v>
      </c>
      <c r="BD262" s="17">
        <f>IF(ISERROR(SEARCH("BASEDOW",Tabella1[[#This Row],[Patologia Tiroidea]],1)),0,1)</f>
        <v>0</v>
      </c>
      <c r="BE262" s="17">
        <f>IF(ISERROR(SEARCH("NOD",Tabella1[[#This Row],[Patologia Tiroidea]],1)),0,1)</f>
        <v>0</v>
      </c>
      <c r="BF262" s="17">
        <f>IF(ISERROR(SEARCH("GOZ",Tabella1[[#This Row],[Patologia Tiroidea]],1)),0,1)</f>
        <v>0</v>
      </c>
      <c r="BG262" s="7" t="s">
        <v>194</v>
      </c>
      <c r="BH262" s="17">
        <f>IF(Tabella1[[#This Row],[Obesità]]="no",0,1)</f>
        <v>1</v>
      </c>
      <c r="BI262" s="7" t="s">
        <v>387</v>
      </c>
      <c r="BJ262" s="22">
        <f>IF(ISERROR(SEARCH("nega",Tabella1[[#This Row],[Reflusso gastroesofageo]],1)),1,0)</f>
        <v>1</v>
      </c>
      <c r="BK262" s="7" t="s">
        <v>2846</v>
      </c>
      <c r="BL262" s="17">
        <f>IF(ISERROR(SEARCH("NDD",Tabella1[[#This Row],[Patologia respiratoria]],1)),0,1)</f>
        <v>0</v>
      </c>
      <c r="BM262" s="17">
        <f>IF(ISERROR(SEARCH("asma",Tabella1[[#This Row],[Patologia respiratoria]],1)),0,1)</f>
        <v>0</v>
      </c>
      <c r="BN262" s="17">
        <f>IF(ISERROR(SEARCH("BPCO",Tabella1[[#This Row],[Patologia respiratoria]],1)),0,1)</f>
        <v>0</v>
      </c>
      <c r="BO262" s="17">
        <f>IF(ISERROR(SEARCH("BRONCOPOLMONITE",Tabella1[[#This Row],[Patologia respiratoria]],1)),0,1)</f>
        <v>0</v>
      </c>
      <c r="BP262" s="17">
        <f>IF(ISERROR(SEARCH("ASMA, OSAS",Tabella1[[#This Row],[Patologia respiratoria]],1)),0,1)</f>
        <v>0</v>
      </c>
      <c r="BQ262" s="17">
        <f>IF(ISERROR(SEARCH("OSAS e BPCO",Tabella1[[#This Row],[Patologia respiratoria]],1)),0,1)</f>
        <v>0</v>
      </c>
      <c r="BR262" s="17">
        <f>IF(ISERROR(SEARCH("OSAS",Tabella1[[#This Row],[Patologia respiratoria]],1)),0,1)</f>
        <v>0</v>
      </c>
      <c r="BS262" s="7" t="s">
        <v>3002</v>
      </c>
      <c r="BT262" s="7" t="s">
        <v>195</v>
      </c>
      <c r="BU262" s="7" t="s">
        <v>5477</v>
      </c>
      <c r="BV262" s="17">
        <f>IF(ISERROR(SEARCH("ndd",Tabella1[[#This Row],[O2 terapia]],1)),0,1)</f>
        <v>1</v>
      </c>
      <c r="BW262" s="17"/>
      <c r="BX262" s="7"/>
      <c r="BY262" s="7" t="s">
        <v>195</v>
      </c>
      <c r="BZ262" s="18">
        <v>0</v>
      </c>
      <c r="CA262" s="7" t="s">
        <v>3003</v>
      </c>
      <c r="CB262" s="17">
        <v>1</v>
      </c>
      <c r="CC262" s="7" t="s">
        <v>195</v>
      </c>
      <c r="CD262" s="18">
        <v>0</v>
      </c>
      <c r="CE262" s="7" t="s">
        <v>195</v>
      </c>
      <c r="CF262" s="18">
        <v>0</v>
      </c>
      <c r="CG262" s="7" t="s">
        <v>3004</v>
      </c>
      <c r="CH262" s="17">
        <v>1</v>
      </c>
      <c r="CI262" s="7" t="s">
        <v>387</v>
      </c>
      <c r="CJ262" s="17">
        <v>1</v>
      </c>
      <c r="CK262" s="7" t="s">
        <v>3005</v>
      </c>
      <c r="CL262" s="17">
        <v>1</v>
      </c>
      <c r="CM262" s="7" t="s">
        <v>195</v>
      </c>
      <c r="CN262" s="17">
        <v>0</v>
      </c>
      <c r="CO262" s="7" t="s">
        <v>3006</v>
      </c>
      <c r="CP262" s="17">
        <v>1</v>
      </c>
      <c r="CQ262" s="7" t="s">
        <v>103</v>
      </c>
      <c r="CR262" s="7" t="s">
        <v>3007</v>
      </c>
      <c r="CS262" s="7" t="s">
        <v>37</v>
      </c>
      <c r="CT262" s="7" t="s">
        <v>569</v>
      </c>
      <c r="CU262" s="7" t="s">
        <v>3008</v>
      </c>
      <c r="CV262" s="8" t="s">
        <v>3009</v>
      </c>
    </row>
    <row r="263" spans="1:100" ht="313.5">
      <c r="A263" s="1">
        <f t="shared" si="4"/>
        <v>262</v>
      </c>
      <c r="B263" s="9">
        <v>1527</v>
      </c>
      <c r="C263" s="10">
        <v>45483</v>
      </c>
      <c r="D263" s="11" t="s">
        <v>3010</v>
      </c>
      <c r="E263" s="10">
        <v>31164</v>
      </c>
      <c r="F263" s="29">
        <f ca="1">_xlfn.DAYS(NOW(),Tabella1[[#This Row],[Data di Nascita]])/365.25</f>
        <v>40.271047227926076</v>
      </c>
      <c r="G263" s="11" t="s">
        <v>3011</v>
      </c>
      <c r="H263" s="11" t="s">
        <v>3012</v>
      </c>
      <c r="I263" s="11" t="s">
        <v>2293</v>
      </c>
      <c r="J263" s="11" t="s">
        <v>211</v>
      </c>
      <c r="K263" s="11" t="s">
        <v>3013</v>
      </c>
      <c r="L263" s="18">
        <f>IF(ISERROR(SEARCH("EX",Tabella1[[#This Row],[Attività lavorativa]],1)),0,1)</f>
        <v>0</v>
      </c>
      <c r="M263" s="18"/>
      <c r="N263" s="18"/>
      <c r="O263" s="18"/>
      <c r="P263" s="18"/>
      <c r="Q263" s="18"/>
      <c r="R263" s="18"/>
      <c r="S263" s="18"/>
      <c r="T263" s="17">
        <f>IF(ISERROR(SEARCH("NDD",Tabella1[[#This Row],[Attività lavorativa]],1)),0,1)</f>
        <v>0</v>
      </c>
      <c r="U263" s="11" t="s">
        <v>3688</v>
      </c>
      <c r="V263" s="22"/>
      <c r="W263" s="22">
        <f>IF(ISERROR(SEARCH("ex",Tabella1[[#This Row],[Fumo]],1)),0,1)</f>
        <v>0</v>
      </c>
      <c r="X263" s="22">
        <f>IF(ISERROR(SEARCH("no",Tabella1[[#This Row],[Fumo]],1)),0,1)</f>
        <v>1</v>
      </c>
      <c r="Y263" s="11" t="s">
        <v>26</v>
      </c>
      <c r="Z263" s="18">
        <f>IF(ISERROR(SEARCH("NDD",Tabella1[[#This Row],[Bevitore alcolici]],1)),0,1)</f>
        <v>0</v>
      </c>
      <c r="AA263" s="17">
        <f>IF(ISERROR(SEARCH("raro",Tabella1[[#This Row],[Bevitore alcolici]],1)),0,1)</f>
        <v>0</v>
      </c>
      <c r="AB263" s="17">
        <f>IF(ISERROR(SEARCH("saltuariamente",Tabella1[[#This Row],[Bevitore alcolici]],1)),0,1)</f>
        <v>1</v>
      </c>
      <c r="AC263" s="17">
        <f>IF(ISERROR(SEARCH("nega",Tabella1[[#This Row],[Bevitore alcolici]],1)),0,1)</f>
        <v>0</v>
      </c>
      <c r="AD263" s="17">
        <f>IF(ISERROR(SEARCH("potus",Tabella1[[#This Row],[Bevitore alcolici]],1)),0,1)</f>
        <v>0</v>
      </c>
      <c r="AE263" s="11" t="s">
        <v>5671</v>
      </c>
      <c r="AF263" s="18"/>
      <c r="AG263" s="18"/>
      <c r="AH263" s="18"/>
      <c r="AI263" s="18"/>
      <c r="AJ263" s="18"/>
      <c r="AK263" s="11" t="s">
        <v>194</v>
      </c>
      <c r="AL263" s="18">
        <f>IF(ISERROR(SEARCH("si",Tabella1[[#This Row],[Patente di guida]],1)),0,1)</f>
        <v>1</v>
      </c>
      <c r="AM263" s="11" t="s">
        <v>195</v>
      </c>
      <c r="AN263" s="18">
        <f>IF(ISERROR(SEARCH("no",Tabella1[[#This Row],[Ipertensione]],1)),0,1)</f>
        <v>1</v>
      </c>
      <c r="AO263" s="11" t="s">
        <v>382</v>
      </c>
      <c r="AP263" s="18">
        <f>IF(ISERROR(SEARCH("NO",Tabella1[[#This Row],[Cardiopatia ischemica]],1)),1,0)</f>
        <v>0</v>
      </c>
      <c r="AQ263" s="17">
        <f>IF(ISERROR(SEARCH("sconosciuto",Tabella1[[#This Row],[Cardiopatia ischemica]],1)),0,1)</f>
        <v>0</v>
      </c>
      <c r="AR263" s="11" t="s">
        <v>25</v>
      </c>
      <c r="AS263" s="22">
        <f>IF(ISERROR(SEARCH("nega",Tabella1[[#This Row],[Artimie]],1)),0,1)</f>
        <v>1</v>
      </c>
      <c r="AT263" s="11" t="s">
        <v>25</v>
      </c>
      <c r="AU263" s="22">
        <f>IF(ISERROR(SEARCH("nega",Tabella1[[#This Row],[Ipercolesterolemia]],1)),0,1)</f>
        <v>1</v>
      </c>
      <c r="AV263" s="22">
        <f>IF(ISERROR(SEARCH("boh",Tabella1[[#This Row],[Ipercolesterolemia]],1)),0,1)</f>
        <v>0</v>
      </c>
      <c r="AW263" s="11" t="s">
        <v>195</v>
      </c>
      <c r="AX263" s="22">
        <f>IF(ISERROR(SEARCH("Intolleranza",Tabella1[[#This Row],[Diabete]],1)),0,1)</f>
        <v>0</v>
      </c>
      <c r="AY263" s="22">
        <f>IF(ISERROR(SEARCH("si",Tabella1[[#This Row],[Diabete]],1)),0,1)</f>
        <v>0</v>
      </c>
      <c r="AZ263" s="11" t="s">
        <v>195</v>
      </c>
      <c r="BA263" s="18">
        <f>IF(ISERROR(SEARCH("NDD",Tabella1[[#This Row],[Patologia Tiroidea]],1)),0,1)</f>
        <v>0</v>
      </c>
      <c r="BB263" s="22">
        <f>IF(ISERROR(SEARCH("TIROIDITE",Tabella1[[#This Row],[Patologia Tiroidea]],1)),0,1)</f>
        <v>0</v>
      </c>
      <c r="BC263" s="22">
        <f>IF(ISERROR(SEARCH("HASHIMOTO",Tabella1[[#This Row],[Patologia Tiroidea]],1)),0,1)</f>
        <v>0</v>
      </c>
      <c r="BD263" s="22">
        <f>IF(ISERROR(SEARCH("BASEDOW",Tabella1[[#This Row],[Patologia Tiroidea]],1)),0,1)</f>
        <v>0</v>
      </c>
      <c r="BE263" s="22">
        <f>IF(ISERROR(SEARCH("NOD",Tabella1[[#This Row],[Patologia Tiroidea]],1)),0,1)</f>
        <v>0</v>
      </c>
      <c r="BF263" s="22">
        <f>IF(ISERROR(SEARCH("GOZ",Tabella1[[#This Row],[Patologia Tiroidea]],1)),0,1)</f>
        <v>0</v>
      </c>
      <c r="BG263" s="11" t="s">
        <v>8</v>
      </c>
      <c r="BH263" s="18">
        <f>IF(Tabella1[[#This Row],[Obesità]]="no",0,1)</f>
        <v>0</v>
      </c>
      <c r="BI263" s="11" t="s">
        <v>25</v>
      </c>
      <c r="BJ263" s="22">
        <f>IF(ISERROR(SEARCH("nega",Tabella1[[#This Row],[Reflusso gastroesofageo]],1)),1,0)</f>
        <v>0</v>
      </c>
      <c r="BK263" s="11" t="s">
        <v>3014</v>
      </c>
      <c r="BL263" s="18">
        <f>IF(ISERROR(SEARCH("NDD",Tabella1[[#This Row],[Patologia respiratoria]],1)),0,1)</f>
        <v>0</v>
      </c>
      <c r="BM263" s="18">
        <f>IF(ISERROR(SEARCH("asma",Tabella1[[#This Row],[Patologia respiratoria]],1)),0,1)</f>
        <v>0</v>
      </c>
      <c r="BN263" s="18">
        <f>IF(ISERROR(SEARCH("BPCO",Tabella1[[#This Row],[Patologia respiratoria]],1)),0,1)</f>
        <v>0</v>
      </c>
      <c r="BO263" s="18">
        <f>IF(ISERROR(SEARCH("BRONCOPOLMONITE",Tabella1[[#This Row],[Patologia respiratoria]],1)),0,1)</f>
        <v>0</v>
      </c>
      <c r="BP263" s="18">
        <f>IF(ISERROR(SEARCH("ASMA, OSAS",Tabella1[[#This Row],[Patologia respiratoria]],1)),0,1)</f>
        <v>0</v>
      </c>
      <c r="BQ263" s="18">
        <f>IF(ISERROR(SEARCH("OSAS e BPCO",Tabella1[[#This Row],[Patologia respiratoria]],1)),0,1)</f>
        <v>0</v>
      </c>
      <c r="BR263" s="18">
        <f>IF(ISERROR(SEARCH("OSAS",Tabella1[[#This Row],[Patologia respiratoria]],1)),0,1)</f>
        <v>0</v>
      </c>
      <c r="BS263" s="11" t="s">
        <v>195</v>
      </c>
      <c r="BT263" s="11" t="s">
        <v>195</v>
      </c>
      <c r="BU263" s="11" t="s">
        <v>195</v>
      </c>
      <c r="BV263" s="18">
        <f>IF(ISERROR(SEARCH("ndd",Tabella1[[#This Row],[O2 terapia]],1)),0,1)</f>
        <v>0</v>
      </c>
      <c r="BW263" s="17">
        <v>0</v>
      </c>
      <c r="BX263" s="11"/>
      <c r="BY263" s="11" t="s">
        <v>195</v>
      </c>
      <c r="BZ263" s="18">
        <v>0</v>
      </c>
      <c r="CA263" s="11" t="s">
        <v>3015</v>
      </c>
      <c r="CB263" s="17">
        <v>1</v>
      </c>
      <c r="CC263" s="11" t="s">
        <v>195</v>
      </c>
      <c r="CD263" s="18">
        <v>0</v>
      </c>
      <c r="CE263" s="11" t="s">
        <v>195</v>
      </c>
      <c r="CF263" s="18">
        <v>0</v>
      </c>
      <c r="CG263" s="11" t="s">
        <v>3016</v>
      </c>
      <c r="CH263" s="17">
        <v>1</v>
      </c>
      <c r="CI263" s="11" t="s">
        <v>195</v>
      </c>
      <c r="CJ263" s="18">
        <v>0</v>
      </c>
      <c r="CK263" s="11" t="s">
        <v>3017</v>
      </c>
      <c r="CL263" s="17">
        <v>1</v>
      </c>
      <c r="CM263" s="11" t="s">
        <v>195</v>
      </c>
      <c r="CN263" s="17">
        <v>0</v>
      </c>
      <c r="CO263" s="11" t="s">
        <v>354</v>
      </c>
      <c r="CP263" s="17">
        <v>1</v>
      </c>
      <c r="CQ263" s="11" t="s">
        <v>202</v>
      </c>
      <c r="CR263" s="11" t="s">
        <v>3018</v>
      </c>
      <c r="CS263" s="11" t="s">
        <v>389</v>
      </c>
      <c r="CT263" s="11" t="s">
        <v>1181</v>
      </c>
      <c r="CU263" s="11" t="s">
        <v>3019</v>
      </c>
      <c r="CV263" s="12" t="s">
        <v>3020</v>
      </c>
    </row>
    <row r="264" spans="1:100" ht="142.5">
      <c r="A264" s="1">
        <f t="shared" si="4"/>
        <v>263</v>
      </c>
      <c r="B264" s="5">
        <v>1530</v>
      </c>
      <c r="C264" s="6">
        <v>45485</v>
      </c>
      <c r="D264" s="7" t="s">
        <v>3021</v>
      </c>
      <c r="E264" s="6">
        <v>24837</v>
      </c>
      <c r="F264" s="29">
        <f ca="1">_xlfn.DAYS(NOW(),Tabella1[[#This Row],[Data di Nascita]])/365.25</f>
        <v>57.593429158110879</v>
      </c>
      <c r="G264" s="7" t="s">
        <v>3022</v>
      </c>
      <c r="H264" s="7" t="s">
        <v>3023</v>
      </c>
      <c r="I264" s="7" t="s">
        <v>210</v>
      </c>
      <c r="J264" s="7" t="s">
        <v>618</v>
      </c>
      <c r="K264" s="7" t="s">
        <v>94</v>
      </c>
      <c r="L264" s="17">
        <f>IF(ISERROR(SEARCH("EX",Tabella1[[#This Row],[Attività lavorativa]],1)),0,1)</f>
        <v>0</v>
      </c>
      <c r="M264" s="17"/>
      <c r="N264" s="17"/>
      <c r="O264" s="17"/>
      <c r="P264" s="17"/>
      <c r="Q264" s="17"/>
      <c r="R264" s="17"/>
      <c r="S264" s="17"/>
      <c r="T264" s="17">
        <f>IF(ISERROR(SEARCH("NDD",Tabella1[[#This Row],[Attività lavorativa]],1)),0,1)</f>
        <v>0</v>
      </c>
      <c r="U264" s="7" t="s">
        <v>8</v>
      </c>
      <c r="V264" s="22"/>
      <c r="W264" s="22">
        <f>IF(ISERROR(SEARCH("ex",Tabella1[[#This Row],[Fumo]],1)),0,1)</f>
        <v>0</v>
      </c>
      <c r="X264" s="22">
        <f>IF(ISERROR(SEARCH("no",Tabella1[[#This Row],[Fumo]],1)),0,1)</f>
        <v>1</v>
      </c>
      <c r="Y264" s="7" t="s">
        <v>25</v>
      </c>
      <c r="Z264" s="17">
        <f>IF(ISERROR(SEARCH("NDD",Tabella1[[#This Row],[Bevitore alcolici]],1)),0,1)</f>
        <v>0</v>
      </c>
      <c r="AA264" s="17">
        <f>IF(ISERROR(SEARCH("raro",Tabella1[[#This Row],[Bevitore alcolici]],1)),0,1)</f>
        <v>0</v>
      </c>
      <c r="AB264" s="17">
        <f>IF(ISERROR(SEARCH("saltuariamente",Tabella1[[#This Row],[Bevitore alcolici]],1)),0,1)</f>
        <v>0</v>
      </c>
      <c r="AC264" s="17">
        <f>IF(ISERROR(SEARCH("nega",Tabella1[[#This Row],[Bevitore alcolici]],1)),0,1)</f>
        <v>1</v>
      </c>
      <c r="AD264" s="17">
        <f>IF(ISERROR(SEARCH("potus",Tabella1[[#This Row],[Bevitore alcolici]],1)),0,1)</f>
        <v>0</v>
      </c>
      <c r="AE264" s="7" t="s">
        <v>657</v>
      </c>
      <c r="AF264" s="17"/>
      <c r="AG264" s="17"/>
      <c r="AH264" s="17"/>
      <c r="AI264" s="17"/>
      <c r="AJ264" s="17"/>
      <c r="AK264" s="7" t="s">
        <v>8</v>
      </c>
      <c r="AL264" s="17">
        <f>IF(ISERROR(SEARCH("si",Tabella1[[#This Row],[Patente di guida]],1)),0,1)</f>
        <v>0</v>
      </c>
      <c r="AM264" s="7" t="s">
        <v>8</v>
      </c>
      <c r="AN264" s="17">
        <f>IF(ISERROR(SEARCH("no",Tabella1[[#This Row],[Ipertensione]],1)),0,1)</f>
        <v>1</v>
      </c>
      <c r="AO264" s="7" t="s">
        <v>382</v>
      </c>
      <c r="AP264" s="18">
        <f>IF(ISERROR(SEARCH("NO",Tabella1[[#This Row],[Cardiopatia ischemica]],1)),1,0)</f>
        <v>0</v>
      </c>
      <c r="AQ264" s="17">
        <f>IF(ISERROR(SEARCH("sconosciuto",Tabella1[[#This Row],[Cardiopatia ischemica]],1)),0,1)</f>
        <v>0</v>
      </c>
      <c r="AR264" s="7" t="s">
        <v>25</v>
      </c>
      <c r="AS264" s="22">
        <f>IF(ISERROR(SEARCH("nega",Tabella1[[#This Row],[Artimie]],1)),0,1)</f>
        <v>1</v>
      </c>
      <c r="AT264" s="7" t="s">
        <v>28</v>
      </c>
      <c r="AU264" s="22">
        <f>IF(ISERROR(SEARCH("nega",Tabella1[[#This Row],[Ipercolesterolemia]],1)),0,1)</f>
        <v>0</v>
      </c>
      <c r="AV264" s="22">
        <f>IF(ISERROR(SEARCH("boh",Tabella1[[#This Row],[Ipercolesterolemia]],1)),0,1)</f>
        <v>0</v>
      </c>
      <c r="AW264" s="7" t="s">
        <v>8</v>
      </c>
      <c r="AX264" s="22">
        <f>IF(ISERROR(SEARCH("Intolleranza",Tabella1[[#This Row],[Diabete]],1)),0,1)</f>
        <v>0</v>
      </c>
      <c r="AY264" s="22">
        <f>IF(ISERROR(SEARCH("si",Tabella1[[#This Row],[Diabete]],1)),0,1)</f>
        <v>0</v>
      </c>
      <c r="AZ264" s="7" t="s">
        <v>8</v>
      </c>
      <c r="BA264" s="17">
        <f>IF(ISERROR(SEARCH("NDD",Tabella1[[#This Row],[Patologia Tiroidea]],1)),0,1)</f>
        <v>0</v>
      </c>
      <c r="BB264" s="22">
        <f>IF(ISERROR(SEARCH("TIROIDITE",Tabella1[[#This Row],[Patologia Tiroidea]],1)),0,1)</f>
        <v>0</v>
      </c>
      <c r="BC264" s="22">
        <f>IF(ISERROR(SEARCH("HASHIMOTO",Tabella1[[#This Row],[Patologia Tiroidea]],1)),0,1)</f>
        <v>0</v>
      </c>
      <c r="BD264" s="22">
        <f>IF(ISERROR(SEARCH("BASEDOW",Tabella1[[#This Row],[Patologia Tiroidea]],1)),0,1)</f>
        <v>0</v>
      </c>
      <c r="BE264" s="22">
        <f>IF(ISERROR(SEARCH("NOD",Tabella1[[#This Row],[Patologia Tiroidea]],1)),0,1)</f>
        <v>0</v>
      </c>
      <c r="BF264" s="22">
        <f>IF(ISERROR(SEARCH("GOZ",Tabella1[[#This Row],[Patologia Tiroidea]],1)),0,1)</f>
        <v>0</v>
      </c>
      <c r="BG264" s="7" t="s">
        <v>8</v>
      </c>
      <c r="BH264" s="17">
        <f>IF(Tabella1[[#This Row],[Obesità]]="no",0,1)</f>
        <v>0</v>
      </c>
      <c r="BI264" s="7" t="s">
        <v>28</v>
      </c>
      <c r="BJ264" s="22">
        <f>IF(ISERROR(SEARCH("nega",Tabella1[[#This Row],[Reflusso gastroesofageo]],1)),1,0)</f>
        <v>1</v>
      </c>
      <c r="BK264" s="7" t="s">
        <v>8</v>
      </c>
      <c r="BL264" s="17">
        <f>IF(ISERROR(SEARCH("NDD",Tabella1[[#This Row],[Patologia respiratoria]],1)),0,1)</f>
        <v>0</v>
      </c>
      <c r="BM264" s="17">
        <f>IF(ISERROR(SEARCH("asma",Tabella1[[#This Row],[Patologia respiratoria]],1)),0,1)</f>
        <v>0</v>
      </c>
      <c r="BN264" s="17">
        <f>IF(ISERROR(SEARCH("BPCO",Tabella1[[#This Row],[Patologia respiratoria]],1)),0,1)</f>
        <v>0</v>
      </c>
      <c r="BO264" s="17">
        <f>IF(ISERROR(SEARCH("BRONCOPOLMONITE",Tabella1[[#This Row],[Patologia respiratoria]],1)),0,1)</f>
        <v>0</v>
      </c>
      <c r="BP264" s="17">
        <f>IF(ISERROR(SEARCH("ASMA, OSAS",Tabella1[[#This Row],[Patologia respiratoria]],1)),0,1)</f>
        <v>0</v>
      </c>
      <c r="BQ264" s="17">
        <f>IF(ISERROR(SEARCH("OSAS e BPCO",Tabella1[[#This Row],[Patologia respiratoria]],1)),0,1)</f>
        <v>0</v>
      </c>
      <c r="BR264" s="17">
        <f>IF(ISERROR(SEARCH("OSAS",Tabella1[[#This Row],[Patologia respiratoria]],1)),0,1)</f>
        <v>0</v>
      </c>
      <c r="BS264" s="7"/>
      <c r="BT264" s="7" t="s">
        <v>132</v>
      </c>
      <c r="BU264" s="7" t="s">
        <v>8</v>
      </c>
      <c r="BV264" s="17">
        <f>IF(ISERROR(SEARCH("ndd",Tabella1[[#This Row],[O2 terapia]],1)),0,1)</f>
        <v>0</v>
      </c>
      <c r="BW264" s="17">
        <v>0</v>
      </c>
      <c r="BX264" s="7"/>
      <c r="BY264" s="7" t="s">
        <v>8</v>
      </c>
      <c r="BZ264" s="18">
        <v>0</v>
      </c>
      <c r="CA264" s="7" t="s">
        <v>28</v>
      </c>
      <c r="CB264" s="17">
        <v>1</v>
      </c>
      <c r="CC264" s="7" t="s">
        <v>8</v>
      </c>
      <c r="CD264" s="18">
        <v>0</v>
      </c>
      <c r="CE264" s="7" t="s">
        <v>8</v>
      </c>
      <c r="CF264" s="18">
        <v>0</v>
      </c>
      <c r="CG264" s="7" t="s">
        <v>8</v>
      </c>
      <c r="CH264" s="17">
        <v>0</v>
      </c>
      <c r="CI264" s="7" t="s">
        <v>3024</v>
      </c>
      <c r="CJ264" s="17">
        <v>1</v>
      </c>
      <c r="CK264" s="7" t="s">
        <v>3025</v>
      </c>
      <c r="CL264" s="17">
        <v>1</v>
      </c>
      <c r="CM264" s="7" t="s">
        <v>8</v>
      </c>
      <c r="CN264" s="17">
        <v>0</v>
      </c>
      <c r="CO264" s="7" t="s">
        <v>28</v>
      </c>
      <c r="CP264" s="17">
        <v>1</v>
      </c>
      <c r="CQ264" s="7" t="s">
        <v>85</v>
      </c>
      <c r="CR264" s="7" t="s">
        <v>3026</v>
      </c>
      <c r="CS264" s="7" t="s">
        <v>219</v>
      </c>
      <c r="CT264" s="7" t="s">
        <v>595</v>
      </c>
      <c r="CU264" s="7" t="s">
        <v>3027</v>
      </c>
      <c r="CV264" s="8" t="s">
        <v>3028</v>
      </c>
    </row>
    <row r="265" spans="1:100" ht="213.75">
      <c r="A265" s="1">
        <f t="shared" si="4"/>
        <v>264</v>
      </c>
      <c r="B265" s="9">
        <v>1533</v>
      </c>
      <c r="C265" s="10">
        <v>45490</v>
      </c>
      <c r="D265" s="11" t="s">
        <v>3029</v>
      </c>
      <c r="E265" s="10">
        <v>28857</v>
      </c>
      <c r="F265" s="29">
        <f ca="1">_xlfn.DAYS(NOW(),Tabella1[[#This Row],[Data di Nascita]])/365.25</f>
        <v>46.587268993839835</v>
      </c>
      <c r="G265" s="11" t="s">
        <v>3030</v>
      </c>
      <c r="H265" s="11" t="s">
        <v>3031</v>
      </c>
      <c r="I265" s="11" t="s">
        <v>1928</v>
      </c>
      <c r="J265" s="11" t="s">
        <v>3032</v>
      </c>
      <c r="K265" s="11" t="s">
        <v>694</v>
      </c>
      <c r="L265" s="18">
        <f>IF(ISERROR(SEARCH("EX",Tabella1[[#This Row],[Attività lavorativa]],1)),0,1)</f>
        <v>0</v>
      </c>
      <c r="M265" s="18"/>
      <c r="N265" s="18"/>
      <c r="O265" s="18"/>
      <c r="P265" s="18">
        <v>1</v>
      </c>
      <c r="Q265" s="18"/>
      <c r="R265" s="18"/>
      <c r="S265" s="18"/>
      <c r="T265" s="17">
        <f>IF(ISERROR(SEARCH("NDD",Tabella1[[#This Row],[Attività lavorativa]],1)),0,1)</f>
        <v>0</v>
      </c>
      <c r="U265" s="11" t="s">
        <v>3033</v>
      </c>
      <c r="V265" s="22"/>
      <c r="W265" s="22">
        <f>IF(ISERROR(SEARCH("ex",Tabella1[[#This Row],[Fumo]],1)),0,1)</f>
        <v>1</v>
      </c>
      <c r="X265" s="22">
        <f>IF(ISERROR(SEARCH("no",Tabella1[[#This Row],[Fumo]],1)),0,1)</f>
        <v>0</v>
      </c>
      <c r="Y265" s="11" t="s">
        <v>25</v>
      </c>
      <c r="Z265" s="18">
        <f>IF(ISERROR(SEARCH("NDD",Tabella1[[#This Row],[Bevitore alcolici]],1)),0,1)</f>
        <v>0</v>
      </c>
      <c r="AA265" s="17">
        <f>IF(ISERROR(SEARCH("raro",Tabella1[[#This Row],[Bevitore alcolici]],1)),0,1)</f>
        <v>0</v>
      </c>
      <c r="AB265" s="17">
        <f>IF(ISERROR(SEARCH("saltuariamente",Tabella1[[#This Row],[Bevitore alcolici]],1)),0,1)</f>
        <v>0</v>
      </c>
      <c r="AC265" s="17">
        <f>IF(ISERROR(SEARCH("nega",Tabella1[[#This Row],[Bevitore alcolici]],1)),0,1)</f>
        <v>1</v>
      </c>
      <c r="AD265" s="17">
        <f>IF(ISERROR(SEARCH("potus",Tabella1[[#This Row],[Bevitore alcolici]],1)),0,1)</f>
        <v>0</v>
      </c>
      <c r="AE265" s="11" t="s">
        <v>5644</v>
      </c>
      <c r="AF265" s="18"/>
      <c r="AG265" s="18"/>
      <c r="AH265" s="18">
        <v>1</v>
      </c>
      <c r="AI265" s="18"/>
      <c r="AJ265" s="18"/>
      <c r="AK265" s="11" t="s">
        <v>195</v>
      </c>
      <c r="AL265" s="18">
        <f>IF(ISERROR(SEARCH("si",Tabella1[[#This Row],[Patente di guida]],1)),0,1)</f>
        <v>0</v>
      </c>
      <c r="AM265" s="11" t="s">
        <v>3718</v>
      </c>
      <c r="AN265" s="18">
        <f>IF(ISERROR(SEARCH("no",Tabella1[[#This Row],[Ipertensione]],1)),0,1)</f>
        <v>0</v>
      </c>
      <c r="AO265" s="11" t="s">
        <v>3742</v>
      </c>
      <c r="AP265" s="18">
        <f>IF(ISERROR(SEARCH("NO",Tabella1[[#This Row],[Cardiopatia ischemica]],1)),1,0)</f>
        <v>0</v>
      </c>
      <c r="AQ265" s="17">
        <f>IF(ISERROR(SEARCH("sconosciuto",Tabella1[[#This Row],[Cardiopatia ischemica]],1)),0,1)</f>
        <v>0</v>
      </c>
      <c r="AR265" s="11" t="s">
        <v>25</v>
      </c>
      <c r="AS265" s="22">
        <f>IF(ISERROR(SEARCH("nega",Tabella1[[#This Row],[Artimie]],1)),0,1)</f>
        <v>1</v>
      </c>
      <c r="AT265" s="11" t="s">
        <v>25</v>
      </c>
      <c r="AU265" s="22">
        <f>IF(ISERROR(SEARCH("nega",Tabella1[[#This Row],[Ipercolesterolemia]],1)),0,1)</f>
        <v>1</v>
      </c>
      <c r="AV265" s="22">
        <f>IF(ISERROR(SEARCH("boh",Tabella1[[#This Row],[Ipercolesterolemia]],1)),0,1)</f>
        <v>0</v>
      </c>
      <c r="AW265" s="11" t="s">
        <v>195</v>
      </c>
      <c r="AX265" s="22">
        <f>IF(ISERROR(SEARCH("Intolleranza",Tabella1[[#This Row],[Diabete]],1)),0,1)</f>
        <v>0</v>
      </c>
      <c r="AY265" s="22">
        <f>IF(ISERROR(SEARCH("si",Tabella1[[#This Row],[Diabete]],1)),0,1)</f>
        <v>0</v>
      </c>
      <c r="AZ265" s="11" t="s">
        <v>3034</v>
      </c>
      <c r="BA265" s="18">
        <f>IF(ISERROR(SEARCH("NDD",Tabella1[[#This Row],[Patologia Tiroidea]],1)),0,1)</f>
        <v>0</v>
      </c>
      <c r="BB265" s="22">
        <f>IF(ISERROR(SEARCH("TIROIDITE",Tabella1[[#This Row],[Patologia Tiroidea]],1)),0,1)</f>
        <v>0</v>
      </c>
      <c r="BC265" s="22">
        <f>IF(ISERROR(SEARCH("HASHIMOTO",Tabella1[[#This Row],[Patologia Tiroidea]],1)),0,1)</f>
        <v>0</v>
      </c>
      <c r="BD265" s="22">
        <f>IF(ISERROR(SEARCH("BASEDOW",Tabella1[[#This Row],[Patologia Tiroidea]],1)),0,1)</f>
        <v>0</v>
      </c>
      <c r="BE265" s="22">
        <f>IF(ISERROR(SEARCH("NOD",Tabella1[[#This Row],[Patologia Tiroidea]],1)),0,1)</f>
        <v>0</v>
      </c>
      <c r="BF265" s="22">
        <f>IF(ISERROR(SEARCH("GOZ",Tabella1[[#This Row],[Patologia Tiroidea]],1)),0,1)</f>
        <v>0</v>
      </c>
      <c r="BG265" s="11" t="s">
        <v>3035</v>
      </c>
      <c r="BH265" s="18">
        <f>IF(Tabella1[[#This Row],[Obesità]]="no",0,1)</f>
        <v>1</v>
      </c>
      <c r="BI265" s="11" t="s">
        <v>3036</v>
      </c>
      <c r="BJ265" s="22">
        <f>IF(ISERROR(SEARCH("nega",Tabella1[[#This Row],[Reflusso gastroesofageo]],1)),1,0)</f>
        <v>1</v>
      </c>
      <c r="BK265" s="11" t="s">
        <v>195</v>
      </c>
      <c r="BL265" s="18">
        <f>IF(ISERROR(SEARCH("NDD",Tabella1[[#This Row],[Patologia respiratoria]],1)),0,1)</f>
        <v>0</v>
      </c>
      <c r="BM265" s="18">
        <f>IF(ISERROR(SEARCH("asma",Tabella1[[#This Row],[Patologia respiratoria]],1)),0,1)</f>
        <v>0</v>
      </c>
      <c r="BN265" s="18">
        <f>IF(ISERROR(SEARCH("BPCO",Tabella1[[#This Row],[Patologia respiratoria]],1)),0,1)</f>
        <v>0</v>
      </c>
      <c r="BO265" s="18">
        <f>IF(ISERROR(SEARCH("BRONCOPOLMONITE",Tabella1[[#This Row],[Patologia respiratoria]],1)),0,1)</f>
        <v>0</v>
      </c>
      <c r="BP265" s="18">
        <f>IF(ISERROR(SEARCH("ASMA, OSAS",Tabella1[[#This Row],[Patologia respiratoria]],1)),0,1)</f>
        <v>0</v>
      </c>
      <c r="BQ265" s="18">
        <f>IF(ISERROR(SEARCH("OSAS e BPCO",Tabella1[[#This Row],[Patologia respiratoria]],1)),0,1)</f>
        <v>0</v>
      </c>
      <c r="BR265" s="18">
        <f>IF(ISERROR(SEARCH("OSAS",Tabella1[[#This Row],[Patologia respiratoria]],1)),0,1)</f>
        <v>0</v>
      </c>
      <c r="BS265" s="11"/>
      <c r="BT265" s="11" t="s">
        <v>3037</v>
      </c>
      <c r="BU265" s="11" t="s">
        <v>195</v>
      </c>
      <c r="BV265" s="18">
        <f>IF(ISERROR(SEARCH("ndd",Tabella1[[#This Row],[O2 terapia]],1)),0,1)</f>
        <v>0</v>
      </c>
      <c r="BW265" s="17">
        <v>0</v>
      </c>
      <c r="BX265" s="11"/>
      <c r="BY265" s="11" t="s">
        <v>195</v>
      </c>
      <c r="BZ265" s="18">
        <v>0</v>
      </c>
      <c r="CA265" s="11" t="s">
        <v>3038</v>
      </c>
      <c r="CB265" s="17">
        <v>1</v>
      </c>
      <c r="CC265" s="11" t="s">
        <v>194</v>
      </c>
      <c r="CD265" s="17">
        <v>1</v>
      </c>
      <c r="CE265" s="11" t="s">
        <v>194</v>
      </c>
      <c r="CF265" s="17">
        <v>1</v>
      </c>
      <c r="CG265" s="11" t="s">
        <v>195</v>
      </c>
      <c r="CH265" s="17">
        <v>0</v>
      </c>
      <c r="CI265" s="11" t="s">
        <v>195</v>
      </c>
      <c r="CJ265" s="18">
        <v>0</v>
      </c>
      <c r="CK265" s="11" t="s">
        <v>3039</v>
      </c>
      <c r="CL265" s="17">
        <v>1</v>
      </c>
      <c r="CM265" s="11" t="s">
        <v>3040</v>
      </c>
      <c r="CN265" s="17">
        <v>1</v>
      </c>
      <c r="CO265" s="11" t="s">
        <v>3041</v>
      </c>
      <c r="CP265" s="17">
        <v>1</v>
      </c>
      <c r="CQ265" s="11" t="s">
        <v>69</v>
      </c>
      <c r="CR265" s="11" t="s">
        <v>3042</v>
      </c>
      <c r="CS265" s="11" t="s">
        <v>998</v>
      </c>
      <c r="CT265" s="11" t="s">
        <v>3043</v>
      </c>
      <c r="CU265" s="11" t="s">
        <v>3044</v>
      </c>
      <c r="CV265" s="12" t="s">
        <v>3045</v>
      </c>
    </row>
    <row r="266" spans="1:100" ht="57">
      <c r="A266" s="1">
        <f t="shared" si="4"/>
        <v>265</v>
      </c>
      <c r="B266" s="5">
        <v>1536</v>
      </c>
      <c r="C266" s="6">
        <v>45492</v>
      </c>
      <c r="D266" s="7" t="s">
        <v>3046</v>
      </c>
      <c r="E266" s="6">
        <v>18751</v>
      </c>
      <c r="F266" s="29">
        <f ca="1">_xlfn.DAYS(NOW(),Tabella1[[#This Row],[Data di Nascita]])/365.25</f>
        <v>74.255989048596845</v>
      </c>
      <c r="G266" s="7" t="s">
        <v>3047</v>
      </c>
      <c r="H266" s="7" t="s">
        <v>3048</v>
      </c>
      <c r="I266" s="7" t="s">
        <v>3049</v>
      </c>
      <c r="J266" s="7" t="s">
        <v>3050</v>
      </c>
      <c r="K266" s="11" t="s">
        <v>5477</v>
      </c>
      <c r="L266" s="17">
        <f>IF(ISERROR(SEARCH("EX",Tabella1[[#This Row],[Attività lavorativa]],1)),0,1)</f>
        <v>0</v>
      </c>
      <c r="M266" s="17"/>
      <c r="N266" s="17"/>
      <c r="O266" s="17"/>
      <c r="P266" s="17"/>
      <c r="Q266" s="17"/>
      <c r="R266" s="17"/>
      <c r="S266" s="17"/>
      <c r="T266" s="17">
        <f>IF(ISERROR(SEARCH("NDD",Tabella1[[#This Row],[Attività lavorativa]],1)),0,1)</f>
        <v>1</v>
      </c>
      <c r="U266" s="7" t="s">
        <v>3051</v>
      </c>
      <c r="V266" s="22">
        <v>13.5</v>
      </c>
      <c r="W266" s="22">
        <f>IF(ISERROR(SEARCH("ex",Tabella1[[#This Row],[Fumo]],1)),0,1)</f>
        <v>1</v>
      </c>
      <c r="X266" s="22">
        <f>IF(ISERROR(SEARCH("no",Tabella1[[#This Row],[Fumo]],1)),0,1)</f>
        <v>0</v>
      </c>
      <c r="Y266" s="11" t="s">
        <v>5477</v>
      </c>
      <c r="Z266" s="18">
        <f>IF(ISERROR(SEARCH("NDD",Tabella1[[#This Row],[Bevitore alcolici]],1)),0,1)</f>
        <v>1</v>
      </c>
      <c r="AA266" s="17">
        <f>IF(ISERROR(SEARCH("raro",Tabella1[[#This Row],[Bevitore alcolici]],1)),0,1)</f>
        <v>0</v>
      </c>
      <c r="AB266" s="17">
        <f>IF(ISERROR(SEARCH("saltuariamente",Tabella1[[#This Row],[Bevitore alcolici]],1)),0,1)</f>
        <v>0</v>
      </c>
      <c r="AC266" s="17">
        <f>IF(ISERROR(SEARCH("nega",Tabella1[[#This Row],[Bevitore alcolici]],1)),0,1)</f>
        <v>0</v>
      </c>
      <c r="AD266" s="17">
        <f>IF(ISERROR(SEARCH("potus",Tabella1[[#This Row],[Bevitore alcolici]],1)),0,1)</f>
        <v>0</v>
      </c>
      <c r="AE266" s="7" t="s">
        <v>5647</v>
      </c>
      <c r="AF266" s="17"/>
      <c r="AG266" s="17"/>
      <c r="AH266" s="17"/>
      <c r="AI266" s="17"/>
      <c r="AJ266" s="17"/>
      <c r="AK266" s="7" t="s">
        <v>8</v>
      </c>
      <c r="AL266" s="17">
        <f>IF(ISERROR(SEARCH("si",Tabella1[[#This Row],[Patente di guida]],1)),0,1)</f>
        <v>0</v>
      </c>
      <c r="AM266" s="7" t="s">
        <v>28</v>
      </c>
      <c r="AN266" s="17">
        <f>IF(ISERROR(SEARCH("no",Tabella1[[#This Row],[Ipertensione]],1)),0,1)</f>
        <v>0</v>
      </c>
      <c r="AO266" s="7" t="s">
        <v>382</v>
      </c>
      <c r="AP266" s="18">
        <f>IF(ISERROR(SEARCH("NO",Tabella1[[#This Row],[Cardiopatia ischemica]],1)),1,0)</f>
        <v>0</v>
      </c>
      <c r="AQ266" s="17">
        <f>IF(ISERROR(SEARCH("sconosciuto",Tabella1[[#This Row],[Cardiopatia ischemica]],1)),0,1)</f>
        <v>0</v>
      </c>
      <c r="AR266" s="7" t="s">
        <v>25</v>
      </c>
      <c r="AS266" s="22">
        <f>IF(ISERROR(SEARCH("nega",Tabella1[[#This Row],[Artimie]],1)),0,1)</f>
        <v>1</v>
      </c>
      <c r="AT266" s="7" t="s">
        <v>25</v>
      </c>
      <c r="AU266" s="22">
        <f>IF(ISERROR(SEARCH("nega",Tabella1[[#This Row],[Ipercolesterolemia]],1)),0,1)</f>
        <v>1</v>
      </c>
      <c r="AV266" s="22">
        <f>IF(ISERROR(SEARCH("boh",Tabella1[[#This Row],[Ipercolesterolemia]],1)),0,1)</f>
        <v>0</v>
      </c>
      <c r="AW266" s="7" t="s">
        <v>28</v>
      </c>
      <c r="AX266" s="22">
        <f>IF(ISERROR(SEARCH("Intolleranza",Tabella1[[#This Row],[Diabete]],1)),0,1)</f>
        <v>0</v>
      </c>
      <c r="AY266" s="22">
        <f>IF(ISERROR(SEARCH("si",Tabella1[[#This Row],[Diabete]],1)),0,1)</f>
        <v>1</v>
      </c>
      <c r="AZ266" s="7" t="s">
        <v>25</v>
      </c>
      <c r="BA266" s="17">
        <f>IF(ISERROR(SEARCH("NDD",Tabella1[[#This Row],[Patologia Tiroidea]],1)),0,1)</f>
        <v>0</v>
      </c>
      <c r="BB266" s="22">
        <f>IF(ISERROR(SEARCH("TIROIDITE",Tabella1[[#This Row],[Patologia Tiroidea]],1)),0,1)</f>
        <v>0</v>
      </c>
      <c r="BC266" s="22">
        <f>IF(ISERROR(SEARCH("HASHIMOTO",Tabella1[[#This Row],[Patologia Tiroidea]],1)),0,1)</f>
        <v>0</v>
      </c>
      <c r="BD266" s="22">
        <f>IF(ISERROR(SEARCH("BASEDOW",Tabella1[[#This Row],[Patologia Tiroidea]],1)),0,1)</f>
        <v>0</v>
      </c>
      <c r="BE266" s="22">
        <f>IF(ISERROR(SEARCH("NOD",Tabella1[[#This Row],[Patologia Tiroidea]],1)),0,1)</f>
        <v>0</v>
      </c>
      <c r="BF266" s="22">
        <f>IF(ISERROR(SEARCH("GOZ",Tabella1[[#This Row],[Patologia Tiroidea]],1)),0,1)</f>
        <v>0</v>
      </c>
      <c r="BG266" s="7" t="s">
        <v>7</v>
      </c>
      <c r="BH266" s="17">
        <f>IF(Tabella1[[#This Row],[Obesità]]="no",0,1)</f>
        <v>1</v>
      </c>
      <c r="BI266" s="7" t="s">
        <v>25</v>
      </c>
      <c r="BJ266" s="22">
        <f>IF(ISERROR(SEARCH("nega",Tabella1[[#This Row],[Reflusso gastroesofageo]],1)),1,0)</f>
        <v>0</v>
      </c>
      <c r="BK266" s="7" t="s">
        <v>5477</v>
      </c>
      <c r="BL266" s="17">
        <f>IF(ISERROR(SEARCH("NDD",Tabella1[[#This Row],[Patologia respiratoria]],1)),0,1)</f>
        <v>1</v>
      </c>
      <c r="BM266" s="17">
        <f>IF(ISERROR(SEARCH("asma",Tabella1[[#This Row],[Patologia respiratoria]],1)),0,1)</f>
        <v>0</v>
      </c>
      <c r="BN266" s="17">
        <f>IF(ISERROR(SEARCH("BPCO",Tabella1[[#This Row],[Patologia respiratoria]],1)),0,1)</f>
        <v>0</v>
      </c>
      <c r="BO266" s="17">
        <f>IF(ISERROR(SEARCH("BRONCOPOLMONITE",Tabella1[[#This Row],[Patologia respiratoria]],1)),0,1)</f>
        <v>0</v>
      </c>
      <c r="BP266" s="17">
        <f>IF(ISERROR(SEARCH("ASMA, OSAS",Tabella1[[#This Row],[Patologia respiratoria]],1)),0,1)</f>
        <v>0</v>
      </c>
      <c r="BQ266" s="17">
        <f>IF(ISERROR(SEARCH("OSAS e BPCO",Tabella1[[#This Row],[Patologia respiratoria]],1)),0,1)</f>
        <v>0</v>
      </c>
      <c r="BR266" s="17">
        <f>IF(ISERROR(SEARCH("OSAS",Tabella1[[#This Row],[Patologia respiratoria]],1)),0,1)</f>
        <v>0</v>
      </c>
      <c r="BS266" s="7" t="s">
        <v>3052</v>
      </c>
      <c r="BT266" s="7" t="s">
        <v>3053</v>
      </c>
      <c r="BU266" s="7" t="s">
        <v>8</v>
      </c>
      <c r="BV266" s="17">
        <f>IF(ISERROR(SEARCH("ndd",Tabella1[[#This Row],[O2 terapia]],1)),0,1)</f>
        <v>0</v>
      </c>
      <c r="BW266" s="17">
        <v>0</v>
      </c>
      <c r="BX266" s="7" t="s">
        <v>3054</v>
      </c>
      <c r="BY266" s="7" t="s">
        <v>25</v>
      </c>
      <c r="BZ266" s="18">
        <v>0</v>
      </c>
      <c r="CA266" s="7" t="s">
        <v>25</v>
      </c>
      <c r="CB266" s="17">
        <v>0</v>
      </c>
      <c r="CC266" s="7" t="s">
        <v>8</v>
      </c>
      <c r="CD266" s="18">
        <v>0</v>
      </c>
      <c r="CE266" s="7" t="s">
        <v>3837</v>
      </c>
      <c r="CF266" s="18">
        <v>0</v>
      </c>
      <c r="CG266" s="7" t="s">
        <v>25</v>
      </c>
      <c r="CH266" s="17">
        <v>0</v>
      </c>
      <c r="CI266" s="7" t="s">
        <v>25</v>
      </c>
      <c r="CJ266" s="18">
        <v>0</v>
      </c>
      <c r="CK266" s="7" t="s">
        <v>260</v>
      </c>
      <c r="CL266" s="17">
        <v>1</v>
      </c>
      <c r="CM266" s="7" t="s">
        <v>3055</v>
      </c>
      <c r="CN266" s="17">
        <v>1</v>
      </c>
      <c r="CO266" s="7" t="s">
        <v>8</v>
      </c>
      <c r="CP266" s="18">
        <v>0</v>
      </c>
      <c r="CQ266" s="7" t="s">
        <v>368</v>
      </c>
      <c r="CR266" s="7" t="s">
        <v>279</v>
      </c>
      <c r="CS266" s="7" t="s">
        <v>37</v>
      </c>
      <c r="CT266" s="7" t="s">
        <v>1372</v>
      </c>
      <c r="CU266" s="7"/>
      <c r="CV266" s="8"/>
    </row>
    <row r="267" spans="1:100" ht="142.5">
      <c r="A267" s="1">
        <f t="shared" si="4"/>
        <v>266</v>
      </c>
      <c r="B267" s="9">
        <v>1538</v>
      </c>
      <c r="C267" s="10">
        <v>45495</v>
      </c>
      <c r="D267" s="11" t="s">
        <v>3056</v>
      </c>
      <c r="E267" s="10">
        <v>20379</v>
      </c>
      <c r="F267" s="29">
        <f ca="1">_xlfn.DAYS(NOW(),Tabella1[[#This Row],[Data di Nascita]])/365.25</f>
        <v>69.798767967145793</v>
      </c>
      <c r="G267" s="11" t="s">
        <v>3057</v>
      </c>
      <c r="H267" s="11" t="s">
        <v>3058</v>
      </c>
      <c r="I267" s="11" t="s">
        <v>2293</v>
      </c>
      <c r="J267" s="11" t="s">
        <v>473</v>
      </c>
      <c r="K267" s="11" t="s">
        <v>3059</v>
      </c>
      <c r="L267" s="18">
        <f>IF(ISERROR(SEARCH("EX",Tabella1[[#This Row],[Attività lavorativa]],1)),0,1)</f>
        <v>0</v>
      </c>
      <c r="M267" s="18">
        <v>1</v>
      </c>
      <c r="N267" s="18"/>
      <c r="O267" s="18"/>
      <c r="P267" s="18"/>
      <c r="Q267" s="18"/>
      <c r="R267" s="18"/>
      <c r="S267" s="18"/>
      <c r="T267" s="17">
        <f>IF(ISERROR(SEARCH("NDD",Tabella1[[#This Row],[Attività lavorativa]],1)),0,1)</f>
        <v>0</v>
      </c>
      <c r="U267" s="11" t="s">
        <v>3060</v>
      </c>
      <c r="V267" s="22"/>
      <c r="W267" s="22">
        <f>IF(ISERROR(SEARCH("ex",Tabella1[[#This Row],[Fumo]],1)),0,1)</f>
        <v>1</v>
      </c>
      <c r="X267" s="22">
        <f>IF(ISERROR(SEARCH("no",Tabella1[[#This Row],[Fumo]],1)),0,1)</f>
        <v>0</v>
      </c>
      <c r="Y267" s="11" t="s">
        <v>25</v>
      </c>
      <c r="Z267" s="18">
        <f>IF(ISERROR(SEARCH("NDD",Tabella1[[#This Row],[Bevitore alcolici]],1)),0,1)</f>
        <v>0</v>
      </c>
      <c r="AA267" s="17">
        <f>IF(ISERROR(SEARCH("raro",Tabella1[[#This Row],[Bevitore alcolici]],1)),0,1)</f>
        <v>0</v>
      </c>
      <c r="AB267" s="17">
        <f>IF(ISERROR(SEARCH("saltuariamente",Tabella1[[#This Row],[Bevitore alcolici]],1)),0,1)</f>
        <v>0</v>
      </c>
      <c r="AC267" s="17">
        <f>IF(ISERROR(SEARCH("nega",Tabella1[[#This Row],[Bevitore alcolici]],1)),0,1)</f>
        <v>1</v>
      </c>
      <c r="AD267" s="17">
        <f>IF(ISERROR(SEARCH("potus",Tabella1[[#This Row],[Bevitore alcolici]],1)),0,1)</f>
        <v>0</v>
      </c>
      <c r="AE267" s="11" t="s">
        <v>5662</v>
      </c>
      <c r="AF267" s="18"/>
      <c r="AG267" s="18"/>
      <c r="AH267" s="18"/>
      <c r="AI267" s="18"/>
      <c r="AJ267" s="18"/>
      <c r="AK267" s="11" t="s">
        <v>195</v>
      </c>
      <c r="AL267" s="18">
        <f>IF(ISERROR(SEARCH("si",Tabella1[[#This Row],[Patente di guida]],1)),0,1)</f>
        <v>0</v>
      </c>
      <c r="AM267" s="11" t="s">
        <v>28</v>
      </c>
      <c r="AN267" s="18">
        <f>IF(ISERROR(SEARCH("no",Tabella1[[#This Row],[Ipertensione]],1)),0,1)</f>
        <v>0</v>
      </c>
      <c r="AO267" s="11" t="s">
        <v>382</v>
      </c>
      <c r="AP267" s="18">
        <f>IF(ISERROR(SEARCH("NO",Tabella1[[#This Row],[Cardiopatia ischemica]],1)),1,0)</f>
        <v>0</v>
      </c>
      <c r="AQ267" s="17">
        <f>IF(ISERROR(SEARCH("sconosciuto",Tabella1[[#This Row],[Cardiopatia ischemica]],1)),0,1)</f>
        <v>0</v>
      </c>
      <c r="AR267" s="11" t="s">
        <v>25</v>
      </c>
      <c r="AS267" s="18">
        <f>IF(ISERROR(SEARCH("nega",Tabella1[[#This Row],[Artimie]],1)),0,1)</f>
        <v>1</v>
      </c>
      <c r="AT267" s="11" t="s">
        <v>25</v>
      </c>
      <c r="AU267" s="18">
        <f>IF(ISERROR(SEARCH("nega",Tabella1[[#This Row],[Ipercolesterolemia]],1)),0,1)</f>
        <v>1</v>
      </c>
      <c r="AV267" s="18">
        <f>IF(ISERROR(SEARCH("boh",Tabella1[[#This Row],[Ipercolesterolemia]],1)),0,1)</f>
        <v>0</v>
      </c>
      <c r="AW267" s="11" t="s">
        <v>195</v>
      </c>
      <c r="AX267" s="18">
        <f>IF(ISERROR(SEARCH("Intolleranza",Tabella1[[#This Row],[Diabete]],1)),0,1)</f>
        <v>0</v>
      </c>
      <c r="AY267" s="18">
        <f>IF(ISERROR(SEARCH("si",Tabella1[[#This Row],[Diabete]],1)),0,1)</f>
        <v>0</v>
      </c>
      <c r="AZ267" s="11" t="s">
        <v>195</v>
      </c>
      <c r="BA267" s="18">
        <f>IF(ISERROR(SEARCH("NDD",Tabella1[[#This Row],[Patologia Tiroidea]],1)),0,1)</f>
        <v>0</v>
      </c>
      <c r="BB267" s="18">
        <f>IF(ISERROR(SEARCH("TIROIDITE",Tabella1[[#This Row],[Patologia Tiroidea]],1)),0,1)</f>
        <v>0</v>
      </c>
      <c r="BC267" s="18">
        <f>IF(ISERROR(SEARCH("HASHIMOTO",Tabella1[[#This Row],[Patologia Tiroidea]],1)),0,1)</f>
        <v>0</v>
      </c>
      <c r="BD267" s="18">
        <f>IF(ISERROR(SEARCH("BASEDOW",Tabella1[[#This Row],[Patologia Tiroidea]],1)),0,1)</f>
        <v>0</v>
      </c>
      <c r="BE267" s="18">
        <f>IF(ISERROR(SEARCH("NOD",Tabella1[[#This Row],[Patologia Tiroidea]],1)),0,1)</f>
        <v>0</v>
      </c>
      <c r="BF267" s="18">
        <f>IF(ISERROR(SEARCH("GOZ",Tabella1[[#This Row],[Patologia Tiroidea]],1)),0,1)</f>
        <v>0</v>
      </c>
      <c r="BG267" s="11" t="s">
        <v>194</v>
      </c>
      <c r="BH267" s="18">
        <f>IF(Tabella1[[#This Row],[Obesità]]="no",0,1)</f>
        <v>1</v>
      </c>
      <c r="BI267" s="11" t="s">
        <v>25</v>
      </c>
      <c r="BJ267" s="22">
        <f>IF(ISERROR(SEARCH("nega",Tabella1[[#This Row],[Reflusso gastroesofageo]],1)),1,0)</f>
        <v>0</v>
      </c>
      <c r="BK267" s="11" t="s">
        <v>3061</v>
      </c>
      <c r="BL267" s="18">
        <f>IF(ISERROR(SEARCH("NDD",Tabella1[[#This Row],[Patologia respiratoria]],1)),0,1)</f>
        <v>0</v>
      </c>
      <c r="BM267" s="18">
        <f>IF(ISERROR(SEARCH("asma",Tabella1[[#This Row],[Patologia respiratoria]],1)),0,1)</f>
        <v>0</v>
      </c>
      <c r="BN267" s="18">
        <f>IF(ISERROR(SEARCH("BPCO",Tabella1[[#This Row],[Patologia respiratoria]],1)),0,1)</f>
        <v>0</v>
      </c>
      <c r="BO267" s="18">
        <f>IF(ISERROR(SEARCH("BRONCOPOLMONITE",Tabella1[[#This Row],[Patologia respiratoria]],1)),0,1)</f>
        <v>0</v>
      </c>
      <c r="BP267" s="18">
        <f>IF(ISERROR(SEARCH("ASMA, OSAS",Tabella1[[#This Row],[Patologia respiratoria]],1)),0,1)</f>
        <v>0</v>
      </c>
      <c r="BQ267" s="18">
        <f>IF(ISERROR(SEARCH("OSAS e BPCO",Tabella1[[#This Row],[Patologia respiratoria]],1)),0,1)</f>
        <v>0</v>
      </c>
      <c r="BR267" s="18">
        <f>IF(ISERROR(SEARCH("OSAS",Tabella1[[#This Row],[Patologia respiratoria]],1)),0,1)</f>
        <v>0</v>
      </c>
      <c r="BS267" s="11" t="s">
        <v>3062</v>
      </c>
      <c r="BT267" s="11" t="s">
        <v>3063</v>
      </c>
      <c r="BU267" s="7" t="s">
        <v>5477</v>
      </c>
      <c r="BV267" s="17">
        <f>IF(ISERROR(SEARCH("ndd",Tabella1[[#This Row],[O2 terapia]],1)),0,1)</f>
        <v>1</v>
      </c>
      <c r="BW267" s="18"/>
      <c r="BX267" s="11"/>
      <c r="BY267" s="11" t="s">
        <v>3064</v>
      </c>
      <c r="BZ267" s="18">
        <v>0</v>
      </c>
      <c r="CA267" s="11" t="s">
        <v>3065</v>
      </c>
      <c r="CB267" s="17">
        <v>1</v>
      </c>
      <c r="CC267" s="11" t="s">
        <v>3066</v>
      </c>
      <c r="CD267" s="17">
        <v>1</v>
      </c>
      <c r="CE267" s="11" t="s">
        <v>195</v>
      </c>
      <c r="CF267" s="18">
        <v>0</v>
      </c>
      <c r="CG267" s="11" t="s">
        <v>3067</v>
      </c>
      <c r="CH267" s="17">
        <v>1</v>
      </c>
      <c r="CI267" s="11" t="s">
        <v>195</v>
      </c>
      <c r="CJ267" s="18">
        <v>0</v>
      </c>
      <c r="CK267" s="11" t="s">
        <v>3068</v>
      </c>
      <c r="CL267" s="17">
        <v>1</v>
      </c>
      <c r="CM267" s="11" t="s">
        <v>387</v>
      </c>
      <c r="CN267" s="17">
        <v>1</v>
      </c>
      <c r="CO267" s="11" t="s">
        <v>387</v>
      </c>
      <c r="CP267" s="17">
        <v>1</v>
      </c>
      <c r="CQ267" s="11" t="s">
        <v>54</v>
      </c>
      <c r="CR267" s="11" t="s">
        <v>3069</v>
      </c>
      <c r="CS267" s="11"/>
      <c r="CT267" s="11"/>
      <c r="CU267" s="11" t="s">
        <v>3070</v>
      </c>
      <c r="CV267" s="12" t="s">
        <v>3071</v>
      </c>
    </row>
    <row r="268" spans="1:100" ht="270.75">
      <c r="A268" s="1">
        <f t="shared" si="4"/>
        <v>267</v>
      </c>
      <c r="B268" s="5">
        <v>1540</v>
      </c>
      <c r="C268" s="6">
        <v>45496</v>
      </c>
      <c r="D268" s="7" t="s">
        <v>3072</v>
      </c>
      <c r="E268" s="6">
        <v>26795</v>
      </c>
      <c r="F268" s="29">
        <f ca="1">_xlfn.DAYS(NOW(),Tabella1[[#This Row],[Data di Nascita]])/365.25</f>
        <v>52.232717316906232</v>
      </c>
      <c r="G268" s="7" t="s">
        <v>3073</v>
      </c>
      <c r="H268" s="7" t="s">
        <v>3074</v>
      </c>
      <c r="I268" s="7" t="s">
        <v>2293</v>
      </c>
      <c r="J268" s="7" t="s">
        <v>3075</v>
      </c>
      <c r="K268" s="7" t="s">
        <v>3076</v>
      </c>
      <c r="L268" s="17">
        <f>IF(ISERROR(SEARCH("EX",Tabella1[[#This Row],[Attività lavorativa]],1)),0,1)</f>
        <v>0</v>
      </c>
      <c r="M268" s="17"/>
      <c r="N268" s="17"/>
      <c r="O268" s="17"/>
      <c r="P268" s="17"/>
      <c r="Q268" s="17"/>
      <c r="R268" s="17"/>
      <c r="S268" s="17"/>
      <c r="T268" s="17">
        <f>IF(ISERROR(SEARCH("NDD",Tabella1[[#This Row],[Attività lavorativa]],1)),0,1)</f>
        <v>0</v>
      </c>
      <c r="U268" s="7" t="s">
        <v>3688</v>
      </c>
      <c r="V268" s="22"/>
      <c r="W268" s="22">
        <f>IF(ISERROR(SEARCH("ex",Tabella1[[#This Row],[Fumo]],1)),0,1)</f>
        <v>0</v>
      </c>
      <c r="X268" s="22">
        <f>IF(ISERROR(SEARCH("no",Tabella1[[#This Row],[Fumo]],1)),0,1)</f>
        <v>1</v>
      </c>
      <c r="Y268" s="7" t="s">
        <v>25</v>
      </c>
      <c r="Z268" s="17">
        <f>IF(ISERROR(SEARCH("NDD",Tabella1[[#This Row],[Bevitore alcolici]],1)),0,1)</f>
        <v>0</v>
      </c>
      <c r="AA268" s="17">
        <f>IF(ISERROR(SEARCH("raro",Tabella1[[#This Row],[Bevitore alcolici]],1)),0,1)</f>
        <v>0</v>
      </c>
      <c r="AB268" s="17">
        <f>IF(ISERROR(SEARCH("saltuariamente",Tabella1[[#This Row],[Bevitore alcolici]],1)),0,1)</f>
        <v>0</v>
      </c>
      <c r="AC268" s="17">
        <f>IF(ISERROR(SEARCH("nega",Tabella1[[#This Row],[Bevitore alcolici]],1)),0,1)</f>
        <v>1</v>
      </c>
      <c r="AD268" s="17">
        <f>IF(ISERROR(SEARCH("potus",Tabella1[[#This Row],[Bevitore alcolici]],1)),0,1)</f>
        <v>0</v>
      </c>
      <c r="AE268" s="7" t="s">
        <v>3077</v>
      </c>
      <c r="AF268" s="17"/>
      <c r="AG268" s="18">
        <v>1</v>
      </c>
      <c r="AH268" s="18"/>
      <c r="AI268" s="18"/>
      <c r="AJ268" s="18"/>
      <c r="AK268" s="7" t="s">
        <v>194</v>
      </c>
      <c r="AL268" s="17">
        <f>IF(ISERROR(SEARCH("si",Tabella1[[#This Row],[Patente di guida]],1)),0,1)</f>
        <v>1</v>
      </c>
      <c r="AM268" s="7" t="s">
        <v>195</v>
      </c>
      <c r="AN268" s="17">
        <f>IF(ISERROR(SEARCH("no",Tabella1[[#This Row],[Ipertensione]],1)),0,1)</f>
        <v>1</v>
      </c>
      <c r="AO268" s="7" t="s">
        <v>382</v>
      </c>
      <c r="AP268" s="18">
        <f>IF(ISERROR(SEARCH("NO",Tabella1[[#This Row],[Cardiopatia ischemica]],1)),1,0)</f>
        <v>0</v>
      </c>
      <c r="AQ268" s="17">
        <f>IF(ISERROR(SEARCH("sconosciuto",Tabella1[[#This Row],[Cardiopatia ischemica]],1)),0,1)</f>
        <v>0</v>
      </c>
      <c r="AR268" s="7" t="s">
        <v>25</v>
      </c>
      <c r="AS268" s="17">
        <f>IF(ISERROR(SEARCH("nega",Tabella1[[#This Row],[Artimie]],1)),0,1)</f>
        <v>1</v>
      </c>
      <c r="AT268" s="7" t="s">
        <v>25</v>
      </c>
      <c r="AU268" s="17">
        <f>IF(ISERROR(SEARCH("nega",Tabella1[[#This Row],[Ipercolesterolemia]],1)),0,1)</f>
        <v>1</v>
      </c>
      <c r="AV268" s="17">
        <f>IF(ISERROR(SEARCH("boh",Tabella1[[#This Row],[Ipercolesterolemia]],1)),0,1)</f>
        <v>0</v>
      </c>
      <c r="AW268" s="7" t="s">
        <v>195</v>
      </c>
      <c r="AX268" s="17">
        <f>IF(ISERROR(SEARCH("Intolleranza",Tabella1[[#This Row],[Diabete]],1)),0,1)</f>
        <v>0</v>
      </c>
      <c r="AY268" s="17">
        <f>IF(ISERROR(SEARCH("si",Tabella1[[#This Row],[Diabete]],1)),0,1)</f>
        <v>0</v>
      </c>
      <c r="AZ268" s="7" t="s">
        <v>195</v>
      </c>
      <c r="BA268" s="17">
        <f>IF(ISERROR(SEARCH("NDD",Tabella1[[#This Row],[Patologia Tiroidea]],1)),0,1)</f>
        <v>0</v>
      </c>
      <c r="BB268" s="17">
        <f>IF(ISERROR(SEARCH("TIROIDITE",Tabella1[[#This Row],[Patologia Tiroidea]],1)),0,1)</f>
        <v>0</v>
      </c>
      <c r="BC268" s="17">
        <f>IF(ISERROR(SEARCH("HASHIMOTO",Tabella1[[#This Row],[Patologia Tiroidea]],1)),0,1)</f>
        <v>0</v>
      </c>
      <c r="BD268" s="17">
        <f>IF(ISERROR(SEARCH("BASEDOW",Tabella1[[#This Row],[Patologia Tiroidea]],1)),0,1)</f>
        <v>0</v>
      </c>
      <c r="BE268" s="17">
        <f>IF(ISERROR(SEARCH("NOD",Tabella1[[#This Row],[Patologia Tiroidea]],1)),0,1)</f>
        <v>0</v>
      </c>
      <c r="BF268" s="17">
        <f>IF(ISERROR(SEARCH("GOZ",Tabella1[[#This Row],[Patologia Tiroidea]],1)),0,1)</f>
        <v>0</v>
      </c>
      <c r="BG268" s="7" t="s">
        <v>8</v>
      </c>
      <c r="BH268" s="17">
        <f>IF(Tabella1[[#This Row],[Obesità]]="no",0,1)</f>
        <v>0</v>
      </c>
      <c r="BI268" s="7" t="s">
        <v>3078</v>
      </c>
      <c r="BJ268" s="22">
        <f>IF(ISERROR(SEARCH("nega",Tabella1[[#This Row],[Reflusso gastroesofageo]],1)),1,0)</f>
        <v>1</v>
      </c>
      <c r="BK268" s="7" t="s">
        <v>3079</v>
      </c>
      <c r="BL268" s="17">
        <f>IF(ISERROR(SEARCH("NDD",Tabella1[[#This Row],[Patologia respiratoria]],1)),0,1)</f>
        <v>0</v>
      </c>
      <c r="BM268" s="17">
        <f>IF(ISERROR(SEARCH("asma",Tabella1[[#This Row],[Patologia respiratoria]],1)),0,1)</f>
        <v>0</v>
      </c>
      <c r="BN268" s="17">
        <f>IF(ISERROR(SEARCH("BPCO",Tabella1[[#This Row],[Patologia respiratoria]],1)),0,1)</f>
        <v>0</v>
      </c>
      <c r="BO268" s="17">
        <f>IF(ISERROR(SEARCH("BRONCOPOLMONITE",Tabella1[[#This Row],[Patologia respiratoria]],1)),0,1)</f>
        <v>0</v>
      </c>
      <c r="BP268" s="17">
        <f>IF(ISERROR(SEARCH("ASMA, OSAS",Tabella1[[#This Row],[Patologia respiratoria]],1)),0,1)</f>
        <v>0</v>
      </c>
      <c r="BQ268" s="17">
        <f>IF(ISERROR(SEARCH("OSAS e BPCO",Tabella1[[#This Row],[Patologia respiratoria]],1)),0,1)</f>
        <v>0</v>
      </c>
      <c r="BR268" s="17">
        <f>IF(ISERROR(SEARCH("OSAS",Tabella1[[#This Row],[Patologia respiratoria]],1)),0,1)</f>
        <v>0</v>
      </c>
      <c r="BS268" s="7" t="s">
        <v>3080</v>
      </c>
      <c r="BT268" s="7" t="s">
        <v>3081</v>
      </c>
      <c r="BU268" s="7" t="s">
        <v>5477</v>
      </c>
      <c r="BV268" s="17">
        <f>IF(ISERROR(SEARCH("ndd",Tabella1[[#This Row],[O2 terapia]],1)),0,1)</f>
        <v>1</v>
      </c>
      <c r="BW268" s="17"/>
      <c r="BX268" s="7"/>
      <c r="BY268" s="7" t="s">
        <v>195</v>
      </c>
      <c r="BZ268" s="18">
        <v>0</v>
      </c>
      <c r="CA268" s="7" t="s">
        <v>3082</v>
      </c>
      <c r="CB268" s="17">
        <v>1</v>
      </c>
      <c r="CC268" s="7" t="s">
        <v>195</v>
      </c>
      <c r="CD268" s="18">
        <v>0</v>
      </c>
      <c r="CE268" s="7" t="s">
        <v>195</v>
      </c>
      <c r="CF268" s="18">
        <v>0</v>
      </c>
      <c r="CG268" s="7" t="s">
        <v>3083</v>
      </c>
      <c r="CH268" s="17">
        <v>1</v>
      </c>
      <c r="CI268" s="7" t="s">
        <v>2721</v>
      </c>
      <c r="CJ268" s="17">
        <v>1</v>
      </c>
      <c r="CK268" s="7" t="s">
        <v>2585</v>
      </c>
      <c r="CL268" s="17">
        <v>1</v>
      </c>
      <c r="CM268" s="7" t="s">
        <v>1036</v>
      </c>
      <c r="CN268" s="17">
        <v>1</v>
      </c>
      <c r="CO268" s="7" t="s">
        <v>195</v>
      </c>
      <c r="CP268" s="18">
        <v>0</v>
      </c>
      <c r="CQ268" s="7" t="s">
        <v>54</v>
      </c>
      <c r="CR268" s="7" t="s">
        <v>3084</v>
      </c>
      <c r="CS268" s="7" t="s">
        <v>105</v>
      </c>
      <c r="CT268" s="7" t="s">
        <v>1181</v>
      </c>
      <c r="CU268" s="7" t="s">
        <v>3085</v>
      </c>
      <c r="CV268" s="8" t="s">
        <v>3086</v>
      </c>
    </row>
    <row r="269" spans="1:100" ht="242.25">
      <c r="A269" s="1">
        <f t="shared" si="4"/>
        <v>268</v>
      </c>
      <c r="B269" s="9">
        <v>1541</v>
      </c>
      <c r="C269" s="10">
        <v>45496</v>
      </c>
      <c r="D269" s="11" t="s">
        <v>3087</v>
      </c>
      <c r="E269" s="10">
        <v>24258</v>
      </c>
      <c r="F269" s="29">
        <f ca="1">_xlfn.DAYS(NOW(),Tabella1[[#This Row],[Data di Nascita]])/365.25</f>
        <v>59.178644763860369</v>
      </c>
      <c r="G269" s="11" t="s">
        <v>3088</v>
      </c>
      <c r="H269" s="11" t="s">
        <v>3089</v>
      </c>
      <c r="I269" s="11" t="s">
        <v>2293</v>
      </c>
      <c r="J269" s="11" t="s">
        <v>211</v>
      </c>
      <c r="K269" s="11" t="s">
        <v>3090</v>
      </c>
      <c r="L269" s="18">
        <f>IF(ISERROR(SEARCH("EX",Tabella1[[#This Row],[Attività lavorativa]],1)),0,1)</f>
        <v>0</v>
      </c>
      <c r="M269" s="18"/>
      <c r="N269" s="18"/>
      <c r="O269" s="18"/>
      <c r="P269" s="18"/>
      <c r="Q269" s="18"/>
      <c r="R269" s="18"/>
      <c r="S269" s="18"/>
      <c r="T269" s="17">
        <f>IF(ISERROR(SEARCH("NDD",Tabella1[[#This Row],[Attività lavorativa]],1)),0,1)</f>
        <v>0</v>
      </c>
      <c r="U269" s="11" t="s">
        <v>3688</v>
      </c>
      <c r="V269" s="22"/>
      <c r="W269" s="22">
        <f>IF(ISERROR(SEARCH("ex",Tabella1[[#This Row],[Fumo]],1)),0,1)</f>
        <v>0</v>
      </c>
      <c r="X269" s="22">
        <f>IF(ISERROR(SEARCH("no",Tabella1[[#This Row],[Fumo]],1)),0,1)</f>
        <v>1</v>
      </c>
      <c r="Y269" s="11" t="s">
        <v>25</v>
      </c>
      <c r="Z269" s="18">
        <f>IF(ISERROR(SEARCH("NDD",Tabella1[[#This Row],[Bevitore alcolici]],1)),0,1)</f>
        <v>0</v>
      </c>
      <c r="AA269" s="17">
        <f>IF(ISERROR(SEARCH("raro",Tabella1[[#This Row],[Bevitore alcolici]],1)),0,1)</f>
        <v>0</v>
      </c>
      <c r="AB269" s="17">
        <f>IF(ISERROR(SEARCH("saltuariamente",Tabella1[[#This Row],[Bevitore alcolici]],1)),0,1)</f>
        <v>0</v>
      </c>
      <c r="AC269" s="17">
        <f>IF(ISERROR(SEARCH("nega",Tabella1[[#This Row],[Bevitore alcolici]],1)),0,1)</f>
        <v>1</v>
      </c>
      <c r="AD269" s="17">
        <f>IF(ISERROR(SEARCH("potus",Tabella1[[#This Row],[Bevitore alcolici]],1)),0,1)</f>
        <v>0</v>
      </c>
      <c r="AE269" s="11" t="s">
        <v>657</v>
      </c>
      <c r="AF269" s="18"/>
      <c r="AG269" s="18"/>
      <c r="AH269" s="18"/>
      <c r="AI269" s="18"/>
      <c r="AJ269" s="18"/>
      <c r="AK269" s="11" t="s">
        <v>195</v>
      </c>
      <c r="AL269" s="18">
        <f>IF(ISERROR(SEARCH("si",Tabella1[[#This Row],[Patente di guida]],1)),0,1)</f>
        <v>0</v>
      </c>
      <c r="AM269" s="11" t="s">
        <v>28</v>
      </c>
      <c r="AN269" s="18">
        <f>IF(ISERROR(SEARCH("no",Tabella1[[#This Row],[Ipertensione]],1)),0,1)</f>
        <v>0</v>
      </c>
      <c r="AO269" s="11" t="s">
        <v>382</v>
      </c>
      <c r="AP269" s="18">
        <f>IF(ISERROR(SEARCH("NO",Tabella1[[#This Row],[Cardiopatia ischemica]],1)),1,0)</f>
        <v>0</v>
      </c>
      <c r="AQ269" s="17">
        <f>IF(ISERROR(SEARCH("sconosciuto",Tabella1[[#This Row],[Cardiopatia ischemica]],1)),0,1)</f>
        <v>0</v>
      </c>
      <c r="AR269" s="11" t="s">
        <v>25</v>
      </c>
      <c r="AS269" s="18">
        <f>IF(ISERROR(SEARCH("nega",Tabella1[[#This Row],[Artimie]],1)),0,1)</f>
        <v>1</v>
      </c>
      <c r="AT269" s="11" t="s">
        <v>194</v>
      </c>
      <c r="AU269" s="18">
        <f>IF(ISERROR(SEARCH("nega",Tabella1[[#This Row],[Ipercolesterolemia]],1)),0,1)</f>
        <v>0</v>
      </c>
      <c r="AV269" s="18">
        <f>IF(ISERROR(SEARCH("boh",Tabella1[[#This Row],[Ipercolesterolemia]],1)),0,1)</f>
        <v>0</v>
      </c>
      <c r="AW269" s="11" t="s">
        <v>195</v>
      </c>
      <c r="AX269" s="18">
        <f>IF(ISERROR(SEARCH("Intolleranza",Tabella1[[#This Row],[Diabete]],1)),0,1)</f>
        <v>0</v>
      </c>
      <c r="AY269" s="18">
        <f>IF(ISERROR(SEARCH("si",Tabella1[[#This Row],[Diabete]],1)),0,1)</f>
        <v>0</v>
      </c>
      <c r="AZ269" s="11" t="s">
        <v>3772</v>
      </c>
      <c r="BA269" s="18">
        <f>IF(ISERROR(SEARCH("NDD",Tabella1[[#This Row],[Patologia Tiroidea]],1)),0,1)</f>
        <v>0</v>
      </c>
      <c r="BB269" s="18">
        <f>IF(ISERROR(SEARCH("TIROIDITE",Tabella1[[#This Row],[Patologia Tiroidea]],1)),0,1)</f>
        <v>0</v>
      </c>
      <c r="BC269" s="18">
        <f>IF(ISERROR(SEARCH("HASHIMOTO",Tabella1[[#This Row],[Patologia Tiroidea]],1)),0,1)</f>
        <v>0</v>
      </c>
      <c r="BD269" s="18">
        <f>IF(ISERROR(SEARCH("BASEDOW",Tabella1[[#This Row],[Patologia Tiroidea]],1)),0,1)</f>
        <v>0</v>
      </c>
      <c r="BE269" s="18">
        <f>IF(ISERROR(SEARCH("NOD",Tabella1[[#This Row],[Patologia Tiroidea]],1)),0,1)</f>
        <v>0</v>
      </c>
      <c r="BF269" s="18">
        <f>IF(ISERROR(SEARCH("GOZ",Tabella1[[#This Row],[Patologia Tiroidea]],1)),0,1)</f>
        <v>0</v>
      </c>
      <c r="BG269" s="11" t="s">
        <v>194</v>
      </c>
      <c r="BH269" s="18">
        <f>IF(Tabella1[[#This Row],[Obesità]]="no",0,1)</f>
        <v>1</v>
      </c>
      <c r="BI269" s="11" t="s">
        <v>3091</v>
      </c>
      <c r="BJ269" s="22">
        <f>IF(ISERROR(SEARCH("nega",Tabella1[[#This Row],[Reflusso gastroesofageo]],1)),1,0)</f>
        <v>1</v>
      </c>
      <c r="BK269" s="11" t="s">
        <v>195</v>
      </c>
      <c r="BL269" s="18">
        <f>IF(ISERROR(SEARCH("NDD",Tabella1[[#This Row],[Patologia respiratoria]],1)),0,1)</f>
        <v>0</v>
      </c>
      <c r="BM269" s="18">
        <f>IF(ISERROR(SEARCH("asma",Tabella1[[#This Row],[Patologia respiratoria]],1)),0,1)</f>
        <v>0</v>
      </c>
      <c r="BN269" s="18">
        <f>IF(ISERROR(SEARCH("BPCO",Tabella1[[#This Row],[Patologia respiratoria]],1)),0,1)</f>
        <v>0</v>
      </c>
      <c r="BO269" s="18">
        <f>IF(ISERROR(SEARCH("BRONCOPOLMONITE",Tabella1[[#This Row],[Patologia respiratoria]],1)),0,1)</f>
        <v>0</v>
      </c>
      <c r="BP269" s="18">
        <f>IF(ISERROR(SEARCH("ASMA, OSAS",Tabella1[[#This Row],[Patologia respiratoria]],1)),0,1)</f>
        <v>0</v>
      </c>
      <c r="BQ269" s="18">
        <f>IF(ISERROR(SEARCH("OSAS e BPCO",Tabella1[[#This Row],[Patologia respiratoria]],1)),0,1)</f>
        <v>0</v>
      </c>
      <c r="BR269" s="18">
        <f>IF(ISERROR(SEARCH("OSAS",Tabella1[[#This Row],[Patologia respiratoria]],1)),0,1)</f>
        <v>0</v>
      </c>
      <c r="BS269" s="11"/>
      <c r="BT269" s="11" t="s">
        <v>3092</v>
      </c>
      <c r="BU269" s="7" t="s">
        <v>5477</v>
      </c>
      <c r="BV269" s="17">
        <f>IF(ISERROR(SEARCH("ndd",Tabella1[[#This Row],[O2 terapia]],1)),0,1)</f>
        <v>1</v>
      </c>
      <c r="BW269" s="18"/>
      <c r="BX269" s="11"/>
      <c r="BY269" s="11" t="s">
        <v>195</v>
      </c>
      <c r="BZ269" s="18">
        <v>0</v>
      </c>
      <c r="CA269" s="11" t="s">
        <v>3093</v>
      </c>
      <c r="CB269" s="17">
        <v>1</v>
      </c>
      <c r="CC269" s="11" t="s">
        <v>3094</v>
      </c>
      <c r="CD269" s="17">
        <v>1</v>
      </c>
      <c r="CE269" s="11" t="s">
        <v>195</v>
      </c>
      <c r="CF269" s="18">
        <v>0</v>
      </c>
      <c r="CG269" s="11" t="s">
        <v>3095</v>
      </c>
      <c r="CH269" s="17">
        <v>1</v>
      </c>
      <c r="CI269" s="11" t="s">
        <v>387</v>
      </c>
      <c r="CJ269" s="17">
        <v>1</v>
      </c>
      <c r="CK269" s="11" t="s">
        <v>2488</v>
      </c>
      <c r="CL269" s="17">
        <v>1</v>
      </c>
      <c r="CM269" s="11" t="s">
        <v>195</v>
      </c>
      <c r="CN269" s="17">
        <v>0</v>
      </c>
      <c r="CO269" s="11" t="s">
        <v>387</v>
      </c>
      <c r="CP269" s="17">
        <v>1</v>
      </c>
      <c r="CQ269" s="11" t="s">
        <v>85</v>
      </c>
      <c r="CR269" s="11" t="s">
        <v>1466</v>
      </c>
      <c r="CS269" s="11" t="s">
        <v>37</v>
      </c>
      <c r="CT269" s="11" t="s">
        <v>1444</v>
      </c>
      <c r="CU269" s="11" t="s">
        <v>3096</v>
      </c>
      <c r="CV269" s="12" t="s">
        <v>3097</v>
      </c>
    </row>
    <row r="270" spans="1:100" ht="327.75">
      <c r="A270" s="1">
        <f t="shared" si="4"/>
        <v>269</v>
      </c>
      <c r="B270" s="5">
        <v>1542</v>
      </c>
      <c r="C270" s="6">
        <v>45497</v>
      </c>
      <c r="D270" s="7" t="s">
        <v>3098</v>
      </c>
      <c r="E270" s="6">
        <v>15416</v>
      </c>
      <c r="F270" s="29">
        <f ca="1">_xlfn.DAYS(NOW(),Tabella1[[#This Row],[Data di Nascita]])/365.25</f>
        <v>83.386721423682403</v>
      </c>
      <c r="G270" s="7" t="s">
        <v>3099</v>
      </c>
      <c r="H270" s="7" t="s">
        <v>3100</v>
      </c>
      <c r="I270" s="7" t="s">
        <v>2293</v>
      </c>
      <c r="J270" s="7" t="s">
        <v>473</v>
      </c>
      <c r="K270" s="7" t="s">
        <v>79</v>
      </c>
      <c r="L270" s="17">
        <f>IF(ISERROR(SEARCH("EX",Tabella1[[#This Row],[Attività lavorativa]],1)),0,1)</f>
        <v>0</v>
      </c>
      <c r="M270" s="17"/>
      <c r="N270" s="17"/>
      <c r="O270" s="17"/>
      <c r="P270" s="18">
        <v>1</v>
      </c>
      <c r="Q270" s="17"/>
      <c r="R270" s="17"/>
      <c r="S270" s="17"/>
      <c r="T270" s="17">
        <f>IF(ISERROR(SEARCH("NDD",Tabella1[[#This Row],[Attività lavorativa]],1)),0,1)</f>
        <v>0</v>
      </c>
      <c r="U270" s="7" t="s">
        <v>3688</v>
      </c>
      <c r="V270" s="22"/>
      <c r="W270" s="22">
        <f>IF(ISERROR(SEARCH("ex",Tabella1[[#This Row],[Fumo]],1)),0,1)</f>
        <v>0</v>
      </c>
      <c r="X270" s="22">
        <f>IF(ISERROR(SEARCH("no",Tabella1[[#This Row],[Fumo]],1)),0,1)</f>
        <v>1</v>
      </c>
      <c r="Y270" s="7" t="s">
        <v>25</v>
      </c>
      <c r="Z270" s="17">
        <f>IF(ISERROR(SEARCH("NDD",Tabella1[[#This Row],[Bevitore alcolici]],1)),0,1)</f>
        <v>0</v>
      </c>
      <c r="AA270" s="17">
        <f>IF(ISERROR(SEARCH("raro",Tabella1[[#This Row],[Bevitore alcolici]],1)),0,1)</f>
        <v>0</v>
      </c>
      <c r="AB270" s="17">
        <f>IF(ISERROR(SEARCH("saltuariamente",Tabella1[[#This Row],[Bevitore alcolici]],1)),0,1)</f>
        <v>0</v>
      </c>
      <c r="AC270" s="17">
        <f>IF(ISERROR(SEARCH("nega",Tabella1[[#This Row],[Bevitore alcolici]],1)),0,1)</f>
        <v>1</v>
      </c>
      <c r="AD270" s="17">
        <f>IF(ISERROR(SEARCH("potus",Tabella1[[#This Row],[Bevitore alcolici]],1)),0,1)</f>
        <v>0</v>
      </c>
      <c r="AE270" s="7" t="s">
        <v>5672</v>
      </c>
      <c r="AF270" s="17"/>
      <c r="AG270" s="17"/>
      <c r="AH270" s="18">
        <v>1</v>
      </c>
      <c r="AI270" s="18"/>
      <c r="AJ270" s="18"/>
      <c r="AK270" s="7" t="s">
        <v>195</v>
      </c>
      <c r="AL270" s="17">
        <f>IF(ISERROR(SEARCH("si",Tabella1[[#This Row],[Patente di guida]],1)),0,1)</f>
        <v>0</v>
      </c>
      <c r="AM270" s="7" t="s">
        <v>28</v>
      </c>
      <c r="AN270" s="17">
        <f>IF(ISERROR(SEARCH("no",Tabella1[[#This Row],[Ipertensione]],1)),0,1)</f>
        <v>0</v>
      </c>
      <c r="AO270" s="7" t="s">
        <v>382</v>
      </c>
      <c r="AP270" s="18">
        <f>IF(ISERROR(SEARCH("NO",Tabella1[[#This Row],[Cardiopatia ischemica]],1)),1,0)</f>
        <v>0</v>
      </c>
      <c r="AQ270" s="17">
        <f>IF(ISERROR(SEARCH("sconosciuto",Tabella1[[#This Row],[Cardiopatia ischemica]],1)),0,1)</f>
        <v>0</v>
      </c>
      <c r="AR270" s="7" t="s">
        <v>3101</v>
      </c>
      <c r="AS270" s="17">
        <f>IF(ISERROR(SEARCH("nega",Tabella1[[#This Row],[Artimie]],1)),0,1)</f>
        <v>0</v>
      </c>
      <c r="AT270" s="7" t="s">
        <v>25</v>
      </c>
      <c r="AU270" s="17">
        <f>IF(ISERROR(SEARCH("nega",Tabella1[[#This Row],[Ipercolesterolemia]],1)),0,1)</f>
        <v>1</v>
      </c>
      <c r="AV270" s="17">
        <f>IF(ISERROR(SEARCH("boh",Tabella1[[#This Row],[Ipercolesterolemia]],1)),0,1)</f>
        <v>0</v>
      </c>
      <c r="AW270" s="7" t="s">
        <v>195</v>
      </c>
      <c r="AX270" s="17">
        <f>IF(ISERROR(SEARCH("Intolleranza",Tabella1[[#This Row],[Diabete]],1)),0,1)</f>
        <v>0</v>
      </c>
      <c r="AY270" s="17">
        <f>IF(ISERROR(SEARCH("si",Tabella1[[#This Row],[Diabete]],1)),0,1)</f>
        <v>0</v>
      </c>
      <c r="AZ270" s="7" t="s">
        <v>3794</v>
      </c>
      <c r="BA270" s="17">
        <f>IF(ISERROR(SEARCH("NDD",Tabella1[[#This Row],[Patologia Tiroidea]],1)),0,1)</f>
        <v>0</v>
      </c>
      <c r="BB270" s="17">
        <f>IF(ISERROR(SEARCH("TIROIDITE",Tabella1[[#This Row],[Patologia Tiroidea]],1)),0,1)</f>
        <v>0</v>
      </c>
      <c r="BC270" s="17">
        <f>IF(ISERROR(SEARCH("HASHIMOTO",Tabella1[[#This Row],[Patologia Tiroidea]],1)),0,1)</f>
        <v>0</v>
      </c>
      <c r="BD270" s="17">
        <f>IF(ISERROR(SEARCH("BASEDOW",Tabella1[[#This Row],[Patologia Tiroidea]],1)),0,1)</f>
        <v>0</v>
      </c>
      <c r="BE270" s="17">
        <f>IF(ISERROR(SEARCH("NOD",Tabella1[[#This Row],[Patologia Tiroidea]],1)),0,1)</f>
        <v>1</v>
      </c>
      <c r="BF270" s="17">
        <f>IF(ISERROR(SEARCH("GOZ",Tabella1[[#This Row],[Patologia Tiroidea]],1)),0,1)</f>
        <v>0</v>
      </c>
      <c r="BG270" s="7" t="s">
        <v>8</v>
      </c>
      <c r="BH270" s="17">
        <f>IF(Tabella1[[#This Row],[Obesità]]="no",0,1)</f>
        <v>0</v>
      </c>
      <c r="BI270" s="7" t="s">
        <v>3102</v>
      </c>
      <c r="BJ270" s="22">
        <f>IF(ISERROR(SEARCH("nega",Tabella1[[#This Row],[Reflusso gastroesofageo]],1)),1,0)</f>
        <v>1</v>
      </c>
      <c r="BK270" s="7" t="s">
        <v>3103</v>
      </c>
      <c r="BL270" s="17">
        <f>IF(ISERROR(SEARCH("NDD",Tabella1[[#This Row],[Patologia respiratoria]],1)),0,1)</f>
        <v>0</v>
      </c>
      <c r="BM270" s="17">
        <f>IF(ISERROR(SEARCH("asma",Tabella1[[#This Row],[Patologia respiratoria]],1)),0,1)</f>
        <v>0</v>
      </c>
      <c r="BN270" s="17">
        <f>IF(ISERROR(SEARCH("BPCO",Tabella1[[#This Row],[Patologia respiratoria]],1)),0,1)</f>
        <v>0</v>
      </c>
      <c r="BO270" s="17">
        <f>IF(ISERROR(SEARCH("BRONCOPOLMONITE",Tabella1[[#This Row],[Patologia respiratoria]],1)),0,1)</f>
        <v>0</v>
      </c>
      <c r="BP270" s="17">
        <f>IF(ISERROR(SEARCH("ASMA, OSAS",Tabella1[[#This Row],[Patologia respiratoria]],1)),0,1)</f>
        <v>0</v>
      </c>
      <c r="BQ270" s="17">
        <f>IF(ISERROR(SEARCH("OSAS e BPCO",Tabella1[[#This Row],[Patologia respiratoria]],1)),0,1)</f>
        <v>0</v>
      </c>
      <c r="BR270" s="17">
        <f>IF(ISERROR(SEARCH("OSAS",Tabella1[[#This Row],[Patologia respiratoria]],1)),0,1)</f>
        <v>0</v>
      </c>
      <c r="BS270" s="7" t="s">
        <v>3104</v>
      </c>
      <c r="BT270" s="7" t="s">
        <v>3105</v>
      </c>
      <c r="BU270" s="7" t="s">
        <v>5477</v>
      </c>
      <c r="BV270" s="17">
        <f>IF(ISERROR(SEARCH("ndd",Tabella1[[#This Row],[O2 terapia]],1)),0,1)</f>
        <v>1</v>
      </c>
      <c r="BW270" s="17"/>
      <c r="BX270" s="7"/>
      <c r="BY270" s="7" t="s">
        <v>195</v>
      </c>
      <c r="BZ270" s="18">
        <v>0</v>
      </c>
      <c r="CA270" s="7" t="s">
        <v>3106</v>
      </c>
      <c r="CB270" s="17">
        <v>1</v>
      </c>
      <c r="CC270" s="7" t="s">
        <v>3107</v>
      </c>
      <c r="CD270" s="17">
        <v>1</v>
      </c>
      <c r="CE270" s="7" t="s">
        <v>309</v>
      </c>
      <c r="CF270" s="18">
        <v>0</v>
      </c>
      <c r="CG270" s="7" t="s">
        <v>3108</v>
      </c>
      <c r="CH270" s="17">
        <v>1</v>
      </c>
      <c r="CI270" s="7" t="s">
        <v>3109</v>
      </c>
      <c r="CJ270" s="17">
        <v>1</v>
      </c>
      <c r="CK270" s="7" t="s">
        <v>3110</v>
      </c>
      <c r="CL270" s="17">
        <v>1</v>
      </c>
      <c r="CM270" s="7" t="s">
        <v>387</v>
      </c>
      <c r="CN270" s="17">
        <v>1</v>
      </c>
      <c r="CO270" s="7" t="s">
        <v>195</v>
      </c>
      <c r="CP270" s="18">
        <v>0</v>
      </c>
      <c r="CQ270" s="7" t="s">
        <v>103</v>
      </c>
      <c r="CR270" s="7" t="s">
        <v>3111</v>
      </c>
      <c r="CS270" s="7" t="s">
        <v>355</v>
      </c>
      <c r="CT270" s="7" t="s">
        <v>746</v>
      </c>
      <c r="CU270" s="7" t="s">
        <v>3112</v>
      </c>
      <c r="CV270" s="8" t="s">
        <v>3113</v>
      </c>
    </row>
    <row r="271" spans="1:100" ht="342">
      <c r="A271" s="1">
        <f t="shared" si="4"/>
        <v>270</v>
      </c>
      <c r="B271" s="9">
        <v>1551</v>
      </c>
      <c r="C271" s="10">
        <v>45502</v>
      </c>
      <c r="D271" s="11" t="s">
        <v>3114</v>
      </c>
      <c r="E271" s="10">
        <v>14252</v>
      </c>
      <c r="F271" s="29">
        <f ca="1">_xlfn.DAYS(NOW(),Tabella1[[#This Row],[Data di Nascita]])/365.25</f>
        <v>86.573579739904176</v>
      </c>
      <c r="G271" s="11" t="s">
        <v>3115</v>
      </c>
      <c r="H271" s="11" t="s">
        <v>3116</v>
      </c>
      <c r="I271" s="11" t="s">
        <v>1675</v>
      </c>
      <c r="J271" s="11" t="s">
        <v>3117</v>
      </c>
      <c r="K271" s="11" t="s">
        <v>3118</v>
      </c>
      <c r="L271" s="18">
        <f>IF(ISERROR(SEARCH("EX",Tabella1[[#This Row],[Attività lavorativa]],1)),0,1)</f>
        <v>1</v>
      </c>
      <c r="M271" s="18">
        <v>1</v>
      </c>
      <c r="N271" s="18"/>
      <c r="O271" s="18"/>
      <c r="P271" s="18"/>
      <c r="Q271" s="18"/>
      <c r="R271" s="18"/>
      <c r="S271" s="18"/>
      <c r="T271" s="17">
        <f>IF(ISERROR(SEARCH("NDD",Tabella1[[#This Row],[Attività lavorativa]],1)),0,1)</f>
        <v>0</v>
      </c>
      <c r="U271" s="11" t="s">
        <v>3119</v>
      </c>
      <c r="V271" s="22"/>
      <c r="W271" s="22">
        <f>IF(ISERROR(SEARCH("ex",Tabella1[[#This Row],[Fumo]],1)),0,1)</f>
        <v>1</v>
      </c>
      <c r="X271" s="22">
        <f>IF(ISERROR(SEARCH("no",Tabella1[[#This Row],[Fumo]],1)),0,1)</f>
        <v>0</v>
      </c>
      <c r="Y271" s="11" t="s">
        <v>3694</v>
      </c>
      <c r="Z271" s="18">
        <f>IF(ISERROR(SEARCH("NDD",Tabella1[[#This Row],[Bevitore alcolici]],1)),0,1)</f>
        <v>0</v>
      </c>
      <c r="AA271" s="17">
        <f>IF(ISERROR(SEARCH("raro",Tabella1[[#This Row],[Bevitore alcolici]],1)),0,1)</f>
        <v>0</v>
      </c>
      <c r="AB271" s="17">
        <f>IF(ISERROR(SEARCH("saltuariamente",Tabella1[[#This Row],[Bevitore alcolici]],1)),0,1)</f>
        <v>1</v>
      </c>
      <c r="AC271" s="17">
        <f>IF(ISERROR(SEARCH("nega",Tabella1[[#This Row],[Bevitore alcolici]],1)),0,1)</f>
        <v>0</v>
      </c>
      <c r="AD271" s="17">
        <f>IF(ISERROR(SEARCH("potus",Tabella1[[#This Row],[Bevitore alcolici]],1)),0,1)</f>
        <v>0</v>
      </c>
      <c r="AE271" s="11" t="s">
        <v>5696</v>
      </c>
      <c r="AF271" s="18"/>
      <c r="AG271" s="18">
        <v>1</v>
      </c>
      <c r="AH271" s="18"/>
      <c r="AI271" s="18"/>
      <c r="AJ271" s="18"/>
      <c r="AK271" s="11" t="s">
        <v>195</v>
      </c>
      <c r="AL271" s="18">
        <f>IF(ISERROR(SEARCH("si",Tabella1[[#This Row],[Patente di guida]],1)),0,1)</f>
        <v>0</v>
      </c>
      <c r="AM271" s="11" t="s">
        <v>28</v>
      </c>
      <c r="AN271" s="18">
        <f>IF(ISERROR(SEARCH("no",Tabella1[[#This Row],[Ipertensione]],1)),0,1)</f>
        <v>0</v>
      </c>
      <c r="AO271" s="11" t="s">
        <v>3120</v>
      </c>
      <c r="AP271" s="18">
        <f>IF(ISERROR(SEARCH("NO",Tabella1[[#This Row],[Cardiopatia ischemica]],1)),1,0)</f>
        <v>1</v>
      </c>
      <c r="AQ271" s="17">
        <f>IF(ISERROR(SEARCH("sconosciuto",Tabella1[[#This Row],[Cardiopatia ischemica]],1)),0,1)</f>
        <v>0</v>
      </c>
      <c r="AR271" s="11" t="s">
        <v>25</v>
      </c>
      <c r="AS271" s="22">
        <f>IF(ISERROR(SEARCH("nega",Tabella1[[#This Row],[Artimie]],1)),0,1)</f>
        <v>1</v>
      </c>
      <c r="AT271" s="11" t="s">
        <v>547</v>
      </c>
      <c r="AU271" s="22">
        <f>IF(ISERROR(SEARCH("nega",Tabella1[[#This Row],[Ipercolesterolemia]],1)),0,1)</f>
        <v>0</v>
      </c>
      <c r="AV271" s="22">
        <f>IF(ISERROR(SEARCH("boh",Tabella1[[#This Row],[Ipercolesterolemia]],1)),0,1)</f>
        <v>0</v>
      </c>
      <c r="AW271" s="11" t="s">
        <v>28</v>
      </c>
      <c r="AX271" s="22">
        <f>IF(ISERROR(SEARCH("Intolleranza",Tabella1[[#This Row],[Diabete]],1)),0,1)</f>
        <v>0</v>
      </c>
      <c r="AY271" s="22">
        <f>IF(ISERROR(SEARCH("si",Tabella1[[#This Row],[Diabete]],1)),0,1)</f>
        <v>1</v>
      </c>
      <c r="AZ271" s="11" t="s">
        <v>195</v>
      </c>
      <c r="BA271" s="18">
        <f>IF(ISERROR(SEARCH("NDD",Tabella1[[#This Row],[Patologia Tiroidea]],1)),0,1)</f>
        <v>0</v>
      </c>
      <c r="BB271" s="22">
        <f>IF(ISERROR(SEARCH("TIROIDITE",Tabella1[[#This Row],[Patologia Tiroidea]],1)),0,1)</f>
        <v>0</v>
      </c>
      <c r="BC271" s="22">
        <f>IF(ISERROR(SEARCH("HASHIMOTO",Tabella1[[#This Row],[Patologia Tiroidea]],1)),0,1)</f>
        <v>0</v>
      </c>
      <c r="BD271" s="22">
        <f>IF(ISERROR(SEARCH("BASEDOW",Tabella1[[#This Row],[Patologia Tiroidea]],1)),0,1)</f>
        <v>0</v>
      </c>
      <c r="BE271" s="22">
        <f>IF(ISERROR(SEARCH("NOD",Tabella1[[#This Row],[Patologia Tiroidea]],1)),0,1)</f>
        <v>0</v>
      </c>
      <c r="BF271" s="22">
        <f>IF(ISERROR(SEARCH("GOZ",Tabella1[[#This Row],[Patologia Tiroidea]],1)),0,1)</f>
        <v>0</v>
      </c>
      <c r="BG271" s="11" t="s">
        <v>1421</v>
      </c>
      <c r="BH271" s="18">
        <f>IF(Tabella1[[#This Row],[Obesità]]="no",0,1)</f>
        <v>1</v>
      </c>
      <c r="BI271" s="11" t="s">
        <v>3121</v>
      </c>
      <c r="BJ271" s="22">
        <f>IF(ISERROR(SEARCH("nega",Tabella1[[#This Row],[Reflusso gastroesofageo]],1)),1,0)</f>
        <v>1</v>
      </c>
      <c r="BK271" s="11" t="s">
        <v>195</v>
      </c>
      <c r="BL271" s="18">
        <f>IF(ISERROR(SEARCH("NDD",Tabella1[[#This Row],[Patologia respiratoria]],1)),0,1)</f>
        <v>0</v>
      </c>
      <c r="BM271" s="18">
        <f>IF(ISERROR(SEARCH("asma",Tabella1[[#This Row],[Patologia respiratoria]],1)),0,1)</f>
        <v>0</v>
      </c>
      <c r="BN271" s="18">
        <f>IF(ISERROR(SEARCH("BPCO",Tabella1[[#This Row],[Patologia respiratoria]],1)),0,1)</f>
        <v>0</v>
      </c>
      <c r="BO271" s="18">
        <f>IF(ISERROR(SEARCH("BRONCOPOLMONITE",Tabella1[[#This Row],[Patologia respiratoria]],1)),0,1)</f>
        <v>0</v>
      </c>
      <c r="BP271" s="18">
        <f>IF(ISERROR(SEARCH("ASMA, OSAS",Tabella1[[#This Row],[Patologia respiratoria]],1)),0,1)</f>
        <v>0</v>
      </c>
      <c r="BQ271" s="18">
        <f>IF(ISERROR(SEARCH("OSAS e BPCO",Tabella1[[#This Row],[Patologia respiratoria]],1)),0,1)</f>
        <v>0</v>
      </c>
      <c r="BR271" s="18">
        <f>IF(ISERROR(SEARCH("OSAS",Tabella1[[#This Row],[Patologia respiratoria]],1)),0,1)</f>
        <v>0</v>
      </c>
      <c r="BS271" s="11" t="s">
        <v>3122</v>
      </c>
      <c r="BT271" s="11" t="s">
        <v>3123</v>
      </c>
      <c r="BU271" s="11" t="s">
        <v>195</v>
      </c>
      <c r="BV271" s="18">
        <f>IF(ISERROR(SEARCH("ndd",Tabella1[[#This Row],[O2 terapia]],1)),0,1)</f>
        <v>0</v>
      </c>
      <c r="BW271" s="17">
        <v>0</v>
      </c>
      <c r="BX271" s="11" t="s">
        <v>3124</v>
      </c>
      <c r="BY271" s="11" t="s">
        <v>3125</v>
      </c>
      <c r="BZ271" s="17">
        <v>1</v>
      </c>
      <c r="CA271" s="11" t="s">
        <v>195</v>
      </c>
      <c r="CB271" s="17">
        <v>0</v>
      </c>
      <c r="CC271" s="11" t="s">
        <v>3126</v>
      </c>
      <c r="CD271" s="17">
        <v>1</v>
      </c>
      <c r="CE271" s="11" t="s">
        <v>657</v>
      </c>
      <c r="CF271" s="18">
        <v>0</v>
      </c>
      <c r="CG271" s="11" t="s">
        <v>547</v>
      </c>
      <c r="CH271" s="17">
        <v>1</v>
      </c>
      <c r="CI271" s="11" t="s">
        <v>8</v>
      </c>
      <c r="CJ271" s="18">
        <v>0</v>
      </c>
      <c r="CK271" s="11" t="s">
        <v>3127</v>
      </c>
      <c r="CL271" s="17">
        <v>1</v>
      </c>
      <c r="CM271" s="11" t="s">
        <v>3128</v>
      </c>
      <c r="CN271" s="17">
        <v>1</v>
      </c>
      <c r="CO271" s="11" t="s">
        <v>3129</v>
      </c>
      <c r="CP271" s="17">
        <v>1</v>
      </c>
      <c r="CQ271" s="11" t="s">
        <v>3130</v>
      </c>
      <c r="CR271" s="11" t="s">
        <v>3131</v>
      </c>
      <c r="CS271" s="11" t="s">
        <v>3132</v>
      </c>
      <c r="CT271" s="11" t="s">
        <v>3133</v>
      </c>
      <c r="CU271" s="11" t="s">
        <v>3134</v>
      </c>
      <c r="CV271" s="12" t="s">
        <v>3135</v>
      </c>
    </row>
    <row r="272" spans="1:100" ht="270.75">
      <c r="A272" s="1">
        <f t="shared" si="4"/>
        <v>271</v>
      </c>
      <c r="B272" s="5">
        <v>1553</v>
      </c>
      <c r="C272" s="6">
        <v>45503</v>
      </c>
      <c r="D272" s="7" t="s">
        <v>3136</v>
      </c>
      <c r="E272" s="6">
        <v>22676</v>
      </c>
      <c r="F272" s="29">
        <f ca="1">_xlfn.DAYS(NOW(),Tabella1[[#This Row],[Data di Nascita]])/365.25</f>
        <v>63.509924709103352</v>
      </c>
      <c r="G272" s="7" t="s">
        <v>3137</v>
      </c>
      <c r="H272" s="7" t="s">
        <v>3138</v>
      </c>
      <c r="I272" s="7" t="s">
        <v>2293</v>
      </c>
      <c r="J272" s="7" t="s">
        <v>3139</v>
      </c>
      <c r="K272" s="7" t="s">
        <v>3140</v>
      </c>
      <c r="L272" s="17">
        <f>IF(ISERROR(SEARCH("EX",Tabella1[[#This Row],[Attività lavorativa]],1)),0,1)</f>
        <v>0</v>
      </c>
      <c r="M272" s="17"/>
      <c r="N272" s="17"/>
      <c r="O272" s="18">
        <v>1</v>
      </c>
      <c r="P272" s="18"/>
      <c r="Q272" s="18"/>
      <c r="R272" s="18"/>
      <c r="S272" s="18"/>
      <c r="T272" s="17">
        <f>IF(ISERROR(SEARCH("NDD",Tabella1[[#This Row],[Attività lavorativa]],1)),0,1)</f>
        <v>0</v>
      </c>
      <c r="U272" s="7" t="s">
        <v>3141</v>
      </c>
      <c r="V272" s="22">
        <v>25</v>
      </c>
      <c r="W272" s="22">
        <f>IF(ISERROR(SEARCH("ex",Tabella1[[#This Row],[Fumo]],1)),0,1)</f>
        <v>1</v>
      </c>
      <c r="X272" s="22">
        <f>IF(ISERROR(SEARCH("no",Tabella1[[#This Row],[Fumo]],1)),0,1)</f>
        <v>0</v>
      </c>
      <c r="Y272" s="11" t="s">
        <v>5477</v>
      </c>
      <c r="Z272" s="18">
        <f>IF(ISERROR(SEARCH("NDD",Tabella1[[#This Row],[Bevitore alcolici]],1)),0,1)</f>
        <v>1</v>
      </c>
      <c r="AA272" s="17">
        <f>IF(ISERROR(SEARCH("raro",Tabella1[[#This Row],[Bevitore alcolici]],1)),0,1)</f>
        <v>0</v>
      </c>
      <c r="AB272" s="17">
        <f>IF(ISERROR(SEARCH("saltuariamente",Tabella1[[#This Row],[Bevitore alcolici]],1)),0,1)</f>
        <v>0</v>
      </c>
      <c r="AC272" s="17">
        <f>IF(ISERROR(SEARCH("nega",Tabella1[[#This Row],[Bevitore alcolici]],1)),0,1)</f>
        <v>0</v>
      </c>
      <c r="AD272" s="17">
        <f>IF(ISERROR(SEARCH("potus",Tabella1[[#This Row],[Bevitore alcolici]],1)),0,1)</f>
        <v>0</v>
      </c>
      <c r="AE272" s="7" t="s">
        <v>5697</v>
      </c>
      <c r="AF272" s="17"/>
      <c r="AG272" s="17"/>
      <c r="AH272" s="18">
        <v>1</v>
      </c>
      <c r="AI272" s="18"/>
      <c r="AJ272" s="18"/>
      <c r="AK272" s="7" t="s">
        <v>194</v>
      </c>
      <c r="AL272" s="17">
        <f>IF(ISERROR(SEARCH("si",Tabella1[[#This Row],[Patente di guida]],1)),0,1)</f>
        <v>1</v>
      </c>
      <c r="AM272" s="7" t="s">
        <v>28</v>
      </c>
      <c r="AN272" s="17">
        <f>IF(ISERROR(SEARCH("no",Tabella1[[#This Row],[Ipertensione]],1)),0,1)</f>
        <v>0</v>
      </c>
      <c r="AO272" s="7" t="s">
        <v>382</v>
      </c>
      <c r="AP272" s="18">
        <f>IF(ISERROR(SEARCH("NO",Tabella1[[#This Row],[Cardiopatia ischemica]],1)),1,0)</f>
        <v>0</v>
      </c>
      <c r="AQ272" s="17">
        <f>IF(ISERROR(SEARCH("sconosciuto",Tabella1[[#This Row],[Cardiopatia ischemica]],1)),0,1)</f>
        <v>0</v>
      </c>
      <c r="AR272" s="7" t="s">
        <v>25</v>
      </c>
      <c r="AS272" s="17">
        <f>IF(ISERROR(SEARCH("nega",Tabella1[[#This Row],[Artimie]],1)),0,1)</f>
        <v>1</v>
      </c>
      <c r="AT272" s="7" t="s">
        <v>194</v>
      </c>
      <c r="AU272" s="17">
        <f>IF(ISERROR(SEARCH("nega",Tabella1[[#This Row],[Ipercolesterolemia]],1)),0,1)</f>
        <v>0</v>
      </c>
      <c r="AV272" s="17">
        <f>IF(ISERROR(SEARCH("boh",Tabella1[[#This Row],[Ipercolesterolemia]],1)),0,1)</f>
        <v>0</v>
      </c>
      <c r="AW272" s="7" t="s">
        <v>28</v>
      </c>
      <c r="AX272" s="17">
        <f>IF(ISERROR(SEARCH("Intolleranza",Tabella1[[#This Row],[Diabete]],1)),0,1)</f>
        <v>0</v>
      </c>
      <c r="AY272" s="17">
        <f>IF(ISERROR(SEARCH("si",Tabella1[[#This Row],[Diabete]],1)),0,1)</f>
        <v>1</v>
      </c>
      <c r="AZ272" s="7" t="s">
        <v>3142</v>
      </c>
      <c r="BA272" s="17">
        <f>IF(ISERROR(SEARCH("NDD",Tabella1[[#This Row],[Patologia Tiroidea]],1)),0,1)</f>
        <v>0</v>
      </c>
      <c r="BB272" s="17">
        <f>IF(ISERROR(SEARCH("TIROIDITE",Tabella1[[#This Row],[Patologia Tiroidea]],1)),0,1)</f>
        <v>0</v>
      </c>
      <c r="BC272" s="17">
        <f>IF(ISERROR(SEARCH("HASHIMOTO",Tabella1[[#This Row],[Patologia Tiroidea]],1)),0,1)</f>
        <v>0</v>
      </c>
      <c r="BD272" s="17">
        <f>IF(ISERROR(SEARCH("BASEDOW",Tabella1[[#This Row],[Patologia Tiroidea]],1)),0,1)</f>
        <v>0</v>
      </c>
      <c r="BE272" s="17">
        <f>IF(ISERROR(SEARCH("NOD",Tabella1[[#This Row],[Patologia Tiroidea]],1)),0,1)</f>
        <v>0</v>
      </c>
      <c r="BF272" s="17">
        <f>IF(ISERROR(SEARCH("GOZ",Tabella1[[#This Row],[Patologia Tiroidea]],1)),0,1)</f>
        <v>0</v>
      </c>
      <c r="BG272" s="7" t="s">
        <v>194</v>
      </c>
      <c r="BH272" s="17">
        <f>IF(Tabella1[[#This Row],[Obesità]]="no",0,1)</f>
        <v>1</v>
      </c>
      <c r="BI272" s="7" t="s">
        <v>25</v>
      </c>
      <c r="BJ272" s="22">
        <f>IF(ISERROR(SEARCH("nega",Tabella1[[#This Row],[Reflusso gastroesofageo]],1)),1,0)</f>
        <v>0</v>
      </c>
      <c r="BK272" s="7" t="s">
        <v>3143</v>
      </c>
      <c r="BL272" s="17">
        <f>IF(ISERROR(SEARCH("NDD",Tabella1[[#This Row],[Patologia respiratoria]],1)),0,1)</f>
        <v>0</v>
      </c>
      <c r="BM272" s="17">
        <f>IF(ISERROR(SEARCH("asma",Tabella1[[#This Row],[Patologia respiratoria]],1)),0,1)</f>
        <v>0</v>
      </c>
      <c r="BN272" s="17">
        <f>IF(ISERROR(SEARCH("BPCO",Tabella1[[#This Row],[Patologia respiratoria]],1)),0,1)</f>
        <v>0</v>
      </c>
      <c r="BO272" s="17">
        <f>IF(ISERROR(SEARCH("BRONCOPOLMONITE",Tabella1[[#This Row],[Patologia respiratoria]],1)),0,1)</f>
        <v>0</v>
      </c>
      <c r="BP272" s="17">
        <f>IF(ISERROR(SEARCH("ASMA, OSAS",Tabella1[[#This Row],[Patologia respiratoria]],1)),0,1)</f>
        <v>0</v>
      </c>
      <c r="BQ272" s="17">
        <f>IF(ISERROR(SEARCH("OSAS e BPCO",Tabella1[[#This Row],[Patologia respiratoria]],1)),0,1)</f>
        <v>0</v>
      </c>
      <c r="BR272" s="17">
        <f>IF(ISERROR(SEARCH("OSAS",Tabella1[[#This Row],[Patologia respiratoria]],1)),0,1)</f>
        <v>0</v>
      </c>
      <c r="BS272" s="7" t="s">
        <v>3144</v>
      </c>
      <c r="BT272" s="7" t="s">
        <v>3145</v>
      </c>
      <c r="BU272" s="7" t="s">
        <v>5477</v>
      </c>
      <c r="BV272" s="17">
        <f>IF(ISERROR(SEARCH("ndd",Tabella1[[#This Row],[O2 terapia]],1)),0,1)</f>
        <v>1</v>
      </c>
      <c r="BW272" s="17"/>
      <c r="BX272" s="7"/>
      <c r="BY272" s="7" t="s">
        <v>195</v>
      </c>
      <c r="BZ272" s="18">
        <v>0</v>
      </c>
      <c r="CA272" s="7" t="s">
        <v>3146</v>
      </c>
      <c r="CB272" s="17">
        <v>1</v>
      </c>
      <c r="CC272" s="7" t="s">
        <v>3147</v>
      </c>
      <c r="CD272" s="17">
        <v>1</v>
      </c>
      <c r="CE272" s="7" t="s">
        <v>195</v>
      </c>
      <c r="CF272" s="18">
        <v>0</v>
      </c>
      <c r="CG272" s="7" t="s">
        <v>3148</v>
      </c>
      <c r="CH272" s="17">
        <v>1</v>
      </c>
      <c r="CI272" s="7" t="s">
        <v>195</v>
      </c>
      <c r="CJ272" s="18">
        <v>0</v>
      </c>
      <c r="CK272" s="7" t="s">
        <v>2638</v>
      </c>
      <c r="CL272" s="17">
        <v>1</v>
      </c>
      <c r="CM272" s="7" t="s">
        <v>387</v>
      </c>
      <c r="CN272" s="17">
        <v>1</v>
      </c>
      <c r="CO272" s="7" t="s">
        <v>387</v>
      </c>
      <c r="CP272" s="17">
        <v>1</v>
      </c>
      <c r="CQ272" s="7" t="s">
        <v>202</v>
      </c>
      <c r="CR272" s="7" t="s">
        <v>507</v>
      </c>
      <c r="CS272" s="7" t="s">
        <v>355</v>
      </c>
      <c r="CT272" s="7" t="s">
        <v>248</v>
      </c>
      <c r="CU272" s="7" t="s">
        <v>3149</v>
      </c>
      <c r="CV272" s="8" t="s">
        <v>3150</v>
      </c>
    </row>
    <row r="273" spans="1:100" ht="185.25">
      <c r="A273" s="1">
        <f t="shared" si="4"/>
        <v>272</v>
      </c>
      <c r="B273" s="9">
        <v>1556</v>
      </c>
      <c r="C273" s="10">
        <v>45506</v>
      </c>
      <c r="D273" s="11" t="s">
        <v>3151</v>
      </c>
      <c r="E273" s="10">
        <v>29280</v>
      </c>
      <c r="F273" s="29">
        <f ca="1">_xlfn.DAYS(NOW(),Tabella1[[#This Row],[Data di Nascita]])/365.25</f>
        <v>45.429158110882959</v>
      </c>
      <c r="G273" s="11" t="s">
        <v>3152</v>
      </c>
      <c r="H273" s="11" t="s">
        <v>3153</v>
      </c>
      <c r="I273" s="11" t="s">
        <v>3154</v>
      </c>
      <c r="J273" s="11" t="s">
        <v>3155</v>
      </c>
      <c r="K273" s="11" t="s">
        <v>3156</v>
      </c>
      <c r="L273" s="18">
        <f>IF(ISERROR(SEARCH("EX",Tabella1[[#This Row],[Attività lavorativa]],1)),0,1)</f>
        <v>0</v>
      </c>
      <c r="M273" s="18"/>
      <c r="N273" s="18"/>
      <c r="O273" s="18">
        <v>1</v>
      </c>
      <c r="P273" s="18"/>
      <c r="Q273" s="18"/>
      <c r="R273" s="18"/>
      <c r="S273" s="18"/>
      <c r="T273" s="17">
        <f>IF(ISERROR(SEARCH("NDD",Tabella1[[#This Row],[Attività lavorativa]],1)),0,1)</f>
        <v>0</v>
      </c>
      <c r="U273" s="11" t="s">
        <v>8</v>
      </c>
      <c r="V273" s="22"/>
      <c r="W273" s="22">
        <f>IF(ISERROR(SEARCH("ex",Tabella1[[#This Row],[Fumo]],1)),0,1)</f>
        <v>0</v>
      </c>
      <c r="X273" s="22">
        <f>IF(ISERROR(SEARCH("no",Tabella1[[#This Row],[Fumo]],1)),0,1)</f>
        <v>1</v>
      </c>
      <c r="Y273" s="11" t="s">
        <v>3694</v>
      </c>
      <c r="Z273" s="18">
        <f>IF(ISERROR(SEARCH("NDD",Tabella1[[#This Row],[Bevitore alcolici]],1)),0,1)</f>
        <v>0</v>
      </c>
      <c r="AA273" s="17">
        <f>IF(ISERROR(SEARCH("raro",Tabella1[[#This Row],[Bevitore alcolici]],1)),0,1)</f>
        <v>0</v>
      </c>
      <c r="AB273" s="17">
        <f>IF(ISERROR(SEARCH("saltuariamente",Tabella1[[#This Row],[Bevitore alcolici]],1)),0,1)</f>
        <v>1</v>
      </c>
      <c r="AC273" s="17">
        <f>IF(ISERROR(SEARCH("nega",Tabella1[[#This Row],[Bevitore alcolici]],1)),0,1)</f>
        <v>0</v>
      </c>
      <c r="AD273" s="17">
        <f>IF(ISERROR(SEARCH("potus",Tabella1[[#This Row],[Bevitore alcolici]],1)),0,1)</f>
        <v>0</v>
      </c>
      <c r="AE273" s="11" t="s">
        <v>5681</v>
      </c>
      <c r="AF273" s="18"/>
      <c r="AG273" s="18"/>
      <c r="AH273" s="18"/>
      <c r="AI273" s="18"/>
      <c r="AJ273" s="18"/>
      <c r="AK273" s="11" t="s">
        <v>194</v>
      </c>
      <c r="AL273" s="18">
        <f>IF(ISERROR(SEARCH("si",Tabella1[[#This Row],[Patente di guida]],1)),0,1)</f>
        <v>1</v>
      </c>
      <c r="AM273" s="11" t="s">
        <v>3718</v>
      </c>
      <c r="AN273" s="18">
        <f>IF(ISERROR(SEARCH("no",Tabella1[[#This Row],[Ipertensione]],1)),0,1)</f>
        <v>0</v>
      </c>
      <c r="AO273" s="11" t="s">
        <v>382</v>
      </c>
      <c r="AP273" s="18">
        <f>IF(ISERROR(SEARCH("NO",Tabella1[[#This Row],[Cardiopatia ischemica]],1)),1,0)</f>
        <v>0</v>
      </c>
      <c r="AQ273" s="17">
        <f>IF(ISERROR(SEARCH("sconosciuto",Tabella1[[#This Row],[Cardiopatia ischemica]],1)),0,1)</f>
        <v>0</v>
      </c>
      <c r="AR273" s="11" t="s">
        <v>25</v>
      </c>
      <c r="AS273" s="22">
        <f>IF(ISERROR(SEARCH("nega",Tabella1[[#This Row],[Artimie]],1)),0,1)</f>
        <v>1</v>
      </c>
      <c r="AT273" s="11" t="s">
        <v>3157</v>
      </c>
      <c r="AU273" s="22">
        <f>IF(ISERROR(SEARCH("nega",Tabella1[[#This Row],[Ipercolesterolemia]],1)),0,1)</f>
        <v>0</v>
      </c>
      <c r="AV273" s="22">
        <f>IF(ISERROR(SEARCH("boh",Tabella1[[#This Row],[Ipercolesterolemia]],1)),0,1)</f>
        <v>0</v>
      </c>
      <c r="AW273" s="11" t="s">
        <v>3767</v>
      </c>
      <c r="AX273" s="22">
        <f>IF(ISERROR(SEARCH("Intolleranza",Tabella1[[#This Row],[Diabete]],1)),0,1)</f>
        <v>0</v>
      </c>
      <c r="AY273" s="22">
        <f>IF(ISERROR(SEARCH("si",Tabella1[[#This Row],[Diabete]],1)),0,1)</f>
        <v>1</v>
      </c>
      <c r="AZ273" s="11" t="s">
        <v>195</v>
      </c>
      <c r="BA273" s="18">
        <f>IF(ISERROR(SEARCH("NDD",Tabella1[[#This Row],[Patologia Tiroidea]],1)),0,1)</f>
        <v>0</v>
      </c>
      <c r="BB273" s="22">
        <f>IF(ISERROR(SEARCH("TIROIDITE",Tabella1[[#This Row],[Patologia Tiroidea]],1)),0,1)</f>
        <v>0</v>
      </c>
      <c r="BC273" s="22">
        <f>IF(ISERROR(SEARCH("HASHIMOTO",Tabella1[[#This Row],[Patologia Tiroidea]],1)),0,1)</f>
        <v>0</v>
      </c>
      <c r="BD273" s="22">
        <f>IF(ISERROR(SEARCH("BASEDOW",Tabella1[[#This Row],[Patologia Tiroidea]],1)),0,1)</f>
        <v>0</v>
      </c>
      <c r="BE273" s="22">
        <f>IF(ISERROR(SEARCH("NOD",Tabella1[[#This Row],[Patologia Tiroidea]],1)),0,1)</f>
        <v>0</v>
      </c>
      <c r="BF273" s="22">
        <f>IF(ISERROR(SEARCH("GOZ",Tabella1[[#This Row],[Patologia Tiroidea]],1)),0,1)</f>
        <v>0</v>
      </c>
      <c r="BG273" s="11" t="s">
        <v>194</v>
      </c>
      <c r="BH273" s="18">
        <f>IF(Tabella1[[#This Row],[Obesità]]="no",0,1)</f>
        <v>1</v>
      </c>
      <c r="BI273" s="11" t="s">
        <v>3158</v>
      </c>
      <c r="BJ273" s="22">
        <f>IF(ISERROR(SEARCH("nega",Tabella1[[#This Row],[Reflusso gastroesofageo]],1)),1,0)</f>
        <v>1</v>
      </c>
      <c r="BK273" s="11" t="s">
        <v>195</v>
      </c>
      <c r="BL273" s="18">
        <f>IF(ISERROR(SEARCH("NDD",Tabella1[[#This Row],[Patologia respiratoria]],1)),0,1)</f>
        <v>0</v>
      </c>
      <c r="BM273" s="18">
        <f>IF(ISERROR(SEARCH("asma",Tabella1[[#This Row],[Patologia respiratoria]],1)),0,1)</f>
        <v>0</v>
      </c>
      <c r="BN273" s="18">
        <f>IF(ISERROR(SEARCH("BPCO",Tabella1[[#This Row],[Patologia respiratoria]],1)),0,1)</f>
        <v>0</v>
      </c>
      <c r="BO273" s="18">
        <f>IF(ISERROR(SEARCH("BRONCOPOLMONITE",Tabella1[[#This Row],[Patologia respiratoria]],1)),0,1)</f>
        <v>0</v>
      </c>
      <c r="BP273" s="18">
        <f>IF(ISERROR(SEARCH("ASMA, OSAS",Tabella1[[#This Row],[Patologia respiratoria]],1)),0,1)</f>
        <v>0</v>
      </c>
      <c r="BQ273" s="18">
        <f>IF(ISERROR(SEARCH("OSAS e BPCO",Tabella1[[#This Row],[Patologia respiratoria]],1)),0,1)</f>
        <v>0</v>
      </c>
      <c r="BR273" s="18">
        <f>IF(ISERROR(SEARCH("OSAS",Tabella1[[#This Row],[Patologia respiratoria]],1)),0,1)</f>
        <v>0</v>
      </c>
      <c r="BS273" s="11" t="s">
        <v>3159</v>
      </c>
      <c r="BT273" s="11" t="s">
        <v>3160</v>
      </c>
      <c r="BU273" s="11" t="s">
        <v>195</v>
      </c>
      <c r="BV273" s="18">
        <f>IF(ISERROR(SEARCH("ndd",Tabella1[[#This Row],[O2 terapia]],1)),0,1)</f>
        <v>0</v>
      </c>
      <c r="BW273" s="17">
        <v>0</v>
      </c>
      <c r="BX273" s="11" t="s">
        <v>3159</v>
      </c>
      <c r="BY273" s="11" t="s">
        <v>3161</v>
      </c>
      <c r="BZ273" s="17">
        <v>1</v>
      </c>
      <c r="CA273" s="11" t="s">
        <v>194</v>
      </c>
      <c r="CB273" s="17">
        <v>1</v>
      </c>
      <c r="CC273" s="11" t="s">
        <v>195</v>
      </c>
      <c r="CD273" s="18">
        <v>0</v>
      </c>
      <c r="CE273" s="11" t="s">
        <v>3162</v>
      </c>
      <c r="CF273" s="17">
        <v>1</v>
      </c>
      <c r="CG273" s="11" t="s">
        <v>3163</v>
      </c>
      <c r="CH273" s="17">
        <v>1</v>
      </c>
      <c r="CI273" s="11" t="s">
        <v>195</v>
      </c>
      <c r="CJ273" s="18">
        <v>0</v>
      </c>
      <c r="CK273" s="11" t="s">
        <v>3164</v>
      </c>
      <c r="CL273" s="17">
        <v>1</v>
      </c>
      <c r="CM273" s="11" t="s">
        <v>195</v>
      </c>
      <c r="CN273" s="17">
        <v>0</v>
      </c>
      <c r="CO273" s="11" t="s">
        <v>195</v>
      </c>
      <c r="CP273" s="18">
        <v>0</v>
      </c>
      <c r="CQ273" s="11" t="s">
        <v>103</v>
      </c>
      <c r="CR273" s="11" t="s">
        <v>3165</v>
      </c>
      <c r="CS273" s="11" t="s">
        <v>2374</v>
      </c>
      <c r="CT273" s="11" t="s">
        <v>3166</v>
      </c>
      <c r="CU273" s="11" t="s">
        <v>3167</v>
      </c>
      <c r="CV273" s="12" t="s">
        <v>3168</v>
      </c>
    </row>
    <row r="274" spans="1:100" ht="71.25">
      <c r="A274" s="1">
        <f t="shared" si="4"/>
        <v>273</v>
      </c>
      <c r="B274" s="5">
        <v>1574</v>
      </c>
      <c r="C274" s="6">
        <v>45532</v>
      </c>
      <c r="D274" s="7" t="s">
        <v>3169</v>
      </c>
      <c r="E274" s="6">
        <v>30620</v>
      </c>
      <c r="F274" s="29">
        <f ca="1">_xlfn.DAYS(NOW(),Tabella1[[#This Row],[Data di Nascita]])/365.25</f>
        <v>41.760438056125942</v>
      </c>
      <c r="G274" s="7" t="s">
        <v>3170</v>
      </c>
      <c r="H274" s="7" t="s">
        <v>3171</v>
      </c>
      <c r="I274" s="7" t="s">
        <v>1675</v>
      </c>
      <c r="J274" s="7" t="s">
        <v>3172</v>
      </c>
      <c r="K274" s="7" t="s">
        <v>3173</v>
      </c>
      <c r="L274" s="17">
        <f>IF(ISERROR(SEARCH("EX",Tabella1[[#This Row],[Attività lavorativa]],1)),0,1)</f>
        <v>0</v>
      </c>
      <c r="M274" s="17"/>
      <c r="N274" s="17"/>
      <c r="O274" s="17"/>
      <c r="P274" s="17"/>
      <c r="Q274" s="17"/>
      <c r="R274" s="17"/>
      <c r="S274" s="17"/>
      <c r="T274" s="17">
        <f>IF(ISERROR(SEARCH("NDD",Tabella1[[#This Row],[Attività lavorativa]],1)),0,1)</f>
        <v>0</v>
      </c>
      <c r="U274" s="7" t="s">
        <v>8</v>
      </c>
      <c r="V274" s="22"/>
      <c r="W274" s="22">
        <f>IF(ISERROR(SEARCH("ex",Tabella1[[#This Row],[Fumo]],1)),0,1)</f>
        <v>0</v>
      </c>
      <c r="X274" s="22">
        <f>IF(ISERROR(SEARCH("no",Tabella1[[#This Row],[Fumo]],1)),0,1)</f>
        <v>1</v>
      </c>
      <c r="Y274" s="7" t="s">
        <v>3698</v>
      </c>
      <c r="Z274" s="17">
        <f>IF(ISERROR(SEARCH("NDD",Tabella1[[#This Row],[Bevitore alcolici]],1)),0,1)</f>
        <v>0</v>
      </c>
      <c r="AA274" s="17">
        <f>IF(ISERROR(SEARCH("raro",Tabella1[[#This Row],[Bevitore alcolici]],1)),0,1)</f>
        <v>0</v>
      </c>
      <c r="AB274" s="17">
        <f>IF(ISERROR(SEARCH("saltuariamente",Tabella1[[#This Row],[Bevitore alcolici]],1)),0,1)</f>
        <v>1</v>
      </c>
      <c r="AC274" s="17">
        <f>IF(ISERROR(SEARCH("nega",Tabella1[[#This Row],[Bevitore alcolici]],1)),0,1)</f>
        <v>0</v>
      </c>
      <c r="AD274" s="17">
        <f>IF(ISERROR(SEARCH("potus",Tabella1[[#This Row],[Bevitore alcolici]],1)),0,1)</f>
        <v>0</v>
      </c>
      <c r="AE274" s="7" t="s">
        <v>5682</v>
      </c>
      <c r="AF274" s="17"/>
      <c r="AG274" s="17"/>
      <c r="AH274" s="17"/>
      <c r="AI274" s="17"/>
      <c r="AJ274" s="17"/>
      <c r="AK274" s="7" t="s">
        <v>194</v>
      </c>
      <c r="AL274" s="17">
        <f>IF(ISERROR(SEARCH("si",Tabella1[[#This Row],[Patente di guida]],1)),0,1)</f>
        <v>1</v>
      </c>
      <c r="AM274" s="7" t="s">
        <v>195</v>
      </c>
      <c r="AN274" s="17">
        <f>IF(ISERROR(SEARCH("no",Tabella1[[#This Row],[Ipertensione]],1)),0,1)</f>
        <v>1</v>
      </c>
      <c r="AO274" s="7" t="s">
        <v>382</v>
      </c>
      <c r="AP274" s="18">
        <f>IF(ISERROR(SEARCH("NO",Tabella1[[#This Row],[Cardiopatia ischemica]],1)),1,0)</f>
        <v>0</v>
      </c>
      <c r="AQ274" s="17">
        <f>IF(ISERROR(SEARCH("sconosciuto",Tabella1[[#This Row],[Cardiopatia ischemica]],1)),0,1)</f>
        <v>0</v>
      </c>
      <c r="AR274" s="7" t="s">
        <v>25</v>
      </c>
      <c r="AS274" s="22">
        <f>IF(ISERROR(SEARCH("nega",Tabella1[[#This Row],[Artimie]],1)),0,1)</f>
        <v>1</v>
      </c>
      <c r="AT274" s="7" t="s">
        <v>25</v>
      </c>
      <c r="AU274" s="22">
        <f>IF(ISERROR(SEARCH("nega",Tabella1[[#This Row],[Ipercolesterolemia]],1)),0,1)</f>
        <v>1</v>
      </c>
      <c r="AV274" s="22">
        <f>IF(ISERROR(SEARCH("boh",Tabella1[[#This Row],[Ipercolesterolemia]],1)),0,1)</f>
        <v>0</v>
      </c>
      <c r="AW274" s="7" t="s">
        <v>195</v>
      </c>
      <c r="AX274" s="22">
        <f>IF(ISERROR(SEARCH("Intolleranza",Tabella1[[#This Row],[Diabete]],1)),0,1)</f>
        <v>0</v>
      </c>
      <c r="AY274" s="22">
        <f>IF(ISERROR(SEARCH("si",Tabella1[[#This Row],[Diabete]],1)),0,1)</f>
        <v>0</v>
      </c>
      <c r="AZ274" s="7" t="s">
        <v>195</v>
      </c>
      <c r="BA274" s="17">
        <f>IF(ISERROR(SEARCH("NDD",Tabella1[[#This Row],[Patologia Tiroidea]],1)),0,1)</f>
        <v>0</v>
      </c>
      <c r="BB274" s="22">
        <f>IF(ISERROR(SEARCH("TIROIDITE",Tabella1[[#This Row],[Patologia Tiroidea]],1)),0,1)</f>
        <v>0</v>
      </c>
      <c r="BC274" s="22">
        <f>IF(ISERROR(SEARCH("HASHIMOTO",Tabella1[[#This Row],[Patologia Tiroidea]],1)),0,1)</f>
        <v>0</v>
      </c>
      <c r="BD274" s="22">
        <f>IF(ISERROR(SEARCH("BASEDOW",Tabella1[[#This Row],[Patologia Tiroidea]],1)),0,1)</f>
        <v>0</v>
      </c>
      <c r="BE274" s="22">
        <f>IF(ISERROR(SEARCH("NOD",Tabella1[[#This Row],[Patologia Tiroidea]],1)),0,1)</f>
        <v>0</v>
      </c>
      <c r="BF274" s="22">
        <f>IF(ISERROR(SEARCH("GOZ",Tabella1[[#This Row],[Patologia Tiroidea]],1)),0,1)</f>
        <v>0</v>
      </c>
      <c r="BG274" s="7" t="s">
        <v>1421</v>
      </c>
      <c r="BH274" s="17">
        <f>IF(Tabella1[[#This Row],[Obesità]]="no",0,1)</f>
        <v>1</v>
      </c>
      <c r="BI274" s="7" t="s">
        <v>3174</v>
      </c>
      <c r="BJ274" s="22">
        <f>IF(ISERROR(SEARCH("nega",Tabella1[[#This Row],[Reflusso gastroesofageo]],1)),1,0)</f>
        <v>1</v>
      </c>
      <c r="BK274" s="7" t="s">
        <v>3819</v>
      </c>
      <c r="BL274" s="17">
        <f>IF(ISERROR(SEARCH("NDD",Tabella1[[#This Row],[Patologia respiratoria]],1)),0,1)</f>
        <v>0</v>
      </c>
      <c r="BM274" s="17">
        <f>IF(ISERROR(SEARCH("asma",Tabella1[[#This Row],[Patologia respiratoria]],1)),0,1)</f>
        <v>1</v>
      </c>
      <c r="BN274" s="17">
        <f>IF(ISERROR(SEARCH("BPCO",Tabella1[[#This Row],[Patologia respiratoria]],1)),0,1)</f>
        <v>0</v>
      </c>
      <c r="BO274" s="17">
        <f>IF(ISERROR(SEARCH("BRONCOPOLMONITE",Tabella1[[#This Row],[Patologia respiratoria]],1)),0,1)</f>
        <v>0</v>
      </c>
      <c r="BP274" s="17">
        <f>IF(ISERROR(SEARCH("ASMA, OSAS",Tabella1[[#This Row],[Patologia respiratoria]],1)),0,1)</f>
        <v>0</v>
      </c>
      <c r="BQ274" s="17">
        <f>IF(ISERROR(SEARCH("OSAS e BPCO",Tabella1[[#This Row],[Patologia respiratoria]],1)),0,1)</f>
        <v>0</v>
      </c>
      <c r="BR274" s="17">
        <f>IF(ISERROR(SEARCH("OSAS",Tabella1[[#This Row],[Patologia respiratoria]],1)),0,1)</f>
        <v>0</v>
      </c>
      <c r="BS274" s="7" t="s">
        <v>3175</v>
      </c>
      <c r="BT274" s="7" t="s">
        <v>3176</v>
      </c>
      <c r="BU274" s="7" t="s">
        <v>195</v>
      </c>
      <c r="BV274" s="17">
        <f>IF(ISERROR(SEARCH("ndd",Tabella1[[#This Row],[O2 terapia]],1)),0,1)</f>
        <v>0</v>
      </c>
      <c r="BW274" s="17">
        <v>0</v>
      </c>
      <c r="BX274" s="7" t="s">
        <v>3177</v>
      </c>
      <c r="BY274" s="7" t="s">
        <v>3178</v>
      </c>
      <c r="BZ274" s="18">
        <v>0</v>
      </c>
      <c r="CA274" s="7" t="s">
        <v>3179</v>
      </c>
      <c r="CB274" s="17">
        <v>1</v>
      </c>
      <c r="CC274" s="7" t="s">
        <v>195</v>
      </c>
      <c r="CD274" s="18">
        <v>0</v>
      </c>
      <c r="CE274" s="7" t="s">
        <v>195</v>
      </c>
      <c r="CF274" s="18">
        <v>0</v>
      </c>
      <c r="CG274" s="7" t="s">
        <v>195</v>
      </c>
      <c r="CH274" s="17">
        <v>0</v>
      </c>
      <c r="CI274" s="7" t="s">
        <v>3180</v>
      </c>
      <c r="CJ274" s="17">
        <v>1</v>
      </c>
      <c r="CK274" s="7" t="s">
        <v>194</v>
      </c>
      <c r="CL274" s="17">
        <v>1</v>
      </c>
      <c r="CM274" s="7" t="s">
        <v>3181</v>
      </c>
      <c r="CN274" s="17">
        <v>1</v>
      </c>
      <c r="CO274" s="7" t="s">
        <v>195</v>
      </c>
      <c r="CP274" s="18">
        <v>0</v>
      </c>
      <c r="CQ274" s="7" t="s">
        <v>54</v>
      </c>
      <c r="CR274" s="7" t="s">
        <v>3182</v>
      </c>
      <c r="CS274" s="7"/>
      <c r="CT274" s="7"/>
      <c r="CU274" s="7"/>
      <c r="CV274" s="8" t="s">
        <v>3183</v>
      </c>
    </row>
    <row r="275" spans="1:100" ht="28.5">
      <c r="A275" s="1">
        <f t="shared" si="4"/>
        <v>274</v>
      </c>
      <c r="B275" s="9">
        <v>1590</v>
      </c>
      <c r="C275" s="10">
        <v>45541</v>
      </c>
      <c r="D275" s="11" t="s">
        <v>3184</v>
      </c>
      <c r="E275" s="10">
        <v>22820</v>
      </c>
      <c r="F275" s="29">
        <f ca="1">_xlfn.DAYS(NOW(),Tabella1[[#This Row],[Data di Nascita]])/365.25</f>
        <v>63.115674195756334</v>
      </c>
      <c r="G275" s="11"/>
      <c r="H275" s="11" t="s">
        <v>3185</v>
      </c>
      <c r="I275" s="11" t="s">
        <v>1617</v>
      </c>
      <c r="J275" s="11" t="s">
        <v>618</v>
      </c>
      <c r="K275" s="11" t="s">
        <v>5622</v>
      </c>
      <c r="L275" s="18">
        <v>0</v>
      </c>
      <c r="M275" s="18">
        <v>1</v>
      </c>
      <c r="N275" s="18"/>
      <c r="O275" s="18"/>
      <c r="P275" s="18"/>
      <c r="Q275" s="18"/>
      <c r="R275" s="18"/>
      <c r="S275" s="18"/>
      <c r="T275" s="17">
        <f>IF(ISERROR(SEARCH("NDD",Tabella1[[#This Row],[Attività lavorativa]],1)),0,1)</f>
        <v>0</v>
      </c>
      <c r="U275" s="11" t="s">
        <v>3186</v>
      </c>
      <c r="V275" s="22">
        <v>15</v>
      </c>
      <c r="W275" s="22">
        <f>IF(ISERROR(SEARCH("ex",Tabella1[[#This Row],[Fumo]],1)),0,1)</f>
        <v>1</v>
      </c>
      <c r="X275" s="22">
        <f>IF(ISERROR(SEARCH("no",Tabella1[[#This Row],[Fumo]],1)),0,1)</f>
        <v>0</v>
      </c>
      <c r="Y275" s="11" t="s">
        <v>1395</v>
      </c>
      <c r="Z275" s="18">
        <f>IF(ISERROR(SEARCH("NDD",Tabella1[[#This Row],[Bevitore alcolici]],1)),0,1)</f>
        <v>0</v>
      </c>
      <c r="AA275" s="17">
        <f>IF(ISERROR(SEARCH("raro",Tabella1[[#This Row],[Bevitore alcolici]],1)),0,1)</f>
        <v>1</v>
      </c>
      <c r="AB275" s="17">
        <f>IF(ISERROR(SEARCH("saltuariamente",Tabella1[[#This Row],[Bevitore alcolici]],1)),0,1)</f>
        <v>0</v>
      </c>
      <c r="AC275" s="17">
        <f>IF(ISERROR(SEARCH("nega",Tabella1[[#This Row],[Bevitore alcolici]],1)),0,1)</f>
        <v>0</v>
      </c>
      <c r="AD275" s="17">
        <f>IF(ISERROR(SEARCH("potus",Tabella1[[#This Row],[Bevitore alcolici]],1)),0,1)</f>
        <v>0</v>
      </c>
      <c r="AE275" s="11" t="s">
        <v>657</v>
      </c>
      <c r="AF275" s="18"/>
      <c r="AG275" s="18"/>
      <c r="AH275" s="18"/>
      <c r="AI275" s="18"/>
      <c r="AJ275" s="18"/>
      <c r="AK275" s="11" t="s">
        <v>28</v>
      </c>
      <c r="AL275" s="18">
        <f>IF(ISERROR(SEARCH("si",Tabella1[[#This Row],[Patente di guida]],1)),0,1)</f>
        <v>1</v>
      </c>
      <c r="AM275" s="11" t="s">
        <v>28</v>
      </c>
      <c r="AN275" s="18">
        <f>IF(ISERROR(SEARCH("no",Tabella1[[#This Row],[Ipertensione]],1)),0,1)</f>
        <v>0</v>
      </c>
      <c r="AO275" s="11" t="s">
        <v>382</v>
      </c>
      <c r="AP275" s="18">
        <f>IF(ISERROR(SEARCH("NO",Tabella1[[#This Row],[Cardiopatia ischemica]],1)),1,0)</f>
        <v>0</v>
      </c>
      <c r="AQ275" s="17">
        <f>IF(ISERROR(SEARCH("sconosciuto",Tabella1[[#This Row],[Cardiopatia ischemica]],1)),0,1)</f>
        <v>0</v>
      </c>
      <c r="AR275" s="11" t="s">
        <v>25</v>
      </c>
      <c r="AS275" s="22">
        <f>IF(ISERROR(SEARCH("nega",Tabella1[[#This Row],[Artimie]],1)),0,1)</f>
        <v>1</v>
      </c>
      <c r="AT275" s="11" t="s">
        <v>47</v>
      </c>
      <c r="AU275" s="22">
        <f>IF(ISERROR(SEARCH("nega",Tabella1[[#This Row],[Ipercolesterolemia]],1)),0,1)</f>
        <v>0</v>
      </c>
      <c r="AV275" s="22">
        <f>IF(ISERROR(SEARCH("boh",Tabella1[[#This Row],[Ipercolesterolemia]],1)),0,1)</f>
        <v>0</v>
      </c>
      <c r="AW275" s="11" t="s">
        <v>8</v>
      </c>
      <c r="AX275" s="22">
        <f>IF(ISERROR(SEARCH("Intolleranza",Tabella1[[#This Row],[Diabete]],1)),0,1)</f>
        <v>0</v>
      </c>
      <c r="AY275" s="22">
        <f>IF(ISERROR(SEARCH("si",Tabella1[[#This Row],[Diabete]],1)),0,1)</f>
        <v>0</v>
      </c>
      <c r="AZ275" s="7" t="s">
        <v>5477</v>
      </c>
      <c r="BA275" s="17">
        <f>IF(ISERROR(SEARCH("NDD",Tabella1[[#This Row],[Patologia Tiroidea]],1)),0,1)</f>
        <v>1</v>
      </c>
      <c r="BB275" s="22">
        <f>IF(ISERROR(SEARCH("TIROIDITE",Tabella1[[#This Row],[Patologia Tiroidea]],1)),0,1)</f>
        <v>0</v>
      </c>
      <c r="BC275" s="22">
        <f>IF(ISERROR(SEARCH("HASHIMOTO",Tabella1[[#This Row],[Patologia Tiroidea]],1)),0,1)</f>
        <v>0</v>
      </c>
      <c r="BD275" s="22">
        <f>IF(ISERROR(SEARCH("BASEDOW",Tabella1[[#This Row],[Patologia Tiroidea]],1)),0,1)</f>
        <v>0</v>
      </c>
      <c r="BE275" s="22">
        <f>IF(ISERROR(SEARCH("NOD",Tabella1[[#This Row],[Patologia Tiroidea]],1)),0,1)</f>
        <v>0</v>
      </c>
      <c r="BF275" s="22">
        <f>IF(ISERROR(SEARCH("GOZ",Tabella1[[#This Row],[Patologia Tiroidea]],1)),0,1)</f>
        <v>0</v>
      </c>
      <c r="BG275" s="11" t="s">
        <v>745</v>
      </c>
      <c r="BH275" s="18">
        <f>IF(Tabella1[[#This Row],[Obesità]]="no",0,1)</f>
        <v>1</v>
      </c>
      <c r="BI275" s="11" t="s">
        <v>25</v>
      </c>
      <c r="BJ275" s="22">
        <f>IF(ISERROR(SEARCH("nega",Tabella1[[#This Row],[Reflusso gastroesofageo]],1)),1,0)</f>
        <v>0</v>
      </c>
      <c r="BK275" s="7" t="s">
        <v>5477</v>
      </c>
      <c r="BL275" s="17">
        <f>IF(ISERROR(SEARCH("NDD",Tabella1[[#This Row],[Patologia respiratoria]],1)),0,1)</f>
        <v>1</v>
      </c>
      <c r="BM275" s="18">
        <f>IF(ISERROR(SEARCH("asma",Tabella1[[#This Row],[Patologia respiratoria]],1)),0,1)</f>
        <v>0</v>
      </c>
      <c r="BN275" s="18">
        <f>IF(ISERROR(SEARCH("BPCO",Tabella1[[#This Row],[Patologia respiratoria]],1)),0,1)</f>
        <v>0</v>
      </c>
      <c r="BO275" s="18">
        <f>IF(ISERROR(SEARCH("BRONCOPOLMONITE",Tabella1[[#This Row],[Patologia respiratoria]],1)),0,1)</f>
        <v>0</v>
      </c>
      <c r="BP275" s="18">
        <f>IF(ISERROR(SEARCH("ASMA, OSAS",Tabella1[[#This Row],[Patologia respiratoria]],1)),0,1)</f>
        <v>0</v>
      </c>
      <c r="BQ275" s="18">
        <f>IF(ISERROR(SEARCH("OSAS e BPCO",Tabella1[[#This Row],[Patologia respiratoria]],1)),0,1)</f>
        <v>0</v>
      </c>
      <c r="BR275" s="18">
        <f>IF(ISERROR(SEARCH("OSAS",Tabella1[[#This Row],[Patologia respiratoria]],1)),0,1)</f>
        <v>0</v>
      </c>
      <c r="BS275" s="11"/>
      <c r="BT275" s="11" t="s">
        <v>3187</v>
      </c>
      <c r="BU275" s="11" t="s">
        <v>8</v>
      </c>
      <c r="BV275" s="18">
        <f>IF(ISERROR(SEARCH("ndd",Tabella1[[#This Row],[O2 terapia]],1)),0,1)</f>
        <v>0</v>
      </c>
      <c r="BW275" s="17">
        <v>0</v>
      </c>
      <c r="BX275" s="11"/>
      <c r="BY275" s="11" t="s">
        <v>3188</v>
      </c>
      <c r="BZ275" s="17">
        <v>1</v>
      </c>
      <c r="CA275" s="11" t="s">
        <v>8</v>
      </c>
      <c r="CB275" s="17">
        <v>0</v>
      </c>
      <c r="CC275" s="11" t="s">
        <v>8</v>
      </c>
      <c r="CD275" s="18">
        <v>0</v>
      </c>
      <c r="CE275" s="11" t="s">
        <v>3189</v>
      </c>
      <c r="CF275" s="17">
        <v>1</v>
      </c>
      <c r="CG275" s="7" t="s">
        <v>5477</v>
      </c>
      <c r="CH275" s="18"/>
      <c r="CI275" s="7" t="s">
        <v>5477</v>
      </c>
      <c r="CJ275" s="18"/>
      <c r="CK275" s="11" t="s">
        <v>1036</v>
      </c>
      <c r="CL275" s="17">
        <v>1</v>
      </c>
      <c r="CM275" s="11" t="s">
        <v>8</v>
      </c>
      <c r="CN275" s="17">
        <v>0</v>
      </c>
      <c r="CO275" s="11" t="s">
        <v>8</v>
      </c>
      <c r="CP275" s="18">
        <v>0</v>
      </c>
      <c r="CQ275" s="11" t="s">
        <v>202</v>
      </c>
      <c r="CR275" s="11" t="s">
        <v>36</v>
      </c>
      <c r="CS275" s="11"/>
      <c r="CT275" s="11"/>
      <c r="CU275" s="11"/>
      <c r="CV275" s="12"/>
    </row>
    <row r="276" spans="1:100" ht="114">
      <c r="A276" s="1">
        <f t="shared" si="4"/>
        <v>275</v>
      </c>
      <c r="B276" s="5">
        <v>1593</v>
      </c>
      <c r="C276" s="6">
        <v>45541</v>
      </c>
      <c r="D276" s="7" t="s">
        <v>3190</v>
      </c>
      <c r="E276" s="6">
        <v>27355</v>
      </c>
      <c r="F276" s="29">
        <f ca="1">_xlfn.DAYS(NOW(),Tabella1[[#This Row],[Data di Nascita]])/365.25</f>
        <v>50.699520876112253</v>
      </c>
      <c r="G276" s="7" t="s">
        <v>3191</v>
      </c>
      <c r="H276" s="7" t="s">
        <v>3192</v>
      </c>
      <c r="I276" s="7" t="s">
        <v>1492</v>
      </c>
      <c r="J276" s="7" t="s">
        <v>742</v>
      </c>
      <c r="K276" s="7" t="s">
        <v>881</v>
      </c>
      <c r="L276" s="17">
        <f>IF(ISERROR(SEARCH("EX",Tabella1[[#This Row],[Attività lavorativa]],1)),0,1)</f>
        <v>0</v>
      </c>
      <c r="M276" s="17"/>
      <c r="N276" s="17"/>
      <c r="O276" s="17"/>
      <c r="P276" s="17"/>
      <c r="Q276" s="17"/>
      <c r="R276" s="17"/>
      <c r="S276" s="17"/>
      <c r="T276" s="17">
        <f>IF(ISERROR(SEARCH("NDD",Tabella1[[#This Row],[Attività lavorativa]],1)),0,1)</f>
        <v>0</v>
      </c>
      <c r="U276" s="7" t="s">
        <v>1733</v>
      </c>
      <c r="V276" s="22">
        <v>25</v>
      </c>
      <c r="W276" s="22">
        <f>IF(ISERROR(SEARCH("ex",Tabella1[[#This Row],[Fumo]],1)),0,1)</f>
        <v>0</v>
      </c>
      <c r="X276" s="22">
        <f>IF(ISERROR(SEARCH("no",Tabella1[[#This Row],[Fumo]],1)),0,1)</f>
        <v>0</v>
      </c>
      <c r="Y276" s="7" t="s">
        <v>3193</v>
      </c>
      <c r="Z276" s="17">
        <f>IF(ISERROR(SEARCH("NDD",Tabella1[[#This Row],[Bevitore alcolici]],1)),0,1)</f>
        <v>0</v>
      </c>
      <c r="AA276" s="17">
        <f>IF(ISERROR(SEARCH("raro",Tabella1[[#This Row],[Bevitore alcolici]],1)),0,1)</f>
        <v>0</v>
      </c>
      <c r="AB276" s="17">
        <f>IF(ISERROR(SEARCH("saltuariamente",Tabella1[[#This Row],[Bevitore alcolici]],1)),0,1)</f>
        <v>0</v>
      </c>
      <c r="AC276" s="17">
        <f>IF(ISERROR(SEARCH("nega",Tabella1[[#This Row],[Bevitore alcolici]],1)),0,1)</f>
        <v>0</v>
      </c>
      <c r="AD276" s="17">
        <f>IF(ISERROR(SEARCH("potus",Tabella1[[#This Row],[Bevitore alcolici]],1)),0,1)</f>
        <v>0</v>
      </c>
      <c r="AE276" s="7" t="s">
        <v>657</v>
      </c>
      <c r="AF276" s="17"/>
      <c r="AG276" s="17"/>
      <c r="AH276" s="17"/>
      <c r="AI276" s="17"/>
      <c r="AJ276" s="17"/>
      <c r="AK276" s="7" t="s">
        <v>28</v>
      </c>
      <c r="AL276" s="17">
        <f>IF(ISERROR(SEARCH("si",Tabella1[[#This Row],[Patente di guida]],1)),0,1)</f>
        <v>1</v>
      </c>
      <c r="AM276" s="7" t="s">
        <v>8</v>
      </c>
      <c r="AN276" s="17">
        <f>IF(ISERROR(SEARCH("no",Tabella1[[#This Row],[Ipertensione]],1)),0,1)</f>
        <v>1</v>
      </c>
      <c r="AO276" s="7" t="s">
        <v>382</v>
      </c>
      <c r="AP276" s="18">
        <f>IF(ISERROR(SEARCH("NO",Tabella1[[#This Row],[Cardiopatia ischemica]],1)),1,0)</f>
        <v>0</v>
      </c>
      <c r="AQ276" s="17">
        <f>IF(ISERROR(SEARCH("sconosciuto",Tabella1[[#This Row],[Cardiopatia ischemica]],1)),0,1)</f>
        <v>0</v>
      </c>
      <c r="AR276" s="7" t="s">
        <v>25</v>
      </c>
      <c r="AS276" s="22">
        <f>IF(ISERROR(SEARCH("nega",Tabella1[[#This Row],[Artimie]],1)),0,1)</f>
        <v>1</v>
      </c>
      <c r="AT276" s="7" t="s">
        <v>25</v>
      </c>
      <c r="AU276" s="22">
        <f>IF(ISERROR(SEARCH("nega",Tabella1[[#This Row],[Ipercolesterolemia]],1)),0,1)</f>
        <v>1</v>
      </c>
      <c r="AV276" s="22">
        <f>IF(ISERROR(SEARCH("boh",Tabella1[[#This Row],[Ipercolesterolemia]],1)),0,1)</f>
        <v>0</v>
      </c>
      <c r="AW276" s="7" t="s">
        <v>8</v>
      </c>
      <c r="AX276" s="22">
        <f>IF(ISERROR(SEARCH("Intolleranza",Tabella1[[#This Row],[Diabete]],1)),0,1)</f>
        <v>0</v>
      </c>
      <c r="AY276" s="22">
        <f>IF(ISERROR(SEARCH("si",Tabella1[[#This Row],[Diabete]],1)),0,1)</f>
        <v>0</v>
      </c>
      <c r="AZ276" s="7" t="s">
        <v>8</v>
      </c>
      <c r="BA276" s="17">
        <f>IF(ISERROR(SEARCH("NDD",Tabella1[[#This Row],[Patologia Tiroidea]],1)),0,1)</f>
        <v>0</v>
      </c>
      <c r="BB276" s="22">
        <f>IF(ISERROR(SEARCH("TIROIDITE",Tabella1[[#This Row],[Patologia Tiroidea]],1)),0,1)</f>
        <v>0</v>
      </c>
      <c r="BC276" s="22">
        <f>IF(ISERROR(SEARCH("HASHIMOTO",Tabella1[[#This Row],[Patologia Tiroidea]],1)),0,1)</f>
        <v>0</v>
      </c>
      <c r="BD276" s="22">
        <f>IF(ISERROR(SEARCH("BASEDOW",Tabella1[[#This Row],[Patologia Tiroidea]],1)),0,1)</f>
        <v>0</v>
      </c>
      <c r="BE276" s="22">
        <f>IF(ISERROR(SEARCH("NOD",Tabella1[[#This Row],[Patologia Tiroidea]],1)),0,1)</f>
        <v>0</v>
      </c>
      <c r="BF276" s="22">
        <f>IF(ISERROR(SEARCH("GOZ",Tabella1[[#This Row],[Patologia Tiroidea]],1)),0,1)</f>
        <v>0</v>
      </c>
      <c r="BG276" s="7" t="s">
        <v>8</v>
      </c>
      <c r="BH276" s="17">
        <f>IF(Tabella1[[#This Row],[Obesità]]="no",0,1)</f>
        <v>0</v>
      </c>
      <c r="BI276" s="7" t="s">
        <v>2069</v>
      </c>
      <c r="BJ276" s="22">
        <f>IF(ISERROR(SEARCH("nega",Tabella1[[#This Row],[Reflusso gastroesofageo]],1)),1,0)</f>
        <v>1</v>
      </c>
      <c r="BK276" s="7" t="s">
        <v>8</v>
      </c>
      <c r="BL276" s="17">
        <f>IF(ISERROR(SEARCH("NDD",Tabella1[[#This Row],[Patologia respiratoria]],1)),0,1)</f>
        <v>0</v>
      </c>
      <c r="BM276" s="17">
        <f>IF(ISERROR(SEARCH("asma",Tabella1[[#This Row],[Patologia respiratoria]],1)),0,1)</f>
        <v>0</v>
      </c>
      <c r="BN276" s="17">
        <f>IF(ISERROR(SEARCH("BPCO",Tabella1[[#This Row],[Patologia respiratoria]],1)),0,1)</f>
        <v>0</v>
      </c>
      <c r="BO276" s="17">
        <f>IF(ISERROR(SEARCH("BRONCOPOLMONITE",Tabella1[[#This Row],[Patologia respiratoria]],1)),0,1)</f>
        <v>0</v>
      </c>
      <c r="BP276" s="17">
        <f>IF(ISERROR(SEARCH("ASMA, OSAS",Tabella1[[#This Row],[Patologia respiratoria]],1)),0,1)</f>
        <v>0</v>
      </c>
      <c r="BQ276" s="17">
        <f>IF(ISERROR(SEARCH("OSAS e BPCO",Tabella1[[#This Row],[Patologia respiratoria]],1)),0,1)</f>
        <v>0</v>
      </c>
      <c r="BR276" s="17">
        <f>IF(ISERROR(SEARCH("OSAS",Tabella1[[#This Row],[Patologia respiratoria]],1)),0,1)</f>
        <v>0</v>
      </c>
      <c r="BS276" s="7"/>
      <c r="BT276" s="7" t="s">
        <v>132</v>
      </c>
      <c r="BU276" s="7" t="s">
        <v>8</v>
      </c>
      <c r="BV276" s="17">
        <f>IF(ISERROR(SEARCH("ndd",Tabella1[[#This Row],[O2 terapia]],1)),0,1)</f>
        <v>0</v>
      </c>
      <c r="BW276" s="17">
        <v>0</v>
      </c>
      <c r="BX276" s="7"/>
      <c r="BY276" s="7" t="s">
        <v>8</v>
      </c>
      <c r="BZ276" s="18">
        <v>0</v>
      </c>
      <c r="CA276" s="7" t="s">
        <v>8</v>
      </c>
      <c r="CB276" s="17">
        <v>0</v>
      </c>
      <c r="CC276" s="7" t="s">
        <v>8</v>
      </c>
      <c r="CD276" s="18">
        <v>0</v>
      </c>
      <c r="CE276" s="7" t="s">
        <v>8</v>
      </c>
      <c r="CF276" s="18">
        <v>0</v>
      </c>
      <c r="CG276" s="7" t="s">
        <v>28</v>
      </c>
      <c r="CH276" s="17">
        <v>1</v>
      </c>
      <c r="CI276" s="7" t="s">
        <v>8</v>
      </c>
      <c r="CJ276" s="18">
        <v>0</v>
      </c>
      <c r="CK276" s="7" t="s">
        <v>354</v>
      </c>
      <c r="CL276" s="17">
        <v>1</v>
      </c>
      <c r="CM276" s="7" t="s">
        <v>8</v>
      </c>
      <c r="CN276" s="17">
        <v>0</v>
      </c>
      <c r="CO276" s="7" t="s">
        <v>2069</v>
      </c>
      <c r="CP276" s="17">
        <v>1</v>
      </c>
      <c r="CQ276" s="7" t="s">
        <v>54</v>
      </c>
      <c r="CR276" s="7" t="s">
        <v>135</v>
      </c>
      <c r="CS276" s="7"/>
      <c r="CT276" s="7"/>
      <c r="CU276" s="7" t="s">
        <v>3194</v>
      </c>
      <c r="CV276" s="8" t="s">
        <v>3195</v>
      </c>
    </row>
    <row r="277" spans="1:100" ht="57">
      <c r="A277" s="1">
        <f t="shared" si="4"/>
        <v>276</v>
      </c>
      <c r="B277" s="9">
        <v>1596</v>
      </c>
      <c r="C277" s="10">
        <v>45546</v>
      </c>
      <c r="D277" s="11" t="s">
        <v>3196</v>
      </c>
      <c r="E277" s="10">
        <v>30420</v>
      </c>
      <c r="F277" s="29">
        <f ca="1">_xlfn.DAYS(NOW(),Tabella1[[#This Row],[Data di Nascita]])/365.25</f>
        <v>42.308008213552363</v>
      </c>
      <c r="G277" s="11" t="s">
        <v>3197</v>
      </c>
      <c r="H277" s="11" t="s">
        <v>3198</v>
      </c>
      <c r="I277" s="11" t="s">
        <v>3199</v>
      </c>
      <c r="J277" s="11" t="s">
        <v>742</v>
      </c>
      <c r="K277" s="11" t="s">
        <v>1177</v>
      </c>
      <c r="L277" s="18">
        <f>IF(ISERROR(SEARCH("EX",Tabella1[[#This Row],[Attività lavorativa]],1)),0,1)</f>
        <v>0</v>
      </c>
      <c r="M277" s="18"/>
      <c r="N277" s="18"/>
      <c r="O277" s="18">
        <v>1</v>
      </c>
      <c r="P277" s="18"/>
      <c r="Q277" s="18"/>
      <c r="R277" s="18"/>
      <c r="S277" s="18"/>
      <c r="T277" s="17">
        <f>IF(ISERROR(SEARCH("NDD",Tabella1[[#This Row],[Attività lavorativa]],1)),0,1)</f>
        <v>0</v>
      </c>
      <c r="U277" s="11" t="s">
        <v>8</v>
      </c>
      <c r="V277" s="22"/>
      <c r="W277" s="22">
        <f>IF(ISERROR(SEARCH("ex",Tabella1[[#This Row],[Fumo]],1)),0,1)</f>
        <v>0</v>
      </c>
      <c r="X277" s="22">
        <f>IF(ISERROR(SEARCH("no",Tabella1[[#This Row],[Fumo]],1)),0,1)</f>
        <v>1</v>
      </c>
      <c r="Y277" s="11" t="s">
        <v>25</v>
      </c>
      <c r="Z277" s="18">
        <f>IF(ISERROR(SEARCH("NDD",Tabella1[[#This Row],[Bevitore alcolici]],1)),0,1)</f>
        <v>0</v>
      </c>
      <c r="AA277" s="17">
        <f>IF(ISERROR(SEARCH("raro",Tabella1[[#This Row],[Bevitore alcolici]],1)),0,1)</f>
        <v>0</v>
      </c>
      <c r="AB277" s="17">
        <f>IF(ISERROR(SEARCH("saltuariamente",Tabella1[[#This Row],[Bevitore alcolici]],1)),0,1)</f>
        <v>0</v>
      </c>
      <c r="AC277" s="17">
        <f>IF(ISERROR(SEARCH("nega",Tabella1[[#This Row],[Bevitore alcolici]],1)),0,1)</f>
        <v>1</v>
      </c>
      <c r="AD277" s="17">
        <f>IF(ISERROR(SEARCH("potus",Tabella1[[#This Row],[Bevitore alcolici]],1)),0,1)</f>
        <v>0</v>
      </c>
      <c r="AE277" s="11" t="s">
        <v>3200</v>
      </c>
      <c r="AF277" s="18"/>
      <c r="AG277" s="18">
        <v>1</v>
      </c>
      <c r="AH277" s="18"/>
      <c r="AI277" s="18"/>
      <c r="AJ277" s="18"/>
      <c r="AK277" s="11" t="s">
        <v>28</v>
      </c>
      <c r="AL277" s="18">
        <f>IF(ISERROR(SEARCH("si",Tabella1[[#This Row],[Patente di guida]],1)),0,1)</f>
        <v>1</v>
      </c>
      <c r="AM277" s="11" t="s">
        <v>8</v>
      </c>
      <c r="AN277" s="18">
        <f>IF(ISERROR(SEARCH("no",Tabella1[[#This Row],[Ipertensione]],1)),0,1)</f>
        <v>1</v>
      </c>
      <c r="AO277" s="11" t="s">
        <v>382</v>
      </c>
      <c r="AP277" s="18">
        <f>IF(ISERROR(SEARCH("NO",Tabella1[[#This Row],[Cardiopatia ischemica]],1)),1,0)</f>
        <v>0</v>
      </c>
      <c r="AQ277" s="17">
        <f>IF(ISERROR(SEARCH("sconosciuto",Tabella1[[#This Row],[Cardiopatia ischemica]],1)),0,1)</f>
        <v>0</v>
      </c>
      <c r="AR277" s="11" t="s">
        <v>25</v>
      </c>
      <c r="AS277" s="22">
        <f>IF(ISERROR(SEARCH("nega",Tabella1[[#This Row],[Artimie]],1)),0,1)</f>
        <v>1</v>
      </c>
      <c r="AT277" s="11" t="s">
        <v>25</v>
      </c>
      <c r="AU277" s="22">
        <f>IF(ISERROR(SEARCH("nega",Tabella1[[#This Row],[Ipercolesterolemia]],1)),0,1)</f>
        <v>1</v>
      </c>
      <c r="AV277" s="22">
        <f>IF(ISERROR(SEARCH("boh",Tabella1[[#This Row],[Ipercolesterolemia]],1)),0,1)</f>
        <v>0</v>
      </c>
      <c r="AW277" s="11" t="s">
        <v>8</v>
      </c>
      <c r="AX277" s="22">
        <f>IF(ISERROR(SEARCH("Intolleranza",Tabella1[[#This Row],[Diabete]],1)),0,1)</f>
        <v>0</v>
      </c>
      <c r="AY277" s="22">
        <f>IF(ISERROR(SEARCH("si",Tabella1[[#This Row],[Diabete]],1)),0,1)</f>
        <v>0</v>
      </c>
      <c r="AZ277" s="11" t="s">
        <v>3782</v>
      </c>
      <c r="BA277" s="18">
        <f>IF(ISERROR(SEARCH("NDD",Tabella1[[#This Row],[Patologia Tiroidea]],1)),0,1)</f>
        <v>0</v>
      </c>
      <c r="BB277" s="22">
        <f>IF(ISERROR(SEARCH("TIROIDITE",Tabella1[[#This Row],[Patologia Tiroidea]],1)),0,1)</f>
        <v>0</v>
      </c>
      <c r="BC277" s="22">
        <f>IF(ISERROR(SEARCH("HASHIMOTO",Tabella1[[#This Row],[Patologia Tiroidea]],1)),0,1)</f>
        <v>1</v>
      </c>
      <c r="BD277" s="22">
        <f>IF(ISERROR(SEARCH("BASEDOW",Tabella1[[#This Row],[Patologia Tiroidea]],1)),0,1)</f>
        <v>0</v>
      </c>
      <c r="BE277" s="22">
        <f>IF(ISERROR(SEARCH("NOD",Tabella1[[#This Row],[Patologia Tiroidea]],1)),0,1)</f>
        <v>0</v>
      </c>
      <c r="BF277" s="22">
        <f>IF(ISERROR(SEARCH("GOZ",Tabella1[[#This Row],[Patologia Tiroidea]],1)),0,1)</f>
        <v>0</v>
      </c>
      <c r="BG277" s="11" t="s">
        <v>28</v>
      </c>
      <c r="BH277" s="18">
        <f>IF(Tabella1[[#This Row],[Obesità]]="no",0,1)</f>
        <v>1</v>
      </c>
      <c r="BI277" s="11" t="s">
        <v>28</v>
      </c>
      <c r="BJ277" s="22">
        <f>IF(ISERROR(SEARCH("nega",Tabella1[[#This Row],[Reflusso gastroesofageo]],1)),1,0)</f>
        <v>1</v>
      </c>
      <c r="BK277" s="11" t="s">
        <v>8</v>
      </c>
      <c r="BL277" s="18">
        <f>IF(ISERROR(SEARCH("NDD",Tabella1[[#This Row],[Patologia respiratoria]],1)),0,1)</f>
        <v>0</v>
      </c>
      <c r="BM277" s="18">
        <f>IF(ISERROR(SEARCH("asma",Tabella1[[#This Row],[Patologia respiratoria]],1)),0,1)</f>
        <v>0</v>
      </c>
      <c r="BN277" s="18">
        <f>IF(ISERROR(SEARCH("BPCO",Tabella1[[#This Row],[Patologia respiratoria]],1)),0,1)</f>
        <v>0</v>
      </c>
      <c r="BO277" s="18">
        <f>IF(ISERROR(SEARCH("BRONCOPOLMONITE",Tabella1[[#This Row],[Patologia respiratoria]],1)),0,1)</f>
        <v>0</v>
      </c>
      <c r="BP277" s="18">
        <f>IF(ISERROR(SEARCH("ASMA, OSAS",Tabella1[[#This Row],[Patologia respiratoria]],1)),0,1)</f>
        <v>0</v>
      </c>
      <c r="BQ277" s="18">
        <f>IF(ISERROR(SEARCH("OSAS e BPCO",Tabella1[[#This Row],[Patologia respiratoria]],1)),0,1)</f>
        <v>0</v>
      </c>
      <c r="BR277" s="18">
        <f>IF(ISERROR(SEARCH("OSAS",Tabella1[[#This Row],[Patologia respiratoria]],1)),0,1)</f>
        <v>0</v>
      </c>
      <c r="BS277" s="11" t="s">
        <v>3201</v>
      </c>
      <c r="BT277" s="11" t="s">
        <v>132</v>
      </c>
      <c r="BU277" s="11" t="s">
        <v>8</v>
      </c>
      <c r="BV277" s="18">
        <f>IF(ISERROR(SEARCH("ndd",Tabella1[[#This Row],[O2 terapia]],1)),0,1)</f>
        <v>0</v>
      </c>
      <c r="BW277" s="17">
        <v>0</v>
      </c>
      <c r="BX277" s="11"/>
      <c r="BY277" s="11" t="s">
        <v>28</v>
      </c>
      <c r="BZ277" s="17">
        <v>1</v>
      </c>
      <c r="CA277" s="11" t="s">
        <v>28</v>
      </c>
      <c r="CB277" s="17">
        <v>1</v>
      </c>
      <c r="CC277" s="11" t="s">
        <v>8</v>
      </c>
      <c r="CD277" s="18">
        <v>0</v>
      </c>
      <c r="CE277" s="11" t="s">
        <v>8</v>
      </c>
      <c r="CF277" s="18">
        <v>0</v>
      </c>
      <c r="CG277" s="11" t="s">
        <v>28</v>
      </c>
      <c r="CH277" s="17">
        <v>1</v>
      </c>
      <c r="CI277" s="11" t="s">
        <v>8</v>
      </c>
      <c r="CJ277" s="18">
        <v>0</v>
      </c>
      <c r="CK277" s="11" t="s">
        <v>28</v>
      </c>
      <c r="CL277" s="17">
        <v>1</v>
      </c>
      <c r="CM277" s="11" t="s">
        <v>28</v>
      </c>
      <c r="CN277" s="17">
        <v>1</v>
      </c>
      <c r="CO277" s="11" t="s">
        <v>8</v>
      </c>
      <c r="CP277" s="18">
        <v>0</v>
      </c>
      <c r="CQ277" s="11" t="s">
        <v>54</v>
      </c>
      <c r="CR277" s="11" t="s">
        <v>120</v>
      </c>
      <c r="CS277" s="11"/>
      <c r="CT277" s="11"/>
      <c r="CU277" s="11"/>
      <c r="CV277" s="12" t="s">
        <v>3202</v>
      </c>
    </row>
    <row r="278" spans="1:100" ht="228">
      <c r="A278" s="1">
        <f t="shared" si="4"/>
        <v>277</v>
      </c>
      <c r="B278" s="5">
        <v>1604</v>
      </c>
      <c r="C278" s="6">
        <v>45548</v>
      </c>
      <c r="D278" s="7" t="s">
        <v>3203</v>
      </c>
      <c r="E278" s="6">
        <v>26341</v>
      </c>
      <c r="F278" s="29">
        <f ca="1">_xlfn.DAYS(NOW(),Tabella1[[#This Row],[Data di Nascita]])/365.25</f>
        <v>53.4757015742642</v>
      </c>
      <c r="G278" s="7" t="s">
        <v>3204</v>
      </c>
      <c r="H278" s="7" t="s">
        <v>3205</v>
      </c>
      <c r="I278" s="7" t="s">
        <v>3206</v>
      </c>
      <c r="J278" s="7" t="s">
        <v>1794</v>
      </c>
      <c r="K278" s="7" t="s">
        <v>3207</v>
      </c>
      <c r="L278" s="17">
        <f>IF(ISERROR(SEARCH("EX",Tabella1[[#This Row],[Attività lavorativa]],1)),0,1)</f>
        <v>0</v>
      </c>
      <c r="M278" s="17"/>
      <c r="N278" s="17">
        <v>1</v>
      </c>
      <c r="O278" s="17"/>
      <c r="P278" s="17"/>
      <c r="Q278" s="17"/>
      <c r="R278" s="17"/>
      <c r="S278" s="17"/>
      <c r="T278" s="17">
        <f>IF(ISERROR(SEARCH("NDD",Tabella1[[#This Row],[Attività lavorativa]],1)),0,1)</f>
        <v>0</v>
      </c>
      <c r="U278" s="7" t="s">
        <v>3208</v>
      </c>
      <c r="V278" s="22">
        <v>15</v>
      </c>
      <c r="W278" s="22">
        <f>IF(ISERROR(SEARCH("ex",Tabella1[[#This Row],[Fumo]],1)),0,1)</f>
        <v>1</v>
      </c>
      <c r="X278" s="22">
        <f>IF(ISERROR(SEARCH("no",Tabella1[[#This Row],[Fumo]],1)),0,1)</f>
        <v>0</v>
      </c>
      <c r="Y278" s="7" t="s">
        <v>3694</v>
      </c>
      <c r="Z278" s="17">
        <f>IF(ISERROR(SEARCH("NDD",Tabella1[[#This Row],[Bevitore alcolici]],1)),0,1)</f>
        <v>0</v>
      </c>
      <c r="AA278" s="17">
        <f>IF(ISERROR(SEARCH("raro",Tabella1[[#This Row],[Bevitore alcolici]],1)),0,1)</f>
        <v>0</v>
      </c>
      <c r="AB278" s="17">
        <f>IF(ISERROR(SEARCH("saltuariamente",Tabella1[[#This Row],[Bevitore alcolici]],1)),0,1)</f>
        <v>1</v>
      </c>
      <c r="AC278" s="17">
        <f>IF(ISERROR(SEARCH("nega",Tabella1[[#This Row],[Bevitore alcolici]],1)),0,1)</f>
        <v>0</v>
      </c>
      <c r="AD278" s="17">
        <f>IF(ISERROR(SEARCH("potus",Tabella1[[#This Row],[Bevitore alcolici]],1)),0,1)</f>
        <v>0</v>
      </c>
      <c r="AE278" s="7" t="s">
        <v>3209</v>
      </c>
      <c r="AF278" s="17"/>
      <c r="AG278" s="18">
        <v>1</v>
      </c>
      <c r="AH278" s="18"/>
      <c r="AI278" s="18"/>
      <c r="AJ278" s="18"/>
      <c r="AK278" s="7" t="s">
        <v>194</v>
      </c>
      <c r="AL278" s="17">
        <f>IF(ISERROR(SEARCH("si",Tabella1[[#This Row],[Patente di guida]],1)),0,1)</f>
        <v>1</v>
      </c>
      <c r="AM278" s="7" t="s">
        <v>195</v>
      </c>
      <c r="AN278" s="17">
        <f>IF(ISERROR(SEARCH("no",Tabella1[[#This Row],[Ipertensione]],1)),0,1)</f>
        <v>1</v>
      </c>
      <c r="AO278" s="7" t="s">
        <v>382</v>
      </c>
      <c r="AP278" s="18">
        <f>IF(ISERROR(SEARCH("NO",Tabella1[[#This Row],[Cardiopatia ischemica]],1)),1,0)</f>
        <v>0</v>
      </c>
      <c r="AQ278" s="17">
        <f>IF(ISERROR(SEARCH("sconosciuto",Tabella1[[#This Row],[Cardiopatia ischemica]],1)),0,1)</f>
        <v>0</v>
      </c>
      <c r="AR278" s="7" t="s">
        <v>25</v>
      </c>
      <c r="AS278" s="22">
        <f>IF(ISERROR(SEARCH("nega",Tabella1[[#This Row],[Artimie]],1)),0,1)</f>
        <v>1</v>
      </c>
      <c r="AT278" s="7" t="s">
        <v>25</v>
      </c>
      <c r="AU278" s="22">
        <f>IF(ISERROR(SEARCH("nega",Tabella1[[#This Row],[Ipercolesterolemia]],1)),0,1)</f>
        <v>1</v>
      </c>
      <c r="AV278" s="22">
        <f>IF(ISERROR(SEARCH("boh",Tabella1[[#This Row],[Ipercolesterolemia]],1)),0,1)</f>
        <v>0</v>
      </c>
      <c r="AW278" s="7" t="s">
        <v>195</v>
      </c>
      <c r="AX278" s="22">
        <f>IF(ISERROR(SEARCH("Intolleranza",Tabella1[[#This Row],[Diabete]],1)),0,1)</f>
        <v>0</v>
      </c>
      <c r="AY278" s="22">
        <f>IF(ISERROR(SEARCH("si",Tabella1[[#This Row],[Diabete]],1)),0,1)</f>
        <v>0</v>
      </c>
      <c r="AZ278" s="7" t="s">
        <v>3726</v>
      </c>
      <c r="BA278" s="17">
        <f>IF(ISERROR(SEARCH("NDD",Tabella1[[#This Row],[Patologia Tiroidea]],1)),0,1)</f>
        <v>0</v>
      </c>
      <c r="BB278" s="22">
        <f>IF(ISERROR(SEARCH("TIROIDITE",Tabella1[[#This Row],[Patologia Tiroidea]],1)),0,1)</f>
        <v>0</v>
      </c>
      <c r="BC278" s="22">
        <f>IF(ISERROR(SEARCH("HASHIMOTO",Tabella1[[#This Row],[Patologia Tiroidea]],1)),0,1)</f>
        <v>0</v>
      </c>
      <c r="BD278" s="22">
        <f>IF(ISERROR(SEARCH("BASEDOW",Tabella1[[#This Row],[Patologia Tiroidea]],1)),0,1)</f>
        <v>0</v>
      </c>
      <c r="BE278" s="22">
        <f>IF(ISERROR(SEARCH("NOD",Tabella1[[#This Row],[Patologia Tiroidea]],1)),0,1)</f>
        <v>0</v>
      </c>
      <c r="BF278" s="22">
        <f>IF(ISERROR(SEARCH("GOZ",Tabella1[[#This Row],[Patologia Tiroidea]],1)),0,1)</f>
        <v>0</v>
      </c>
      <c r="BG278" s="7" t="s">
        <v>3683</v>
      </c>
      <c r="BH278" s="17">
        <f>IF(Tabella1[[#This Row],[Obesità]]="no",0,1)</f>
        <v>1</v>
      </c>
      <c r="BI278" s="7" t="s">
        <v>3210</v>
      </c>
      <c r="BJ278" s="22">
        <f>IF(ISERROR(SEARCH("nega",Tabella1[[#This Row],[Reflusso gastroesofageo]],1)),1,0)</f>
        <v>1</v>
      </c>
      <c r="BK278" s="7" t="s">
        <v>3211</v>
      </c>
      <c r="BL278" s="17">
        <f>IF(ISERROR(SEARCH("NDD",Tabella1[[#This Row],[Patologia respiratoria]],1)),0,1)</f>
        <v>0</v>
      </c>
      <c r="BM278" s="17">
        <f>IF(ISERROR(SEARCH("asma",Tabella1[[#This Row],[Patologia respiratoria]],1)),0,1)</f>
        <v>0</v>
      </c>
      <c r="BN278" s="17">
        <f>IF(ISERROR(SEARCH("BPCO",Tabella1[[#This Row],[Patologia respiratoria]],1)),0,1)</f>
        <v>0</v>
      </c>
      <c r="BO278" s="17">
        <f>IF(ISERROR(SEARCH("BRONCOPOLMONITE",Tabella1[[#This Row],[Patologia respiratoria]],1)),0,1)</f>
        <v>0</v>
      </c>
      <c r="BP278" s="17">
        <f>IF(ISERROR(SEARCH("ASMA, OSAS",Tabella1[[#This Row],[Patologia respiratoria]],1)),0,1)</f>
        <v>0</v>
      </c>
      <c r="BQ278" s="17">
        <f>IF(ISERROR(SEARCH("OSAS e BPCO",Tabella1[[#This Row],[Patologia respiratoria]],1)),0,1)</f>
        <v>0</v>
      </c>
      <c r="BR278" s="17">
        <f>IF(ISERROR(SEARCH("OSAS",Tabella1[[#This Row],[Patologia respiratoria]],1)),0,1)</f>
        <v>0</v>
      </c>
      <c r="BS278" s="7" t="s">
        <v>3212</v>
      </c>
      <c r="BT278" s="7" t="s">
        <v>3213</v>
      </c>
      <c r="BU278" s="7" t="s">
        <v>195</v>
      </c>
      <c r="BV278" s="17">
        <f>IF(ISERROR(SEARCH("ndd",Tabella1[[#This Row],[O2 terapia]],1)),0,1)</f>
        <v>0</v>
      </c>
      <c r="BW278" s="17">
        <v>0</v>
      </c>
      <c r="BX278" s="7"/>
      <c r="BY278" s="7" t="s">
        <v>3214</v>
      </c>
      <c r="BZ278" s="18">
        <v>0</v>
      </c>
      <c r="CA278" s="7" t="s">
        <v>3215</v>
      </c>
      <c r="CB278" s="17">
        <v>1</v>
      </c>
      <c r="CC278" s="7" t="s">
        <v>195</v>
      </c>
      <c r="CD278" s="18">
        <v>0</v>
      </c>
      <c r="CE278" s="7" t="s">
        <v>195</v>
      </c>
      <c r="CF278" s="18">
        <v>0</v>
      </c>
      <c r="CG278" s="7" t="s">
        <v>195</v>
      </c>
      <c r="CH278" s="17">
        <v>0</v>
      </c>
      <c r="CI278" s="7" t="s">
        <v>547</v>
      </c>
      <c r="CJ278" s="17">
        <v>1</v>
      </c>
      <c r="CK278" s="7" t="s">
        <v>3216</v>
      </c>
      <c r="CL278" s="17">
        <v>1</v>
      </c>
      <c r="CM278" s="7" t="s">
        <v>3217</v>
      </c>
      <c r="CN278" s="17">
        <v>1</v>
      </c>
      <c r="CO278" s="7" t="s">
        <v>3218</v>
      </c>
      <c r="CP278" s="17">
        <v>1</v>
      </c>
      <c r="CQ278" s="7" t="s">
        <v>85</v>
      </c>
      <c r="CR278" s="7" t="s">
        <v>3219</v>
      </c>
      <c r="CS278" s="7" t="s">
        <v>3220</v>
      </c>
      <c r="CT278" s="7" t="s">
        <v>3133</v>
      </c>
      <c r="CU278" s="7" t="s">
        <v>3221</v>
      </c>
      <c r="CV278" s="8" t="s">
        <v>3222</v>
      </c>
    </row>
    <row r="279" spans="1:100" ht="199.5">
      <c r="A279" s="1">
        <f t="shared" si="4"/>
        <v>278</v>
      </c>
      <c r="B279" s="9">
        <v>1629</v>
      </c>
      <c r="C279" s="10">
        <v>45568</v>
      </c>
      <c r="D279" s="11" t="s">
        <v>3223</v>
      </c>
      <c r="E279" s="10">
        <v>14191</v>
      </c>
      <c r="F279" s="29">
        <f ca="1">_xlfn.DAYS(NOW(),Tabella1[[#This Row],[Data di Nascita]])/365.25</f>
        <v>86.740588637919231</v>
      </c>
      <c r="G279" s="11" t="s">
        <v>3224</v>
      </c>
      <c r="H279" s="11" t="s">
        <v>3225</v>
      </c>
      <c r="I279" s="11" t="s">
        <v>3226</v>
      </c>
      <c r="J279" s="11" t="s">
        <v>618</v>
      </c>
      <c r="K279" s="11" t="s">
        <v>5477</v>
      </c>
      <c r="L279" s="18">
        <f>IF(ISERROR(SEARCH("EX",Tabella1[[#This Row],[Attività lavorativa]],1)),0,1)</f>
        <v>0</v>
      </c>
      <c r="M279" s="18"/>
      <c r="N279" s="18"/>
      <c r="O279" s="18"/>
      <c r="P279" s="18"/>
      <c r="Q279" s="18"/>
      <c r="R279" s="18"/>
      <c r="S279" s="18"/>
      <c r="T279" s="17">
        <f>IF(ISERROR(SEARCH("NDD",Tabella1[[#This Row],[Attività lavorativa]],1)),0,1)</f>
        <v>1</v>
      </c>
      <c r="U279" s="11" t="s">
        <v>3689</v>
      </c>
      <c r="V279" s="22"/>
      <c r="W279" s="22">
        <f>IF(ISERROR(SEARCH("ex",Tabella1[[#This Row],[Fumo]],1)),0,1)</f>
        <v>1</v>
      </c>
      <c r="X279" s="22">
        <f>IF(ISERROR(SEARCH("no",Tabella1[[#This Row],[Fumo]],1)),0,1)</f>
        <v>1</v>
      </c>
      <c r="Y279" s="11" t="s">
        <v>5477</v>
      </c>
      <c r="Z279" s="18">
        <f>IF(ISERROR(SEARCH("NDD",Tabella1[[#This Row],[Bevitore alcolici]],1)),0,1)</f>
        <v>1</v>
      </c>
      <c r="AA279" s="17">
        <f>IF(ISERROR(SEARCH("raro",Tabella1[[#This Row],[Bevitore alcolici]],1)),0,1)</f>
        <v>0</v>
      </c>
      <c r="AB279" s="17">
        <f>IF(ISERROR(SEARCH("saltuariamente",Tabella1[[#This Row],[Bevitore alcolici]],1)),0,1)</f>
        <v>0</v>
      </c>
      <c r="AC279" s="17">
        <f>IF(ISERROR(SEARCH("nega",Tabella1[[#This Row],[Bevitore alcolici]],1)),0,1)</f>
        <v>0</v>
      </c>
      <c r="AD279" s="17">
        <f>IF(ISERROR(SEARCH("potus",Tabella1[[#This Row],[Bevitore alcolici]],1)),0,1)</f>
        <v>0</v>
      </c>
      <c r="AE279" s="11" t="s">
        <v>657</v>
      </c>
      <c r="AF279" s="18"/>
      <c r="AG279" s="18"/>
      <c r="AH279" s="18"/>
      <c r="AI279" s="18"/>
      <c r="AJ279" s="18"/>
      <c r="AK279" s="11" t="s">
        <v>195</v>
      </c>
      <c r="AL279" s="18">
        <f>IF(ISERROR(SEARCH("si",Tabella1[[#This Row],[Patente di guida]],1)),0,1)</f>
        <v>0</v>
      </c>
      <c r="AM279" s="11" t="s">
        <v>381</v>
      </c>
      <c r="AN279" s="18">
        <f>IF(ISERROR(SEARCH("no",Tabella1[[#This Row],[Ipertensione]],1)),0,1)</f>
        <v>0</v>
      </c>
      <c r="AO279" s="11" t="s">
        <v>194</v>
      </c>
      <c r="AP279" s="18">
        <f>IF(ISERROR(SEARCH("NO",Tabella1[[#This Row],[Cardiopatia ischemica]],1)),1,0)</f>
        <v>1</v>
      </c>
      <c r="AQ279" s="17">
        <f>IF(ISERROR(SEARCH("sconosciuto",Tabella1[[#This Row],[Cardiopatia ischemica]],1)),0,1)</f>
        <v>0</v>
      </c>
      <c r="AR279" s="11" t="s">
        <v>25</v>
      </c>
      <c r="AS279" s="22">
        <f>IF(ISERROR(SEARCH("nega",Tabella1[[#This Row],[Artimie]],1)),0,1)</f>
        <v>1</v>
      </c>
      <c r="AT279" s="11" t="s">
        <v>28</v>
      </c>
      <c r="AU279" s="22">
        <f>IF(ISERROR(SEARCH("nega",Tabella1[[#This Row],[Ipercolesterolemia]],1)),0,1)</f>
        <v>0</v>
      </c>
      <c r="AV279" s="22">
        <f>IF(ISERROR(SEARCH("boh",Tabella1[[#This Row],[Ipercolesterolemia]],1)),0,1)</f>
        <v>0</v>
      </c>
      <c r="AW279" s="11" t="s">
        <v>8</v>
      </c>
      <c r="AX279" s="22">
        <f>IF(ISERROR(SEARCH("Intolleranza",Tabella1[[#This Row],[Diabete]],1)),0,1)</f>
        <v>0</v>
      </c>
      <c r="AY279" s="22">
        <f>IF(ISERROR(SEARCH("si",Tabella1[[#This Row],[Diabete]],1)),0,1)</f>
        <v>0</v>
      </c>
      <c r="AZ279" s="11" t="s">
        <v>8</v>
      </c>
      <c r="BA279" s="18">
        <f>IF(ISERROR(SEARCH("NDD",Tabella1[[#This Row],[Patologia Tiroidea]],1)),0,1)</f>
        <v>0</v>
      </c>
      <c r="BB279" s="22">
        <f>IF(ISERROR(SEARCH("TIROIDITE",Tabella1[[#This Row],[Patologia Tiroidea]],1)),0,1)</f>
        <v>0</v>
      </c>
      <c r="BC279" s="22">
        <f>IF(ISERROR(SEARCH("HASHIMOTO",Tabella1[[#This Row],[Patologia Tiroidea]],1)),0,1)</f>
        <v>0</v>
      </c>
      <c r="BD279" s="22">
        <f>IF(ISERROR(SEARCH("BASEDOW",Tabella1[[#This Row],[Patologia Tiroidea]],1)),0,1)</f>
        <v>0</v>
      </c>
      <c r="BE279" s="22">
        <f>IF(ISERROR(SEARCH("NOD",Tabella1[[#This Row],[Patologia Tiroidea]],1)),0,1)</f>
        <v>0</v>
      </c>
      <c r="BF279" s="22">
        <f>IF(ISERROR(SEARCH("GOZ",Tabella1[[#This Row],[Patologia Tiroidea]],1)),0,1)</f>
        <v>0</v>
      </c>
      <c r="BG279" s="11" t="s">
        <v>8</v>
      </c>
      <c r="BH279" s="18">
        <f>IF(Tabella1[[#This Row],[Obesità]]="no",0,1)</f>
        <v>0</v>
      </c>
      <c r="BI279" s="11" t="s">
        <v>25</v>
      </c>
      <c r="BJ279" s="22">
        <f>IF(ISERROR(SEARCH("nega",Tabella1[[#This Row],[Reflusso gastroesofageo]],1)),1,0)</f>
        <v>0</v>
      </c>
      <c r="BK279" s="11" t="s">
        <v>8</v>
      </c>
      <c r="BL279" s="18">
        <f>IF(ISERROR(SEARCH("NDD",Tabella1[[#This Row],[Patologia respiratoria]],1)),0,1)</f>
        <v>0</v>
      </c>
      <c r="BM279" s="18">
        <f>IF(ISERROR(SEARCH("asma",Tabella1[[#This Row],[Patologia respiratoria]],1)),0,1)</f>
        <v>0</v>
      </c>
      <c r="BN279" s="18">
        <f>IF(ISERROR(SEARCH("BPCO",Tabella1[[#This Row],[Patologia respiratoria]],1)),0,1)</f>
        <v>0</v>
      </c>
      <c r="BO279" s="18">
        <f>IF(ISERROR(SEARCH("BRONCOPOLMONITE",Tabella1[[#This Row],[Patologia respiratoria]],1)),0,1)</f>
        <v>0</v>
      </c>
      <c r="BP279" s="18">
        <f>IF(ISERROR(SEARCH("ASMA, OSAS",Tabella1[[#This Row],[Patologia respiratoria]],1)),0,1)</f>
        <v>0</v>
      </c>
      <c r="BQ279" s="18">
        <f>IF(ISERROR(SEARCH("OSAS e BPCO",Tabella1[[#This Row],[Patologia respiratoria]],1)),0,1)</f>
        <v>0</v>
      </c>
      <c r="BR279" s="18">
        <f>IF(ISERROR(SEARCH("OSAS",Tabella1[[#This Row],[Patologia respiratoria]],1)),0,1)</f>
        <v>0</v>
      </c>
      <c r="BS279" s="11" t="s">
        <v>8</v>
      </c>
      <c r="BT279" s="11" t="s">
        <v>3227</v>
      </c>
      <c r="BU279" s="11" t="s">
        <v>8</v>
      </c>
      <c r="BV279" s="18">
        <f>IF(ISERROR(SEARCH("ndd",Tabella1[[#This Row],[O2 terapia]],1)),0,1)</f>
        <v>0</v>
      </c>
      <c r="BW279" s="17">
        <v>0</v>
      </c>
      <c r="BX279" s="11" t="s">
        <v>8</v>
      </c>
      <c r="BY279" s="11" t="s">
        <v>3228</v>
      </c>
      <c r="BZ279" s="17">
        <v>1</v>
      </c>
      <c r="CA279" s="11" t="s">
        <v>28</v>
      </c>
      <c r="CB279" s="17">
        <v>1</v>
      </c>
      <c r="CC279" s="11" t="s">
        <v>8</v>
      </c>
      <c r="CD279" s="18">
        <v>0</v>
      </c>
      <c r="CE279" s="11" t="s">
        <v>28</v>
      </c>
      <c r="CF279" s="17">
        <v>1</v>
      </c>
      <c r="CG279" s="11" t="s">
        <v>8</v>
      </c>
      <c r="CH279" s="17">
        <v>0</v>
      </c>
      <c r="CI279" s="11" t="s">
        <v>8</v>
      </c>
      <c r="CJ279" s="18">
        <v>0</v>
      </c>
      <c r="CK279" s="11" t="s">
        <v>8</v>
      </c>
      <c r="CL279" s="17">
        <v>0</v>
      </c>
      <c r="CM279" s="11" t="s">
        <v>8</v>
      </c>
      <c r="CN279" s="17">
        <v>0</v>
      </c>
      <c r="CO279" s="11" t="s">
        <v>8</v>
      </c>
      <c r="CP279" s="18">
        <v>0</v>
      </c>
      <c r="CQ279" s="11" t="s">
        <v>103</v>
      </c>
      <c r="CR279" s="11" t="s">
        <v>850</v>
      </c>
      <c r="CS279" s="11"/>
      <c r="CT279" s="11"/>
      <c r="CU279" s="11"/>
      <c r="CV279" s="12"/>
    </row>
    <row r="280" spans="1:100" ht="156.75">
      <c r="A280" s="1">
        <f t="shared" si="4"/>
        <v>279</v>
      </c>
      <c r="B280" s="5">
        <v>1634</v>
      </c>
      <c r="C280" s="6">
        <v>45573</v>
      </c>
      <c r="D280" s="7" t="s">
        <v>3229</v>
      </c>
      <c r="E280" s="6">
        <v>27150</v>
      </c>
      <c r="F280" s="29">
        <f ca="1">_xlfn.DAYS(NOW(),Tabella1[[#This Row],[Data di Nascita]])/365.25</f>
        <v>51.260780287474333</v>
      </c>
      <c r="G280" s="7" t="s">
        <v>3230</v>
      </c>
      <c r="H280" s="7" t="s">
        <v>3231</v>
      </c>
      <c r="I280" s="7" t="s">
        <v>1675</v>
      </c>
      <c r="J280" s="7" t="s">
        <v>3232</v>
      </c>
      <c r="K280" s="7" t="s">
        <v>46</v>
      </c>
      <c r="L280" s="17">
        <f>IF(ISERROR(SEARCH("EX",Tabella1[[#This Row],[Attività lavorativa]],1)),0,1)</f>
        <v>0</v>
      </c>
      <c r="M280" s="17"/>
      <c r="N280" s="17"/>
      <c r="O280" s="17"/>
      <c r="P280" s="17"/>
      <c r="Q280" s="17"/>
      <c r="R280" s="17"/>
      <c r="S280" s="17">
        <v>1</v>
      </c>
      <c r="T280" s="17">
        <f>IF(ISERROR(SEARCH("NDD",Tabella1[[#This Row],[Attività lavorativa]],1)),0,1)</f>
        <v>0</v>
      </c>
      <c r="U280" s="7" t="s">
        <v>8</v>
      </c>
      <c r="V280" s="22"/>
      <c r="W280" s="22">
        <f>IF(ISERROR(SEARCH("ex",Tabella1[[#This Row],[Fumo]],1)),0,1)</f>
        <v>0</v>
      </c>
      <c r="X280" s="22">
        <f>IF(ISERROR(SEARCH("no",Tabella1[[#This Row],[Fumo]],1)),0,1)</f>
        <v>1</v>
      </c>
      <c r="Y280" s="7" t="s">
        <v>25</v>
      </c>
      <c r="Z280" s="17">
        <f>IF(ISERROR(SEARCH("NDD",Tabella1[[#This Row],[Bevitore alcolici]],1)),0,1)</f>
        <v>0</v>
      </c>
      <c r="AA280" s="17">
        <f>IF(ISERROR(SEARCH("raro",Tabella1[[#This Row],[Bevitore alcolici]],1)),0,1)</f>
        <v>0</v>
      </c>
      <c r="AB280" s="17">
        <f>IF(ISERROR(SEARCH("saltuariamente",Tabella1[[#This Row],[Bevitore alcolici]],1)),0,1)</f>
        <v>0</v>
      </c>
      <c r="AC280" s="17">
        <f>IF(ISERROR(SEARCH("nega",Tabella1[[#This Row],[Bevitore alcolici]],1)),0,1)</f>
        <v>1</v>
      </c>
      <c r="AD280" s="17">
        <f>IF(ISERROR(SEARCH("potus",Tabella1[[#This Row],[Bevitore alcolici]],1)),0,1)</f>
        <v>0</v>
      </c>
      <c r="AE280" s="7" t="s">
        <v>3233</v>
      </c>
      <c r="AF280" s="17"/>
      <c r="AG280" s="17"/>
      <c r="AH280" s="18">
        <v>1</v>
      </c>
      <c r="AI280" s="18"/>
      <c r="AJ280" s="18">
        <v>1</v>
      </c>
      <c r="AK280" s="7" t="s">
        <v>195</v>
      </c>
      <c r="AL280" s="17">
        <f>IF(ISERROR(SEARCH("si",Tabella1[[#This Row],[Patente di guida]],1)),0,1)</f>
        <v>0</v>
      </c>
      <c r="AM280" s="7" t="s">
        <v>195</v>
      </c>
      <c r="AN280" s="17">
        <f>IF(ISERROR(SEARCH("no",Tabella1[[#This Row],[Ipertensione]],1)),0,1)</f>
        <v>1</v>
      </c>
      <c r="AO280" s="7" t="s">
        <v>382</v>
      </c>
      <c r="AP280" s="18">
        <f>IF(ISERROR(SEARCH("NO",Tabella1[[#This Row],[Cardiopatia ischemica]],1)),1,0)</f>
        <v>0</v>
      </c>
      <c r="AQ280" s="17">
        <f>IF(ISERROR(SEARCH("sconosciuto",Tabella1[[#This Row],[Cardiopatia ischemica]],1)),0,1)</f>
        <v>0</v>
      </c>
      <c r="AR280" s="7" t="s">
        <v>25</v>
      </c>
      <c r="AS280" s="22">
        <f>IF(ISERROR(SEARCH("nega",Tabella1[[#This Row],[Artimie]],1)),0,1)</f>
        <v>1</v>
      </c>
      <c r="AT280" s="7" t="s">
        <v>25</v>
      </c>
      <c r="AU280" s="22">
        <f>IF(ISERROR(SEARCH("nega",Tabella1[[#This Row],[Ipercolesterolemia]],1)),0,1)</f>
        <v>1</v>
      </c>
      <c r="AV280" s="22">
        <f>IF(ISERROR(SEARCH("boh",Tabella1[[#This Row],[Ipercolesterolemia]],1)),0,1)</f>
        <v>0</v>
      </c>
      <c r="AW280" s="7" t="s">
        <v>3234</v>
      </c>
      <c r="AX280" s="22">
        <f>IF(ISERROR(SEARCH("Intolleranza",Tabella1[[#This Row],[Diabete]],1)),0,1)</f>
        <v>0</v>
      </c>
      <c r="AY280" s="22">
        <f>IF(ISERROR(SEARCH("si",Tabella1[[#This Row],[Diabete]],1)),0,1)</f>
        <v>0</v>
      </c>
      <c r="AZ280" s="7" t="s">
        <v>195</v>
      </c>
      <c r="BA280" s="17">
        <f>IF(ISERROR(SEARCH("NDD",Tabella1[[#This Row],[Patologia Tiroidea]],1)),0,1)</f>
        <v>0</v>
      </c>
      <c r="BB280" s="22">
        <f>IF(ISERROR(SEARCH("TIROIDITE",Tabella1[[#This Row],[Patologia Tiroidea]],1)),0,1)</f>
        <v>0</v>
      </c>
      <c r="BC280" s="22">
        <f>IF(ISERROR(SEARCH("HASHIMOTO",Tabella1[[#This Row],[Patologia Tiroidea]],1)),0,1)</f>
        <v>0</v>
      </c>
      <c r="BD280" s="22">
        <f>IF(ISERROR(SEARCH("BASEDOW",Tabella1[[#This Row],[Patologia Tiroidea]],1)),0,1)</f>
        <v>0</v>
      </c>
      <c r="BE280" s="22">
        <f>IF(ISERROR(SEARCH("NOD",Tabella1[[#This Row],[Patologia Tiroidea]],1)),0,1)</f>
        <v>0</v>
      </c>
      <c r="BF280" s="22">
        <f>IF(ISERROR(SEARCH("GOZ",Tabella1[[#This Row],[Patologia Tiroidea]],1)),0,1)</f>
        <v>0</v>
      </c>
      <c r="BG280" s="7" t="s">
        <v>3684</v>
      </c>
      <c r="BH280" s="17">
        <f>IF(Tabella1[[#This Row],[Obesità]]="no",0,1)</f>
        <v>1</v>
      </c>
      <c r="BI280" s="7" t="s">
        <v>632</v>
      </c>
      <c r="BJ280" s="22">
        <f>IF(ISERROR(SEARCH("nega",Tabella1[[#This Row],[Reflusso gastroesofageo]],1)),1,0)</f>
        <v>1</v>
      </c>
      <c r="BK280" s="7" t="s">
        <v>3820</v>
      </c>
      <c r="BL280" s="17">
        <f>IF(ISERROR(SEARCH("NDD",Tabella1[[#This Row],[Patologia respiratoria]],1)),0,1)</f>
        <v>0</v>
      </c>
      <c r="BM280" s="17">
        <f>IF(ISERROR(SEARCH("asma",Tabella1[[#This Row],[Patologia respiratoria]],1)),0,1)</f>
        <v>1</v>
      </c>
      <c r="BN280" s="17">
        <f>IF(ISERROR(SEARCH("BPCO",Tabella1[[#This Row],[Patologia respiratoria]],1)),0,1)</f>
        <v>0</v>
      </c>
      <c r="BO280" s="17">
        <f>IF(ISERROR(SEARCH("BRONCOPOLMONITE",Tabella1[[#This Row],[Patologia respiratoria]],1)),0,1)</f>
        <v>0</v>
      </c>
      <c r="BP280" s="17">
        <f>IF(ISERROR(SEARCH("ASMA, OSAS",Tabella1[[#This Row],[Patologia respiratoria]],1)),0,1)</f>
        <v>0</v>
      </c>
      <c r="BQ280" s="17">
        <f>IF(ISERROR(SEARCH("OSAS e BPCO",Tabella1[[#This Row],[Patologia respiratoria]],1)),0,1)</f>
        <v>0</v>
      </c>
      <c r="BR280" s="17">
        <f>IF(ISERROR(SEARCH("OSAS",Tabella1[[#This Row],[Patologia respiratoria]],1)),0,1)</f>
        <v>1</v>
      </c>
      <c r="BS280" s="7" t="s">
        <v>3235</v>
      </c>
      <c r="BT280" s="7" t="s">
        <v>3236</v>
      </c>
      <c r="BU280" s="7" t="s">
        <v>195</v>
      </c>
      <c r="BV280" s="17">
        <f>IF(ISERROR(SEARCH("ndd",Tabella1[[#This Row],[O2 terapia]],1)),0,1)</f>
        <v>0</v>
      </c>
      <c r="BW280" s="17">
        <v>0</v>
      </c>
      <c r="BX280" s="7" t="s">
        <v>3235</v>
      </c>
      <c r="BY280" s="7" t="s">
        <v>194</v>
      </c>
      <c r="BZ280" s="17">
        <v>1</v>
      </c>
      <c r="CA280" s="7" t="s">
        <v>3237</v>
      </c>
      <c r="CB280" s="17">
        <v>1</v>
      </c>
      <c r="CC280" s="7" t="s">
        <v>194</v>
      </c>
      <c r="CD280" s="17">
        <v>1</v>
      </c>
      <c r="CE280" s="7" t="s">
        <v>194</v>
      </c>
      <c r="CF280" s="17">
        <v>1</v>
      </c>
      <c r="CG280" s="7" t="s">
        <v>194</v>
      </c>
      <c r="CH280" s="17">
        <v>1</v>
      </c>
      <c r="CI280" s="7" t="s">
        <v>194</v>
      </c>
      <c r="CJ280" s="17">
        <v>1</v>
      </c>
      <c r="CK280" s="7" t="s">
        <v>195</v>
      </c>
      <c r="CL280" s="17">
        <v>0</v>
      </c>
      <c r="CM280" s="7" t="s">
        <v>3238</v>
      </c>
      <c r="CN280" s="17">
        <v>1</v>
      </c>
      <c r="CO280" s="7" t="s">
        <v>3239</v>
      </c>
      <c r="CP280" s="17">
        <v>1</v>
      </c>
      <c r="CQ280" s="7" t="s">
        <v>202</v>
      </c>
      <c r="CR280" s="7" t="s">
        <v>3240</v>
      </c>
      <c r="CS280" s="7" t="s">
        <v>153</v>
      </c>
      <c r="CT280" s="7" t="s">
        <v>3241</v>
      </c>
      <c r="CU280" s="7" t="s">
        <v>3242</v>
      </c>
      <c r="CV280" s="8" t="s">
        <v>3243</v>
      </c>
    </row>
    <row r="281" spans="1:100" ht="228">
      <c r="A281" s="1">
        <f t="shared" si="4"/>
        <v>280</v>
      </c>
      <c r="B281" s="9">
        <v>1641</v>
      </c>
      <c r="C281" s="10">
        <v>45579</v>
      </c>
      <c r="D281" s="11" t="s">
        <v>3244</v>
      </c>
      <c r="E281" s="10">
        <v>30042</v>
      </c>
      <c r="F281" s="29">
        <f ca="1">_xlfn.DAYS(NOW(),Tabella1[[#This Row],[Data di Nascita]])/365.25</f>
        <v>43.342915811088297</v>
      </c>
      <c r="G281" s="11" t="s">
        <v>3245</v>
      </c>
      <c r="H281" s="11" t="s">
        <v>3246</v>
      </c>
      <c r="I281" s="11" t="s">
        <v>1675</v>
      </c>
      <c r="J281" s="11" t="s">
        <v>1794</v>
      </c>
      <c r="K281" s="11" t="s">
        <v>241</v>
      </c>
      <c r="L281" s="18">
        <f>IF(ISERROR(SEARCH("EX",Tabella1[[#This Row],[Attività lavorativa]],1)),0,1)</f>
        <v>0</v>
      </c>
      <c r="M281" s="18"/>
      <c r="N281" s="18"/>
      <c r="O281" s="18"/>
      <c r="P281" s="18">
        <v>1</v>
      </c>
      <c r="Q281" s="18"/>
      <c r="R281" s="18"/>
      <c r="S281" s="18"/>
      <c r="T281" s="17">
        <f>IF(ISERROR(SEARCH("NDD",Tabella1[[#This Row],[Attività lavorativa]],1)),0,1)</f>
        <v>0</v>
      </c>
      <c r="U281" s="11" t="s">
        <v>195</v>
      </c>
      <c r="V281" s="22"/>
      <c r="W281" s="22">
        <f>IF(ISERROR(SEARCH("ex",Tabella1[[#This Row],[Fumo]],1)),0,1)</f>
        <v>0</v>
      </c>
      <c r="X281" s="22">
        <f>IF(ISERROR(SEARCH("no",Tabella1[[#This Row],[Fumo]],1)),0,1)</f>
        <v>1</v>
      </c>
      <c r="Y281" s="11" t="s">
        <v>25</v>
      </c>
      <c r="Z281" s="18">
        <f>IF(ISERROR(SEARCH("NDD",Tabella1[[#This Row],[Bevitore alcolici]],1)),0,1)</f>
        <v>0</v>
      </c>
      <c r="AA281" s="17">
        <f>IF(ISERROR(SEARCH("raro",Tabella1[[#This Row],[Bevitore alcolici]],1)),0,1)</f>
        <v>0</v>
      </c>
      <c r="AB281" s="17">
        <f>IF(ISERROR(SEARCH("saltuariamente",Tabella1[[#This Row],[Bevitore alcolici]],1)),0,1)</f>
        <v>0</v>
      </c>
      <c r="AC281" s="17">
        <f>IF(ISERROR(SEARCH("nega",Tabella1[[#This Row],[Bevitore alcolici]],1)),0,1)</f>
        <v>1</v>
      </c>
      <c r="AD281" s="17">
        <f>IF(ISERROR(SEARCH("potus",Tabella1[[#This Row],[Bevitore alcolici]],1)),0,1)</f>
        <v>0</v>
      </c>
      <c r="AE281" s="11" t="s">
        <v>3247</v>
      </c>
      <c r="AF281" s="18"/>
      <c r="AG281" s="18">
        <v>1</v>
      </c>
      <c r="AH281" s="18"/>
      <c r="AI281" s="18"/>
      <c r="AJ281" s="18"/>
      <c r="AK281" s="11" t="s">
        <v>195</v>
      </c>
      <c r="AL281" s="18">
        <f>IF(ISERROR(SEARCH("si",Tabella1[[#This Row],[Patente di guida]],1)),0,1)</f>
        <v>0</v>
      </c>
      <c r="AM281" s="11" t="s">
        <v>195</v>
      </c>
      <c r="AN281" s="18">
        <f>IF(ISERROR(SEARCH("no",Tabella1[[#This Row],[Ipertensione]],1)),0,1)</f>
        <v>1</v>
      </c>
      <c r="AO281" s="11" t="s">
        <v>382</v>
      </c>
      <c r="AP281" s="18">
        <f>IF(ISERROR(SEARCH("NO",Tabella1[[#This Row],[Cardiopatia ischemica]],1)),1,0)</f>
        <v>0</v>
      </c>
      <c r="AQ281" s="17">
        <f>IF(ISERROR(SEARCH("sconosciuto",Tabella1[[#This Row],[Cardiopatia ischemica]],1)),0,1)</f>
        <v>0</v>
      </c>
      <c r="AR281" s="11" t="s">
        <v>3248</v>
      </c>
      <c r="AS281" s="18">
        <f>IF(ISERROR(SEARCH("nega",Tabella1[[#This Row],[Artimie]],1)),0,1)</f>
        <v>0</v>
      </c>
      <c r="AT281" s="11" t="s">
        <v>25</v>
      </c>
      <c r="AU281" s="18">
        <f>IF(ISERROR(SEARCH("nega",Tabella1[[#This Row],[Ipercolesterolemia]],1)),0,1)</f>
        <v>1</v>
      </c>
      <c r="AV281" s="18">
        <f>IF(ISERROR(SEARCH("boh",Tabella1[[#This Row],[Ipercolesterolemia]],1)),0,1)</f>
        <v>0</v>
      </c>
      <c r="AW281" s="11" t="s">
        <v>195</v>
      </c>
      <c r="AX281" s="18">
        <f>IF(ISERROR(SEARCH("Intolleranza",Tabella1[[#This Row],[Diabete]],1)),0,1)</f>
        <v>0</v>
      </c>
      <c r="AY281" s="18">
        <f>IF(ISERROR(SEARCH("si",Tabella1[[#This Row],[Diabete]],1)),0,1)</f>
        <v>0</v>
      </c>
      <c r="AZ281" s="11" t="s">
        <v>195</v>
      </c>
      <c r="BA281" s="18">
        <f>IF(ISERROR(SEARCH("NDD",Tabella1[[#This Row],[Patologia Tiroidea]],1)),0,1)</f>
        <v>0</v>
      </c>
      <c r="BB281" s="18">
        <f>IF(ISERROR(SEARCH("TIROIDITE",Tabella1[[#This Row],[Patologia Tiroidea]],1)),0,1)</f>
        <v>0</v>
      </c>
      <c r="BC281" s="18">
        <f>IF(ISERROR(SEARCH("HASHIMOTO",Tabella1[[#This Row],[Patologia Tiroidea]],1)),0,1)</f>
        <v>0</v>
      </c>
      <c r="BD281" s="18">
        <f>IF(ISERROR(SEARCH("BASEDOW",Tabella1[[#This Row],[Patologia Tiroidea]],1)),0,1)</f>
        <v>0</v>
      </c>
      <c r="BE281" s="18">
        <f>IF(ISERROR(SEARCH("NOD",Tabella1[[#This Row],[Patologia Tiroidea]],1)),0,1)</f>
        <v>0</v>
      </c>
      <c r="BF281" s="18">
        <f>IF(ISERROR(SEARCH("GOZ",Tabella1[[#This Row],[Patologia Tiroidea]],1)),0,1)</f>
        <v>0</v>
      </c>
      <c r="BG281" s="11" t="s">
        <v>3249</v>
      </c>
      <c r="BH281" s="18">
        <f>IF(Tabella1[[#This Row],[Obesità]]="no",0,1)</f>
        <v>1</v>
      </c>
      <c r="BI281" s="11" t="s">
        <v>3158</v>
      </c>
      <c r="BJ281" s="22">
        <f>IF(ISERROR(SEARCH("nega",Tabella1[[#This Row],[Reflusso gastroesofageo]],1)),1,0)</f>
        <v>1</v>
      </c>
      <c r="BK281" s="11" t="s">
        <v>195</v>
      </c>
      <c r="BL281" s="18">
        <f>IF(ISERROR(SEARCH("NDD",Tabella1[[#This Row],[Patologia respiratoria]],1)),0,1)</f>
        <v>0</v>
      </c>
      <c r="BM281" s="18">
        <f>IF(ISERROR(SEARCH("asma",Tabella1[[#This Row],[Patologia respiratoria]],1)),0,1)</f>
        <v>0</v>
      </c>
      <c r="BN281" s="18">
        <f>IF(ISERROR(SEARCH("BPCO",Tabella1[[#This Row],[Patologia respiratoria]],1)),0,1)</f>
        <v>0</v>
      </c>
      <c r="BO281" s="18">
        <f>IF(ISERROR(SEARCH("BRONCOPOLMONITE",Tabella1[[#This Row],[Patologia respiratoria]],1)),0,1)</f>
        <v>0</v>
      </c>
      <c r="BP281" s="18">
        <f>IF(ISERROR(SEARCH("ASMA, OSAS",Tabella1[[#This Row],[Patologia respiratoria]],1)),0,1)</f>
        <v>0</v>
      </c>
      <c r="BQ281" s="18">
        <f>IF(ISERROR(SEARCH("OSAS e BPCO",Tabella1[[#This Row],[Patologia respiratoria]],1)),0,1)</f>
        <v>0</v>
      </c>
      <c r="BR281" s="18">
        <f>IF(ISERROR(SEARCH("OSAS",Tabella1[[#This Row],[Patologia respiratoria]],1)),0,1)</f>
        <v>0</v>
      </c>
      <c r="BS281" s="11" t="s">
        <v>3250</v>
      </c>
      <c r="BT281" s="11" t="s">
        <v>3251</v>
      </c>
      <c r="BU281" s="7" t="s">
        <v>5477</v>
      </c>
      <c r="BV281" s="17">
        <f>IF(ISERROR(SEARCH("ndd",Tabella1[[#This Row],[O2 terapia]],1)),0,1)</f>
        <v>1</v>
      </c>
      <c r="BW281" s="18"/>
      <c r="BX281" s="11"/>
      <c r="BY281" s="11" t="s">
        <v>2356</v>
      </c>
      <c r="BZ281" s="17">
        <v>1</v>
      </c>
      <c r="CA281" s="11" t="s">
        <v>3252</v>
      </c>
      <c r="CB281" s="17">
        <v>1</v>
      </c>
      <c r="CC281" s="11" t="s">
        <v>195</v>
      </c>
      <c r="CD281" s="18">
        <v>0</v>
      </c>
      <c r="CE281" s="11" t="s">
        <v>3253</v>
      </c>
      <c r="CF281" s="17">
        <v>1</v>
      </c>
      <c r="CG281" s="11" t="s">
        <v>195</v>
      </c>
      <c r="CH281" s="17">
        <v>0</v>
      </c>
      <c r="CI281" s="11" t="s">
        <v>3163</v>
      </c>
      <c r="CJ281" s="17">
        <v>1</v>
      </c>
      <c r="CK281" s="11" t="s">
        <v>195</v>
      </c>
      <c r="CL281" s="17">
        <v>0</v>
      </c>
      <c r="CM281" s="11" t="s">
        <v>195</v>
      </c>
      <c r="CN281" s="17">
        <v>0</v>
      </c>
      <c r="CO281" s="11" t="s">
        <v>3254</v>
      </c>
      <c r="CP281" s="17">
        <v>1</v>
      </c>
      <c r="CQ281" s="11" t="s">
        <v>69</v>
      </c>
      <c r="CR281" s="11" t="s">
        <v>3255</v>
      </c>
      <c r="CS281" s="11" t="s">
        <v>3256</v>
      </c>
      <c r="CT281" s="11" t="s">
        <v>3257</v>
      </c>
      <c r="CU281" s="11" t="s">
        <v>3258</v>
      </c>
      <c r="CV281" s="12" t="s">
        <v>3259</v>
      </c>
    </row>
    <row r="282" spans="1:100" ht="156.75">
      <c r="A282" s="1">
        <f t="shared" si="4"/>
        <v>281</v>
      </c>
      <c r="B282" s="5">
        <v>1656</v>
      </c>
      <c r="C282" s="6">
        <v>45593</v>
      </c>
      <c r="D282" s="7" t="s">
        <v>3260</v>
      </c>
      <c r="E282" s="6">
        <v>32693</v>
      </c>
      <c r="F282" s="29">
        <f ca="1">_xlfn.DAYS(NOW(),Tabella1[[#This Row],[Data di Nascita]])/365.25</f>
        <v>36.084873374401099</v>
      </c>
      <c r="G282" s="7" t="s">
        <v>3261</v>
      </c>
      <c r="H282" s="7" t="s">
        <v>3262</v>
      </c>
      <c r="I282" s="7" t="s">
        <v>1675</v>
      </c>
      <c r="J282" s="7" t="s">
        <v>3263</v>
      </c>
      <c r="K282" s="7" t="s">
        <v>881</v>
      </c>
      <c r="L282" s="17">
        <f>IF(ISERROR(SEARCH("EX",Tabella1[[#This Row],[Attività lavorativa]],1)),0,1)</f>
        <v>0</v>
      </c>
      <c r="M282" s="17"/>
      <c r="N282" s="17"/>
      <c r="O282" s="17"/>
      <c r="P282" s="17"/>
      <c r="Q282" s="17"/>
      <c r="R282" s="17"/>
      <c r="S282" s="17"/>
      <c r="T282" s="17">
        <f>IF(ISERROR(SEARCH("NDD",Tabella1[[#This Row],[Attività lavorativa]],1)),0,1)</f>
        <v>0</v>
      </c>
      <c r="U282" s="7" t="s">
        <v>195</v>
      </c>
      <c r="V282" s="22"/>
      <c r="W282" s="22">
        <f>IF(ISERROR(SEARCH("ex",Tabella1[[#This Row],[Fumo]],1)),0,1)</f>
        <v>0</v>
      </c>
      <c r="X282" s="22">
        <f>IF(ISERROR(SEARCH("no",Tabella1[[#This Row],[Fumo]],1)),0,1)</f>
        <v>1</v>
      </c>
      <c r="Y282" s="7" t="s">
        <v>25</v>
      </c>
      <c r="Z282" s="17">
        <f>IF(ISERROR(SEARCH("NDD",Tabella1[[#This Row],[Bevitore alcolici]],1)),0,1)</f>
        <v>0</v>
      </c>
      <c r="AA282" s="17">
        <f>IF(ISERROR(SEARCH("raro",Tabella1[[#This Row],[Bevitore alcolici]],1)),0,1)</f>
        <v>0</v>
      </c>
      <c r="AB282" s="17">
        <f>IF(ISERROR(SEARCH("saltuariamente",Tabella1[[#This Row],[Bevitore alcolici]],1)),0,1)</f>
        <v>0</v>
      </c>
      <c r="AC282" s="17">
        <f>IF(ISERROR(SEARCH("nega",Tabella1[[#This Row],[Bevitore alcolici]],1)),0,1)</f>
        <v>1</v>
      </c>
      <c r="AD282" s="17">
        <f>IF(ISERROR(SEARCH("potus",Tabella1[[#This Row],[Bevitore alcolici]],1)),0,1)</f>
        <v>0</v>
      </c>
      <c r="AE282" s="7" t="s">
        <v>5683</v>
      </c>
      <c r="AF282" s="17"/>
      <c r="AG282" s="17"/>
      <c r="AH282" s="17"/>
      <c r="AI282" s="17"/>
      <c r="AJ282" s="17"/>
      <c r="AK282" s="7" t="s">
        <v>194</v>
      </c>
      <c r="AL282" s="17">
        <f>IF(ISERROR(SEARCH("si",Tabella1[[#This Row],[Patente di guida]],1)),0,1)</f>
        <v>1</v>
      </c>
      <c r="AM282" s="7" t="s">
        <v>3264</v>
      </c>
      <c r="AN282" s="17">
        <f>IF(ISERROR(SEARCH("no",Tabella1[[#This Row],[Ipertensione]],1)),0,1)</f>
        <v>1</v>
      </c>
      <c r="AO282" s="7" t="s">
        <v>382</v>
      </c>
      <c r="AP282" s="18">
        <f>IF(ISERROR(SEARCH("NO",Tabella1[[#This Row],[Cardiopatia ischemica]],1)),1,0)</f>
        <v>0</v>
      </c>
      <c r="AQ282" s="17">
        <f>IF(ISERROR(SEARCH("sconosciuto",Tabella1[[#This Row],[Cardiopatia ischemica]],1)),0,1)</f>
        <v>0</v>
      </c>
      <c r="AR282" s="7" t="s">
        <v>25</v>
      </c>
      <c r="AS282" s="22">
        <f>IF(ISERROR(SEARCH("nega",Tabella1[[#This Row],[Artimie]],1)),0,1)</f>
        <v>1</v>
      </c>
      <c r="AT282" s="7" t="s">
        <v>3265</v>
      </c>
      <c r="AU282" s="22">
        <f>IF(ISERROR(SEARCH("nega",Tabella1[[#This Row],[Ipercolesterolemia]],1)),0,1)</f>
        <v>0</v>
      </c>
      <c r="AV282" s="22">
        <f>IF(ISERROR(SEARCH("boh",Tabella1[[#This Row],[Ipercolesterolemia]],1)),0,1)</f>
        <v>0</v>
      </c>
      <c r="AW282" s="7" t="s">
        <v>3264</v>
      </c>
      <c r="AX282" s="22">
        <f>IF(ISERROR(SEARCH("Intolleranza",Tabella1[[#This Row],[Diabete]],1)),0,1)</f>
        <v>0</v>
      </c>
      <c r="AY282" s="22">
        <f>IF(ISERROR(SEARCH("si",Tabella1[[#This Row],[Diabete]],1)),0,1)</f>
        <v>0</v>
      </c>
      <c r="AZ282" s="7" t="s">
        <v>195</v>
      </c>
      <c r="BA282" s="17">
        <f>IF(ISERROR(SEARCH("NDD",Tabella1[[#This Row],[Patologia Tiroidea]],1)),0,1)</f>
        <v>0</v>
      </c>
      <c r="BB282" s="22">
        <f>IF(ISERROR(SEARCH("TIROIDITE",Tabella1[[#This Row],[Patologia Tiroidea]],1)),0,1)</f>
        <v>0</v>
      </c>
      <c r="BC282" s="22">
        <f>IF(ISERROR(SEARCH("HASHIMOTO",Tabella1[[#This Row],[Patologia Tiroidea]],1)),0,1)</f>
        <v>0</v>
      </c>
      <c r="BD282" s="22">
        <f>IF(ISERROR(SEARCH("BASEDOW",Tabella1[[#This Row],[Patologia Tiroidea]],1)),0,1)</f>
        <v>0</v>
      </c>
      <c r="BE282" s="22">
        <f>IF(ISERROR(SEARCH("NOD",Tabella1[[#This Row],[Patologia Tiroidea]],1)),0,1)</f>
        <v>0</v>
      </c>
      <c r="BF282" s="22">
        <f>IF(ISERROR(SEARCH("GOZ",Tabella1[[#This Row],[Patologia Tiroidea]],1)),0,1)</f>
        <v>0</v>
      </c>
      <c r="BG282" s="7" t="s">
        <v>3266</v>
      </c>
      <c r="BH282" s="17">
        <f>IF(Tabella1[[#This Row],[Obesità]]="no",0,1)</f>
        <v>1</v>
      </c>
      <c r="BI282" s="7" t="s">
        <v>3158</v>
      </c>
      <c r="BJ282" s="22">
        <f>IF(ISERROR(SEARCH("nega",Tabella1[[#This Row],[Reflusso gastroesofageo]],1)),1,0)</f>
        <v>1</v>
      </c>
      <c r="BK282" s="7" t="s">
        <v>3267</v>
      </c>
      <c r="BL282" s="17">
        <f>IF(ISERROR(SEARCH("NDD",Tabella1[[#This Row],[Patologia respiratoria]],1)),0,1)</f>
        <v>0</v>
      </c>
      <c r="BM282" s="17">
        <f>IF(ISERROR(SEARCH("asma",Tabella1[[#This Row],[Patologia respiratoria]],1)),0,1)</f>
        <v>0</v>
      </c>
      <c r="BN282" s="17">
        <f>IF(ISERROR(SEARCH("BPCO",Tabella1[[#This Row],[Patologia respiratoria]],1)),0,1)</f>
        <v>0</v>
      </c>
      <c r="BO282" s="17">
        <f>IF(ISERROR(SEARCH("BRONCOPOLMONITE",Tabella1[[#This Row],[Patologia respiratoria]],1)),0,1)</f>
        <v>0</v>
      </c>
      <c r="BP282" s="17">
        <f>IF(ISERROR(SEARCH("ASMA, OSAS",Tabella1[[#This Row],[Patologia respiratoria]],1)),0,1)</f>
        <v>0</v>
      </c>
      <c r="BQ282" s="17">
        <f>IF(ISERROR(SEARCH("OSAS e BPCO",Tabella1[[#This Row],[Patologia respiratoria]],1)),0,1)</f>
        <v>0</v>
      </c>
      <c r="BR282" s="17">
        <f>IF(ISERROR(SEARCH("OSAS",Tabella1[[#This Row],[Patologia respiratoria]],1)),0,1)</f>
        <v>0</v>
      </c>
      <c r="BS282" s="7"/>
      <c r="BT282" s="7" t="s">
        <v>3268</v>
      </c>
      <c r="BU282" s="7" t="s">
        <v>195</v>
      </c>
      <c r="BV282" s="17">
        <f>IF(ISERROR(SEARCH("ndd",Tabella1[[#This Row],[O2 terapia]],1)),0,1)</f>
        <v>0</v>
      </c>
      <c r="BW282" s="17">
        <v>0</v>
      </c>
      <c r="BX282" s="7"/>
      <c r="BY282" s="7" t="s">
        <v>3269</v>
      </c>
      <c r="BZ282" s="17">
        <v>1</v>
      </c>
      <c r="CA282" s="7" t="s">
        <v>3270</v>
      </c>
      <c r="CB282" s="17">
        <v>1</v>
      </c>
      <c r="CC282" s="7" t="s">
        <v>3271</v>
      </c>
      <c r="CD282" s="17">
        <v>1</v>
      </c>
      <c r="CE282" s="7" t="s">
        <v>195</v>
      </c>
      <c r="CF282" s="18">
        <v>0</v>
      </c>
      <c r="CG282" s="7" t="s">
        <v>195</v>
      </c>
      <c r="CH282" s="17">
        <v>0</v>
      </c>
      <c r="CI282" s="7" t="s">
        <v>194</v>
      </c>
      <c r="CJ282" s="17">
        <v>1</v>
      </c>
      <c r="CK282" s="7" t="s">
        <v>3272</v>
      </c>
      <c r="CL282" s="17">
        <v>1</v>
      </c>
      <c r="CM282" s="7" t="s">
        <v>3273</v>
      </c>
      <c r="CN282" s="17">
        <v>0</v>
      </c>
      <c r="CO282" s="7" t="s">
        <v>2531</v>
      </c>
      <c r="CP282" s="17">
        <v>1</v>
      </c>
      <c r="CQ282" s="7" t="s">
        <v>368</v>
      </c>
      <c r="CR282" s="7" t="s">
        <v>507</v>
      </c>
      <c r="CS282" s="7"/>
      <c r="CT282" s="7"/>
      <c r="CU282" s="7" t="s">
        <v>3274</v>
      </c>
      <c r="CV282" s="8" t="s">
        <v>3275</v>
      </c>
    </row>
    <row r="283" spans="1:100">
      <c r="A283" s="1">
        <f t="shared" si="4"/>
        <v>282</v>
      </c>
      <c r="B283" s="9">
        <v>1663</v>
      </c>
      <c r="C283" s="10">
        <v>45602</v>
      </c>
      <c r="D283" s="11" t="s">
        <v>3276</v>
      </c>
      <c r="E283" s="10">
        <v>24993</v>
      </c>
      <c r="F283" s="29">
        <f ca="1">_xlfn.DAYS(NOW(),Tabella1[[#This Row],[Data di Nascita]])/365.25</f>
        <v>57.166324435318273</v>
      </c>
      <c r="G283" s="11" t="s">
        <v>3277</v>
      </c>
      <c r="H283" s="11" t="s">
        <v>3278</v>
      </c>
      <c r="I283" s="11" t="s">
        <v>3279</v>
      </c>
      <c r="J283" s="11" t="s">
        <v>618</v>
      </c>
      <c r="K283" s="11" t="s">
        <v>3280</v>
      </c>
      <c r="L283" s="18">
        <f>IF(ISERROR(SEARCH("EX",Tabella1[[#This Row],[Attività lavorativa]],1)),0,1)</f>
        <v>0</v>
      </c>
      <c r="M283" s="18"/>
      <c r="N283" s="18"/>
      <c r="O283" s="18">
        <v>1</v>
      </c>
      <c r="P283" s="18"/>
      <c r="Q283" s="18"/>
      <c r="R283" s="18"/>
      <c r="S283" s="18"/>
      <c r="T283" s="17">
        <f>IF(ISERROR(SEARCH("NDD",Tabella1[[#This Row],[Attività lavorativa]],1)),0,1)</f>
        <v>0</v>
      </c>
      <c r="U283" s="11" t="s">
        <v>8</v>
      </c>
      <c r="V283" s="22"/>
      <c r="W283" s="22">
        <f>IF(ISERROR(SEARCH("ex",Tabella1[[#This Row],[Fumo]],1)),0,1)</f>
        <v>0</v>
      </c>
      <c r="X283" s="22">
        <f>IF(ISERROR(SEARCH("no",Tabella1[[#This Row],[Fumo]],1)),0,1)</f>
        <v>1</v>
      </c>
      <c r="Y283" s="11" t="s">
        <v>26</v>
      </c>
      <c r="Z283" s="18">
        <f>IF(ISERROR(SEARCH("NDD",Tabella1[[#This Row],[Bevitore alcolici]],1)),0,1)</f>
        <v>0</v>
      </c>
      <c r="AA283" s="17">
        <f>IF(ISERROR(SEARCH("raro",Tabella1[[#This Row],[Bevitore alcolici]],1)),0,1)</f>
        <v>0</v>
      </c>
      <c r="AB283" s="17">
        <f>IF(ISERROR(SEARCH("saltuariamente",Tabella1[[#This Row],[Bevitore alcolici]],1)),0,1)</f>
        <v>1</v>
      </c>
      <c r="AC283" s="17">
        <f>IF(ISERROR(SEARCH("nega",Tabella1[[#This Row],[Bevitore alcolici]],1)),0,1)</f>
        <v>0</v>
      </c>
      <c r="AD283" s="17">
        <f>IF(ISERROR(SEARCH("potus",Tabella1[[#This Row],[Bevitore alcolici]],1)),0,1)</f>
        <v>0</v>
      </c>
      <c r="AE283" s="11" t="s">
        <v>3281</v>
      </c>
      <c r="AF283" s="18"/>
      <c r="AG283" s="18">
        <v>1</v>
      </c>
      <c r="AH283" s="18"/>
      <c r="AI283" s="18">
        <v>1</v>
      </c>
      <c r="AJ283" s="18"/>
      <c r="AK283" s="11" t="s">
        <v>194</v>
      </c>
      <c r="AL283" s="18">
        <f>IF(ISERROR(SEARCH("si",Tabella1[[#This Row],[Patente di guida]],1)),0,1)</f>
        <v>1</v>
      </c>
      <c r="AM283" s="11" t="s">
        <v>28</v>
      </c>
      <c r="AN283" s="18">
        <f>IF(ISERROR(SEARCH("no",Tabella1[[#This Row],[Ipertensione]],1)),0,1)</f>
        <v>0</v>
      </c>
      <c r="AO283" s="11" t="s">
        <v>382</v>
      </c>
      <c r="AP283" s="18">
        <f>IF(ISERROR(SEARCH("NO",Tabella1[[#This Row],[Cardiopatia ischemica]],1)),1,0)</f>
        <v>0</v>
      </c>
      <c r="AQ283" s="17">
        <f>IF(ISERROR(SEARCH("sconosciuto",Tabella1[[#This Row],[Cardiopatia ischemica]],1)),0,1)</f>
        <v>0</v>
      </c>
      <c r="AR283" s="11" t="s">
        <v>3282</v>
      </c>
      <c r="AS283" s="22">
        <f>IF(ISERROR(SEARCH("nega",Tabella1[[#This Row],[Artimie]],1)),0,1)</f>
        <v>0</v>
      </c>
      <c r="AT283" s="11" t="s">
        <v>25</v>
      </c>
      <c r="AU283" s="22">
        <f>IF(ISERROR(SEARCH("nega",Tabella1[[#This Row],[Ipercolesterolemia]],1)),0,1)</f>
        <v>1</v>
      </c>
      <c r="AV283" s="22">
        <f>IF(ISERROR(SEARCH("boh",Tabella1[[#This Row],[Ipercolesterolemia]],1)),0,1)</f>
        <v>0</v>
      </c>
      <c r="AW283" s="11" t="s">
        <v>195</v>
      </c>
      <c r="AX283" s="22">
        <f>IF(ISERROR(SEARCH("Intolleranza",Tabella1[[#This Row],[Diabete]],1)),0,1)</f>
        <v>0</v>
      </c>
      <c r="AY283" s="22">
        <f>IF(ISERROR(SEARCH("si",Tabella1[[#This Row],[Diabete]],1)),0,1)</f>
        <v>0</v>
      </c>
      <c r="AZ283" s="11" t="s">
        <v>195</v>
      </c>
      <c r="BA283" s="18">
        <f>IF(ISERROR(SEARCH("NDD",Tabella1[[#This Row],[Patologia Tiroidea]],1)),0,1)</f>
        <v>0</v>
      </c>
      <c r="BB283" s="22">
        <f>IF(ISERROR(SEARCH("TIROIDITE",Tabella1[[#This Row],[Patologia Tiroidea]],1)),0,1)</f>
        <v>0</v>
      </c>
      <c r="BC283" s="22">
        <f>IF(ISERROR(SEARCH("HASHIMOTO",Tabella1[[#This Row],[Patologia Tiroidea]],1)),0,1)</f>
        <v>0</v>
      </c>
      <c r="BD283" s="22">
        <f>IF(ISERROR(SEARCH("BASEDOW",Tabella1[[#This Row],[Patologia Tiroidea]],1)),0,1)</f>
        <v>0</v>
      </c>
      <c r="BE283" s="22">
        <f>IF(ISERROR(SEARCH("NOD",Tabella1[[#This Row],[Patologia Tiroidea]],1)),0,1)</f>
        <v>0</v>
      </c>
      <c r="BF283" s="22">
        <f>IF(ISERROR(SEARCH("GOZ",Tabella1[[#This Row],[Patologia Tiroidea]],1)),0,1)</f>
        <v>0</v>
      </c>
      <c r="BG283" s="11" t="s">
        <v>8</v>
      </c>
      <c r="BH283" s="18">
        <f>IF(Tabella1[[#This Row],[Obesità]]="no",0,1)</f>
        <v>0</v>
      </c>
      <c r="BI283" s="11" t="s">
        <v>25</v>
      </c>
      <c r="BJ283" s="22">
        <f>IF(ISERROR(SEARCH("nega",Tabella1[[#This Row],[Reflusso gastroesofageo]],1)),1,0)</f>
        <v>0</v>
      </c>
      <c r="BK283" s="11" t="s">
        <v>195</v>
      </c>
      <c r="BL283" s="18">
        <f>IF(ISERROR(SEARCH("NDD",Tabella1[[#This Row],[Patologia respiratoria]],1)),0,1)</f>
        <v>0</v>
      </c>
      <c r="BM283" s="18">
        <f>IF(ISERROR(SEARCH("asma",Tabella1[[#This Row],[Patologia respiratoria]],1)),0,1)</f>
        <v>0</v>
      </c>
      <c r="BN283" s="18">
        <f>IF(ISERROR(SEARCH("BPCO",Tabella1[[#This Row],[Patologia respiratoria]],1)),0,1)</f>
        <v>0</v>
      </c>
      <c r="BO283" s="18">
        <f>IF(ISERROR(SEARCH("BRONCOPOLMONITE",Tabella1[[#This Row],[Patologia respiratoria]],1)),0,1)</f>
        <v>0</v>
      </c>
      <c r="BP283" s="18">
        <f>IF(ISERROR(SEARCH("ASMA, OSAS",Tabella1[[#This Row],[Patologia respiratoria]],1)),0,1)</f>
        <v>0</v>
      </c>
      <c r="BQ283" s="18">
        <f>IF(ISERROR(SEARCH("OSAS e BPCO",Tabella1[[#This Row],[Patologia respiratoria]],1)),0,1)</f>
        <v>0</v>
      </c>
      <c r="BR283" s="18">
        <f>IF(ISERROR(SEARCH("OSAS",Tabella1[[#This Row],[Patologia respiratoria]],1)),0,1)</f>
        <v>0</v>
      </c>
      <c r="BS283" s="11" t="s">
        <v>195</v>
      </c>
      <c r="BT283" s="11" t="s">
        <v>3283</v>
      </c>
      <c r="BU283" s="11" t="s">
        <v>195</v>
      </c>
      <c r="BV283" s="18">
        <f>IF(ISERROR(SEARCH("ndd",Tabella1[[#This Row],[O2 terapia]],1)),0,1)</f>
        <v>0</v>
      </c>
      <c r="BW283" s="17">
        <v>0</v>
      </c>
      <c r="BX283" s="11" t="s">
        <v>195</v>
      </c>
      <c r="BY283" s="11" t="s">
        <v>195</v>
      </c>
      <c r="BZ283" s="18">
        <v>0</v>
      </c>
      <c r="CA283" s="11" t="s">
        <v>194</v>
      </c>
      <c r="CB283" s="17">
        <v>1</v>
      </c>
      <c r="CC283" s="11" t="s">
        <v>195</v>
      </c>
      <c r="CD283" s="18">
        <v>0</v>
      </c>
      <c r="CE283" s="11" t="s">
        <v>195</v>
      </c>
      <c r="CF283" s="18">
        <v>0</v>
      </c>
      <c r="CG283" s="11" t="s">
        <v>195</v>
      </c>
      <c r="CH283" s="17">
        <v>0</v>
      </c>
      <c r="CI283" s="11" t="s">
        <v>195</v>
      </c>
      <c r="CJ283" s="18">
        <v>0</v>
      </c>
      <c r="CK283" s="11" t="s">
        <v>195</v>
      </c>
      <c r="CL283" s="17">
        <v>0</v>
      </c>
      <c r="CM283" s="11" t="s">
        <v>194</v>
      </c>
      <c r="CN283" s="17">
        <v>1</v>
      </c>
      <c r="CO283" s="11" t="s">
        <v>195</v>
      </c>
      <c r="CP283" s="18">
        <v>0</v>
      </c>
      <c r="CQ283" s="11" t="s">
        <v>368</v>
      </c>
      <c r="CR283" s="11" t="s">
        <v>663</v>
      </c>
      <c r="CS283" s="11" t="s">
        <v>355</v>
      </c>
      <c r="CT283" s="11" t="s">
        <v>38</v>
      </c>
      <c r="CU283" s="11"/>
      <c r="CV283" s="12"/>
    </row>
    <row r="284" spans="1:100" ht="42.75">
      <c r="A284" s="1">
        <f t="shared" si="4"/>
        <v>283</v>
      </c>
      <c r="B284" s="5">
        <v>1669</v>
      </c>
      <c r="C284" s="6">
        <v>45609</v>
      </c>
      <c r="D284" s="7" t="s">
        <v>3284</v>
      </c>
      <c r="E284" s="6">
        <v>29660</v>
      </c>
      <c r="F284" s="29">
        <f ca="1">_xlfn.DAYS(NOW(),Tabella1[[#This Row],[Data di Nascita]])/365.25</f>
        <v>44.388774811772755</v>
      </c>
      <c r="G284" s="7" t="s">
        <v>3285</v>
      </c>
      <c r="H284" s="7" t="s">
        <v>3286</v>
      </c>
      <c r="I284" s="7" t="s">
        <v>2732</v>
      </c>
      <c r="J284" s="7" t="s">
        <v>3287</v>
      </c>
      <c r="K284" s="7" t="s">
        <v>3288</v>
      </c>
      <c r="L284" s="17">
        <f>IF(ISERROR(SEARCH("EX",Tabella1[[#This Row],[Attività lavorativa]],1)),0,1)</f>
        <v>0</v>
      </c>
      <c r="M284" s="17"/>
      <c r="N284" s="17">
        <v>1</v>
      </c>
      <c r="O284" s="17"/>
      <c r="P284" s="17"/>
      <c r="Q284" s="17"/>
      <c r="R284" s="17"/>
      <c r="S284" s="17"/>
      <c r="T284" s="17">
        <f>IF(ISERROR(SEARCH("NDD",Tabella1[[#This Row],[Attività lavorativa]],1)),0,1)</f>
        <v>0</v>
      </c>
      <c r="U284" s="7" t="s">
        <v>8</v>
      </c>
      <c r="V284" s="22"/>
      <c r="W284" s="22">
        <f>IF(ISERROR(SEARCH("ex",Tabella1[[#This Row],[Fumo]],1)),0,1)</f>
        <v>0</v>
      </c>
      <c r="X284" s="22">
        <f>IF(ISERROR(SEARCH("no",Tabella1[[#This Row],[Fumo]],1)),0,1)</f>
        <v>1</v>
      </c>
      <c r="Y284" s="7" t="s">
        <v>25</v>
      </c>
      <c r="Z284" s="17">
        <f>IF(ISERROR(SEARCH("NDD",Tabella1[[#This Row],[Bevitore alcolici]],1)),0,1)</f>
        <v>0</v>
      </c>
      <c r="AA284" s="17">
        <f>IF(ISERROR(SEARCH("raro",Tabella1[[#This Row],[Bevitore alcolici]],1)),0,1)</f>
        <v>0</v>
      </c>
      <c r="AB284" s="17">
        <f>IF(ISERROR(SEARCH("saltuariamente",Tabella1[[#This Row],[Bevitore alcolici]],1)),0,1)</f>
        <v>0</v>
      </c>
      <c r="AC284" s="17">
        <f>IF(ISERROR(SEARCH("nega",Tabella1[[#This Row],[Bevitore alcolici]],1)),0,1)</f>
        <v>1</v>
      </c>
      <c r="AD284" s="17">
        <f>IF(ISERROR(SEARCH("potus",Tabella1[[#This Row],[Bevitore alcolici]],1)),0,1)</f>
        <v>0</v>
      </c>
      <c r="AE284" s="7" t="s">
        <v>657</v>
      </c>
      <c r="AF284" s="17"/>
      <c r="AG284" s="17"/>
      <c r="AH284" s="17"/>
      <c r="AI284" s="17"/>
      <c r="AJ284" s="17"/>
      <c r="AK284" s="7" t="s">
        <v>28</v>
      </c>
      <c r="AL284" s="17">
        <f>IF(ISERROR(SEARCH("si",Tabella1[[#This Row],[Patente di guida]],1)),0,1)</f>
        <v>1</v>
      </c>
      <c r="AM284" s="7" t="s">
        <v>8</v>
      </c>
      <c r="AN284" s="17">
        <f>IF(ISERROR(SEARCH("no",Tabella1[[#This Row],[Ipertensione]],1)),0,1)</f>
        <v>1</v>
      </c>
      <c r="AO284" s="7" t="s">
        <v>382</v>
      </c>
      <c r="AP284" s="18">
        <f>IF(ISERROR(SEARCH("NO",Tabella1[[#This Row],[Cardiopatia ischemica]],1)),1,0)</f>
        <v>0</v>
      </c>
      <c r="AQ284" s="17">
        <f>IF(ISERROR(SEARCH("sconosciuto",Tabella1[[#This Row],[Cardiopatia ischemica]],1)),0,1)</f>
        <v>0</v>
      </c>
      <c r="AR284" s="7" t="s">
        <v>25</v>
      </c>
      <c r="AS284" s="22">
        <f>IF(ISERROR(SEARCH("nega",Tabella1[[#This Row],[Artimie]],1)),0,1)</f>
        <v>1</v>
      </c>
      <c r="AT284" s="7" t="s">
        <v>25</v>
      </c>
      <c r="AU284" s="22">
        <f>IF(ISERROR(SEARCH("nega",Tabella1[[#This Row],[Ipercolesterolemia]],1)),0,1)</f>
        <v>1</v>
      </c>
      <c r="AV284" s="22">
        <f>IF(ISERROR(SEARCH("boh",Tabella1[[#This Row],[Ipercolesterolemia]],1)),0,1)</f>
        <v>0</v>
      </c>
      <c r="AW284" s="7" t="s">
        <v>8</v>
      </c>
      <c r="AX284" s="22">
        <f>IF(ISERROR(SEARCH("Intolleranza",Tabella1[[#This Row],[Diabete]],1)),0,1)</f>
        <v>0</v>
      </c>
      <c r="AY284" s="22">
        <f>IF(ISERROR(SEARCH("si",Tabella1[[#This Row],[Diabete]],1)),0,1)</f>
        <v>0</v>
      </c>
      <c r="AZ284" s="7" t="s">
        <v>8</v>
      </c>
      <c r="BA284" s="17">
        <f>IF(ISERROR(SEARCH("NDD",Tabella1[[#This Row],[Patologia Tiroidea]],1)),0,1)</f>
        <v>0</v>
      </c>
      <c r="BB284" s="22">
        <f>IF(ISERROR(SEARCH("TIROIDITE",Tabella1[[#This Row],[Patologia Tiroidea]],1)),0,1)</f>
        <v>0</v>
      </c>
      <c r="BC284" s="22">
        <f>IF(ISERROR(SEARCH("HASHIMOTO",Tabella1[[#This Row],[Patologia Tiroidea]],1)),0,1)</f>
        <v>0</v>
      </c>
      <c r="BD284" s="22">
        <f>IF(ISERROR(SEARCH("BASEDOW",Tabella1[[#This Row],[Patologia Tiroidea]],1)),0,1)</f>
        <v>0</v>
      </c>
      <c r="BE284" s="22">
        <f>IF(ISERROR(SEARCH("NOD",Tabella1[[#This Row],[Patologia Tiroidea]],1)),0,1)</f>
        <v>0</v>
      </c>
      <c r="BF284" s="22">
        <f>IF(ISERROR(SEARCH("GOZ",Tabella1[[#This Row],[Patologia Tiroidea]],1)),0,1)</f>
        <v>0</v>
      </c>
      <c r="BG284" s="7" t="s">
        <v>8</v>
      </c>
      <c r="BH284" s="17">
        <f>IF(Tabella1[[#This Row],[Obesità]]="no",0,1)</f>
        <v>0</v>
      </c>
      <c r="BI284" s="7" t="s">
        <v>25</v>
      </c>
      <c r="BJ284" s="22">
        <f>IF(ISERROR(SEARCH("nega",Tabella1[[#This Row],[Reflusso gastroesofageo]],1)),1,0)</f>
        <v>0</v>
      </c>
      <c r="BK284" s="7" t="s">
        <v>8</v>
      </c>
      <c r="BL284" s="17">
        <f>IF(ISERROR(SEARCH("NDD",Tabella1[[#This Row],[Patologia respiratoria]],1)),0,1)</f>
        <v>0</v>
      </c>
      <c r="BM284" s="17">
        <f>IF(ISERROR(SEARCH("asma",Tabella1[[#This Row],[Patologia respiratoria]],1)),0,1)</f>
        <v>0</v>
      </c>
      <c r="BN284" s="17">
        <f>IF(ISERROR(SEARCH("BPCO",Tabella1[[#This Row],[Patologia respiratoria]],1)),0,1)</f>
        <v>0</v>
      </c>
      <c r="BO284" s="17">
        <f>IF(ISERROR(SEARCH("BRONCOPOLMONITE",Tabella1[[#This Row],[Patologia respiratoria]],1)),0,1)</f>
        <v>0</v>
      </c>
      <c r="BP284" s="17">
        <f>IF(ISERROR(SEARCH("ASMA, OSAS",Tabella1[[#This Row],[Patologia respiratoria]],1)),0,1)</f>
        <v>0</v>
      </c>
      <c r="BQ284" s="17">
        <f>IF(ISERROR(SEARCH("OSAS e BPCO",Tabella1[[#This Row],[Patologia respiratoria]],1)),0,1)</f>
        <v>0</v>
      </c>
      <c r="BR284" s="17">
        <f>IF(ISERROR(SEARCH("OSAS",Tabella1[[#This Row],[Patologia respiratoria]],1)),0,1)</f>
        <v>0</v>
      </c>
      <c r="BS284" s="7" t="s">
        <v>8</v>
      </c>
      <c r="BT284" s="7" t="s">
        <v>8</v>
      </c>
      <c r="BU284" s="7" t="s">
        <v>8</v>
      </c>
      <c r="BV284" s="17">
        <f>IF(ISERROR(SEARCH("ndd",Tabella1[[#This Row],[O2 terapia]],1)),0,1)</f>
        <v>0</v>
      </c>
      <c r="BW284" s="17">
        <v>0</v>
      </c>
      <c r="BX284" s="7" t="s">
        <v>8</v>
      </c>
      <c r="BY284" s="7" t="s">
        <v>28</v>
      </c>
      <c r="BZ284" s="17">
        <v>1</v>
      </c>
      <c r="CA284" s="7" t="s">
        <v>28</v>
      </c>
      <c r="CB284" s="17">
        <v>1</v>
      </c>
      <c r="CC284" s="7" t="s">
        <v>3289</v>
      </c>
      <c r="CD284" s="17">
        <v>1</v>
      </c>
      <c r="CE284" s="7" t="s">
        <v>8</v>
      </c>
      <c r="CF284" s="18">
        <v>0</v>
      </c>
      <c r="CG284" s="7" t="s">
        <v>8</v>
      </c>
      <c r="CH284" s="17">
        <v>0</v>
      </c>
      <c r="CI284" s="7" t="s">
        <v>8</v>
      </c>
      <c r="CJ284" s="18">
        <v>0</v>
      </c>
      <c r="CK284" s="7" t="s">
        <v>8</v>
      </c>
      <c r="CL284" s="17">
        <v>0</v>
      </c>
      <c r="CM284" s="7" t="s">
        <v>8</v>
      </c>
      <c r="CN284" s="17">
        <v>0</v>
      </c>
      <c r="CO284" s="7" t="s">
        <v>272</v>
      </c>
      <c r="CP284" s="17">
        <v>1</v>
      </c>
      <c r="CQ284" s="7" t="s">
        <v>85</v>
      </c>
      <c r="CR284" s="7" t="s">
        <v>3290</v>
      </c>
      <c r="CS284" s="7" t="s">
        <v>71</v>
      </c>
      <c r="CT284" s="7" t="s">
        <v>38</v>
      </c>
      <c r="CU284" s="7" t="s">
        <v>3291</v>
      </c>
      <c r="CV284" s="8" t="s">
        <v>3292</v>
      </c>
    </row>
    <row r="285" spans="1:100" ht="42.75">
      <c r="A285" s="1">
        <f t="shared" si="4"/>
        <v>284</v>
      </c>
      <c r="B285" s="9">
        <v>1672</v>
      </c>
      <c r="C285" s="10">
        <v>45610</v>
      </c>
      <c r="D285" s="11" t="s">
        <v>3293</v>
      </c>
      <c r="E285" s="10">
        <v>26582</v>
      </c>
      <c r="F285" s="29">
        <f ca="1">_xlfn.DAYS(NOW(),Tabella1[[#This Row],[Data di Nascita]])/365.25</f>
        <v>52.815879534565369</v>
      </c>
      <c r="G285" s="11" t="s">
        <v>3294</v>
      </c>
      <c r="H285" s="11" t="s">
        <v>3295</v>
      </c>
      <c r="I285" s="11" t="s">
        <v>3296</v>
      </c>
      <c r="J285" s="11" t="s">
        <v>1700</v>
      </c>
      <c r="K285" s="11" t="s">
        <v>3297</v>
      </c>
      <c r="L285" s="18">
        <f>IF(ISERROR(SEARCH("EX",Tabella1[[#This Row],[Attività lavorativa]],1)),0,1)</f>
        <v>0</v>
      </c>
      <c r="M285" s="18"/>
      <c r="N285" s="18"/>
      <c r="O285" s="18"/>
      <c r="P285" s="18"/>
      <c r="Q285" s="18"/>
      <c r="R285" s="18"/>
      <c r="S285" s="18"/>
      <c r="T285" s="17">
        <f>IF(ISERROR(SEARCH("NDD",Tabella1[[#This Row],[Attività lavorativa]],1)),0,1)</f>
        <v>0</v>
      </c>
      <c r="U285" s="11" t="s">
        <v>3298</v>
      </c>
      <c r="V285" s="22">
        <v>30</v>
      </c>
      <c r="W285" s="22">
        <f>IF(ISERROR(SEARCH("ex",Tabella1[[#This Row],[Fumo]],1)),0,1)</f>
        <v>0</v>
      </c>
      <c r="X285" s="22">
        <f>IF(ISERROR(SEARCH("no",Tabella1[[#This Row],[Fumo]],1)),0,1)</f>
        <v>0</v>
      </c>
      <c r="Y285" s="11" t="s">
        <v>3299</v>
      </c>
      <c r="Z285" s="18">
        <f>IF(ISERROR(SEARCH("NDD",Tabella1[[#This Row],[Bevitore alcolici]],1)),0,1)</f>
        <v>0</v>
      </c>
      <c r="AA285" s="17">
        <f>IF(ISERROR(SEARCH("raro",Tabella1[[#This Row],[Bevitore alcolici]],1)),0,1)</f>
        <v>0</v>
      </c>
      <c r="AB285" s="17">
        <f>IF(ISERROR(SEARCH("saltuariamente",Tabella1[[#This Row],[Bevitore alcolici]],1)),0,1)</f>
        <v>0</v>
      </c>
      <c r="AC285" s="17">
        <f>IF(ISERROR(SEARCH("nega",Tabella1[[#This Row],[Bevitore alcolici]],1)),0,1)</f>
        <v>0</v>
      </c>
      <c r="AD285" s="17">
        <f>IF(ISERROR(SEARCH("potus",Tabella1[[#This Row],[Bevitore alcolici]],1)),0,1)</f>
        <v>0</v>
      </c>
      <c r="AE285" s="11" t="s">
        <v>657</v>
      </c>
      <c r="AF285" s="18"/>
      <c r="AG285" s="18"/>
      <c r="AH285" s="18"/>
      <c r="AI285" s="18"/>
      <c r="AJ285" s="18"/>
      <c r="AK285" s="11" t="s">
        <v>194</v>
      </c>
      <c r="AL285" s="18">
        <f>IF(ISERROR(SEARCH("si",Tabella1[[#This Row],[Patente di guida]],1)),0,1)</f>
        <v>1</v>
      </c>
      <c r="AM285" s="11" t="s">
        <v>28</v>
      </c>
      <c r="AN285" s="18">
        <f>IF(ISERROR(SEARCH("no",Tabella1[[#This Row],[Ipertensione]],1)),0,1)</f>
        <v>0</v>
      </c>
      <c r="AO285" s="11" t="s">
        <v>382</v>
      </c>
      <c r="AP285" s="18">
        <f>IF(ISERROR(SEARCH("NO",Tabella1[[#This Row],[Cardiopatia ischemica]],1)),1,0)</f>
        <v>0</v>
      </c>
      <c r="AQ285" s="17">
        <f>IF(ISERROR(SEARCH("sconosciuto",Tabella1[[#This Row],[Cardiopatia ischemica]],1)),0,1)</f>
        <v>0</v>
      </c>
      <c r="AR285" s="11" t="s">
        <v>25</v>
      </c>
      <c r="AS285" s="22">
        <f>IF(ISERROR(SEARCH("nega",Tabella1[[#This Row],[Artimie]],1)),0,1)</f>
        <v>1</v>
      </c>
      <c r="AT285" s="11" t="s">
        <v>25</v>
      </c>
      <c r="AU285" s="22">
        <f>IF(ISERROR(SEARCH("nega",Tabella1[[#This Row],[Ipercolesterolemia]],1)),0,1)</f>
        <v>1</v>
      </c>
      <c r="AV285" s="22">
        <f>IF(ISERROR(SEARCH("boh",Tabella1[[#This Row],[Ipercolesterolemia]],1)),0,1)</f>
        <v>0</v>
      </c>
      <c r="AW285" s="11" t="s">
        <v>195</v>
      </c>
      <c r="AX285" s="22">
        <f>IF(ISERROR(SEARCH("Intolleranza",Tabella1[[#This Row],[Diabete]],1)),0,1)</f>
        <v>0</v>
      </c>
      <c r="AY285" s="22">
        <f>IF(ISERROR(SEARCH("si",Tabella1[[#This Row],[Diabete]],1)),0,1)</f>
        <v>0</v>
      </c>
      <c r="AZ285" s="11" t="s">
        <v>195</v>
      </c>
      <c r="BA285" s="18">
        <f>IF(ISERROR(SEARCH("NDD",Tabella1[[#This Row],[Patologia Tiroidea]],1)),0,1)</f>
        <v>0</v>
      </c>
      <c r="BB285" s="22">
        <f>IF(ISERROR(SEARCH("TIROIDITE",Tabella1[[#This Row],[Patologia Tiroidea]],1)),0,1)</f>
        <v>0</v>
      </c>
      <c r="BC285" s="22">
        <f>IF(ISERROR(SEARCH("HASHIMOTO",Tabella1[[#This Row],[Patologia Tiroidea]],1)),0,1)</f>
        <v>0</v>
      </c>
      <c r="BD285" s="22">
        <f>IF(ISERROR(SEARCH("BASEDOW",Tabella1[[#This Row],[Patologia Tiroidea]],1)),0,1)</f>
        <v>0</v>
      </c>
      <c r="BE285" s="22">
        <f>IF(ISERROR(SEARCH("NOD",Tabella1[[#This Row],[Patologia Tiroidea]],1)),0,1)</f>
        <v>0</v>
      </c>
      <c r="BF285" s="22">
        <f>IF(ISERROR(SEARCH("GOZ",Tabella1[[#This Row],[Patologia Tiroidea]],1)),0,1)</f>
        <v>0</v>
      </c>
      <c r="BG285" s="11" t="s">
        <v>8</v>
      </c>
      <c r="BH285" s="18">
        <f>IF(Tabella1[[#This Row],[Obesità]]="no",0,1)</f>
        <v>0</v>
      </c>
      <c r="BI285" s="11" t="s">
        <v>194</v>
      </c>
      <c r="BJ285" s="22">
        <f>IF(ISERROR(SEARCH("nega",Tabella1[[#This Row],[Reflusso gastroesofageo]],1)),1,0)</f>
        <v>1</v>
      </c>
      <c r="BK285" s="11" t="s">
        <v>195</v>
      </c>
      <c r="BL285" s="18">
        <f>IF(ISERROR(SEARCH("NDD",Tabella1[[#This Row],[Patologia respiratoria]],1)),0,1)</f>
        <v>0</v>
      </c>
      <c r="BM285" s="18">
        <f>IF(ISERROR(SEARCH("asma",Tabella1[[#This Row],[Patologia respiratoria]],1)),0,1)</f>
        <v>0</v>
      </c>
      <c r="BN285" s="18">
        <f>IF(ISERROR(SEARCH("BPCO",Tabella1[[#This Row],[Patologia respiratoria]],1)),0,1)</f>
        <v>0</v>
      </c>
      <c r="BO285" s="18">
        <f>IF(ISERROR(SEARCH("BRONCOPOLMONITE",Tabella1[[#This Row],[Patologia respiratoria]],1)),0,1)</f>
        <v>0</v>
      </c>
      <c r="BP285" s="18">
        <f>IF(ISERROR(SEARCH("ASMA, OSAS",Tabella1[[#This Row],[Patologia respiratoria]],1)),0,1)</f>
        <v>0</v>
      </c>
      <c r="BQ285" s="18">
        <f>IF(ISERROR(SEARCH("OSAS e BPCO",Tabella1[[#This Row],[Patologia respiratoria]],1)),0,1)</f>
        <v>0</v>
      </c>
      <c r="BR285" s="18">
        <f>IF(ISERROR(SEARCH("OSAS",Tabella1[[#This Row],[Patologia respiratoria]],1)),0,1)</f>
        <v>0</v>
      </c>
      <c r="BS285" s="11" t="s">
        <v>3300</v>
      </c>
      <c r="BT285" s="11" t="s">
        <v>195</v>
      </c>
      <c r="BU285" s="11" t="s">
        <v>195</v>
      </c>
      <c r="BV285" s="18">
        <f>IF(ISERROR(SEARCH("ndd",Tabella1[[#This Row],[O2 terapia]],1)),0,1)</f>
        <v>0</v>
      </c>
      <c r="BW285" s="17">
        <v>0</v>
      </c>
      <c r="BX285" s="11" t="s">
        <v>195</v>
      </c>
      <c r="BY285" s="11" t="s">
        <v>194</v>
      </c>
      <c r="BZ285" s="17">
        <v>1</v>
      </c>
      <c r="CA285" s="11" t="s">
        <v>194</v>
      </c>
      <c r="CB285" s="17">
        <v>1</v>
      </c>
      <c r="CC285" s="11" t="s">
        <v>195</v>
      </c>
      <c r="CD285" s="18">
        <v>0</v>
      </c>
      <c r="CE285" s="11" t="s">
        <v>195</v>
      </c>
      <c r="CF285" s="18">
        <v>0</v>
      </c>
      <c r="CG285" s="11" t="s">
        <v>194</v>
      </c>
      <c r="CH285" s="17">
        <v>1</v>
      </c>
      <c r="CI285" s="11" t="s">
        <v>195</v>
      </c>
      <c r="CJ285" s="18">
        <v>0</v>
      </c>
      <c r="CK285" s="11" t="s">
        <v>195</v>
      </c>
      <c r="CL285" s="17">
        <v>0</v>
      </c>
      <c r="CM285" s="11" t="s">
        <v>194</v>
      </c>
      <c r="CN285" s="17">
        <v>1</v>
      </c>
      <c r="CO285" s="11" t="s">
        <v>195</v>
      </c>
      <c r="CP285" s="18">
        <v>0</v>
      </c>
      <c r="CQ285" s="11" t="s">
        <v>85</v>
      </c>
      <c r="CR285" s="11" t="s">
        <v>3301</v>
      </c>
      <c r="CS285" s="11"/>
      <c r="CT285" s="11"/>
      <c r="CU285" s="11"/>
      <c r="CV285" s="12"/>
    </row>
    <row r="286" spans="1:100">
      <c r="A286" s="1">
        <f t="shared" si="4"/>
        <v>285</v>
      </c>
      <c r="B286" s="5">
        <v>1683</v>
      </c>
      <c r="C286" s="6">
        <v>45616</v>
      </c>
      <c r="D286" s="7" t="s">
        <v>3302</v>
      </c>
      <c r="E286" s="6">
        <v>30455</v>
      </c>
      <c r="F286" s="29">
        <f ca="1">_xlfn.DAYS(NOW(),Tabella1[[#This Row],[Data di Nascita]])/365.25</f>
        <v>42.212183436002739</v>
      </c>
      <c r="G286" s="7" t="s">
        <v>3303</v>
      </c>
      <c r="H286" s="7" t="s">
        <v>3304</v>
      </c>
      <c r="I286" s="7" t="s">
        <v>456</v>
      </c>
      <c r="J286" s="7" t="s">
        <v>618</v>
      </c>
      <c r="K286" s="7" t="s">
        <v>3305</v>
      </c>
      <c r="L286" s="17">
        <f>IF(ISERROR(SEARCH("EX",Tabella1[[#This Row],[Attività lavorativa]],1)),0,1)</f>
        <v>0</v>
      </c>
      <c r="M286" s="17"/>
      <c r="N286" s="17"/>
      <c r="O286" s="17"/>
      <c r="P286" s="17"/>
      <c r="Q286" s="17"/>
      <c r="R286" s="17"/>
      <c r="S286" s="17"/>
      <c r="T286" s="17">
        <f>IF(ISERROR(SEARCH("NDD",Tabella1[[#This Row],[Attività lavorativa]],1)),0,1)</f>
        <v>0</v>
      </c>
      <c r="U286" s="7" t="s">
        <v>3306</v>
      </c>
      <c r="V286" s="22">
        <v>20</v>
      </c>
      <c r="W286" s="22">
        <f>IF(ISERROR(SEARCH("ex",Tabella1[[#This Row],[Fumo]],1)),0,1)</f>
        <v>0</v>
      </c>
      <c r="X286" s="22">
        <f>IF(ISERROR(SEARCH("no",Tabella1[[#This Row],[Fumo]],1)),0,1)</f>
        <v>0</v>
      </c>
      <c r="Y286" s="7" t="s">
        <v>26</v>
      </c>
      <c r="Z286" s="17">
        <f>IF(ISERROR(SEARCH("NDD",Tabella1[[#This Row],[Bevitore alcolici]],1)),0,1)</f>
        <v>0</v>
      </c>
      <c r="AA286" s="17">
        <f>IF(ISERROR(SEARCH("raro",Tabella1[[#This Row],[Bevitore alcolici]],1)),0,1)</f>
        <v>0</v>
      </c>
      <c r="AB286" s="17">
        <f>IF(ISERROR(SEARCH("saltuariamente",Tabella1[[#This Row],[Bevitore alcolici]],1)),0,1)</f>
        <v>1</v>
      </c>
      <c r="AC286" s="17">
        <f>IF(ISERROR(SEARCH("nega",Tabella1[[#This Row],[Bevitore alcolici]],1)),0,1)</f>
        <v>0</v>
      </c>
      <c r="AD286" s="17">
        <f>IF(ISERROR(SEARCH("potus",Tabella1[[#This Row],[Bevitore alcolici]],1)),0,1)</f>
        <v>0</v>
      </c>
      <c r="AE286" s="7" t="s">
        <v>657</v>
      </c>
      <c r="AF286" s="17"/>
      <c r="AG286" s="17"/>
      <c r="AH286" s="17"/>
      <c r="AI286" s="17"/>
      <c r="AJ286" s="17"/>
      <c r="AK286" s="7" t="s">
        <v>195</v>
      </c>
      <c r="AL286" s="17">
        <f>IF(ISERROR(SEARCH("si",Tabella1[[#This Row],[Patente di guida]],1)),0,1)</f>
        <v>0</v>
      </c>
      <c r="AM286" s="7" t="s">
        <v>195</v>
      </c>
      <c r="AN286" s="17">
        <f>IF(ISERROR(SEARCH("no",Tabella1[[#This Row],[Ipertensione]],1)),0,1)</f>
        <v>1</v>
      </c>
      <c r="AO286" s="7" t="s">
        <v>382</v>
      </c>
      <c r="AP286" s="18">
        <f>IF(ISERROR(SEARCH("NO",Tabella1[[#This Row],[Cardiopatia ischemica]],1)),1,0)</f>
        <v>0</v>
      </c>
      <c r="AQ286" s="17">
        <f>IF(ISERROR(SEARCH("sconosciuto",Tabella1[[#This Row],[Cardiopatia ischemica]],1)),0,1)</f>
        <v>0</v>
      </c>
      <c r="AR286" s="7" t="s">
        <v>25</v>
      </c>
      <c r="AS286" s="17">
        <f>IF(ISERROR(SEARCH("nega",Tabella1[[#This Row],[Artimie]],1)),0,1)</f>
        <v>1</v>
      </c>
      <c r="AT286" s="7" t="s">
        <v>3755</v>
      </c>
      <c r="AU286" s="17">
        <f>IF(ISERROR(SEARCH("nega",Tabella1[[#This Row],[Ipercolesterolemia]],1)),0,1)</f>
        <v>0</v>
      </c>
      <c r="AV286" s="17">
        <f>IF(ISERROR(SEARCH("boh",Tabella1[[#This Row],[Ipercolesterolemia]],1)),0,1)</f>
        <v>1</v>
      </c>
      <c r="AW286" s="7" t="s">
        <v>195</v>
      </c>
      <c r="AX286" s="17">
        <f>IF(ISERROR(SEARCH("Intolleranza",Tabella1[[#This Row],[Diabete]],1)),0,1)</f>
        <v>0</v>
      </c>
      <c r="AY286" s="17">
        <f>IF(ISERROR(SEARCH("si",Tabella1[[#This Row],[Diabete]],1)),0,1)</f>
        <v>0</v>
      </c>
      <c r="AZ286" s="7" t="s">
        <v>195</v>
      </c>
      <c r="BA286" s="17">
        <f>IF(ISERROR(SEARCH("NDD",Tabella1[[#This Row],[Patologia Tiroidea]],1)),0,1)</f>
        <v>0</v>
      </c>
      <c r="BB286" s="17">
        <f>IF(ISERROR(SEARCH("TIROIDITE",Tabella1[[#This Row],[Patologia Tiroidea]],1)),0,1)</f>
        <v>0</v>
      </c>
      <c r="BC286" s="17">
        <f>IF(ISERROR(SEARCH("HASHIMOTO",Tabella1[[#This Row],[Patologia Tiroidea]],1)),0,1)</f>
        <v>0</v>
      </c>
      <c r="BD286" s="17">
        <f>IF(ISERROR(SEARCH("BASEDOW",Tabella1[[#This Row],[Patologia Tiroidea]],1)),0,1)</f>
        <v>0</v>
      </c>
      <c r="BE286" s="17">
        <f>IF(ISERROR(SEARCH("NOD",Tabella1[[#This Row],[Patologia Tiroidea]],1)),0,1)</f>
        <v>0</v>
      </c>
      <c r="BF286" s="17">
        <f>IF(ISERROR(SEARCH("GOZ",Tabella1[[#This Row],[Patologia Tiroidea]],1)),0,1)</f>
        <v>0</v>
      </c>
      <c r="BG286" s="7" t="s">
        <v>194</v>
      </c>
      <c r="BH286" s="17">
        <f>IF(Tabella1[[#This Row],[Obesità]]="no",0,1)</f>
        <v>1</v>
      </c>
      <c r="BI286" s="7" t="s">
        <v>25</v>
      </c>
      <c r="BJ286" s="22">
        <f>IF(ISERROR(SEARCH("nega",Tabella1[[#This Row],[Reflusso gastroesofageo]],1)),1,0)</f>
        <v>0</v>
      </c>
      <c r="BK286" s="7" t="s">
        <v>195</v>
      </c>
      <c r="BL286" s="17">
        <f>IF(ISERROR(SEARCH("NDD",Tabella1[[#This Row],[Patologia respiratoria]],1)),0,1)</f>
        <v>0</v>
      </c>
      <c r="BM286" s="17">
        <f>IF(ISERROR(SEARCH("asma",Tabella1[[#This Row],[Patologia respiratoria]],1)),0,1)</f>
        <v>0</v>
      </c>
      <c r="BN286" s="17">
        <f>IF(ISERROR(SEARCH("BPCO",Tabella1[[#This Row],[Patologia respiratoria]],1)),0,1)</f>
        <v>0</v>
      </c>
      <c r="BO286" s="17">
        <f>IF(ISERROR(SEARCH("BRONCOPOLMONITE",Tabella1[[#This Row],[Patologia respiratoria]],1)),0,1)</f>
        <v>0</v>
      </c>
      <c r="BP286" s="17">
        <f>IF(ISERROR(SEARCH("ASMA, OSAS",Tabella1[[#This Row],[Patologia respiratoria]],1)),0,1)</f>
        <v>0</v>
      </c>
      <c r="BQ286" s="17">
        <f>IF(ISERROR(SEARCH("OSAS e BPCO",Tabella1[[#This Row],[Patologia respiratoria]],1)),0,1)</f>
        <v>0</v>
      </c>
      <c r="BR286" s="17">
        <f>IF(ISERROR(SEARCH("OSAS",Tabella1[[#This Row],[Patologia respiratoria]],1)),0,1)</f>
        <v>0</v>
      </c>
      <c r="BS286" s="7" t="s">
        <v>3307</v>
      </c>
      <c r="BT286" s="7" t="s">
        <v>3308</v>
      </c>
      <c r="BU286" s="7" t="s">
        <v>5477</v>
      </c>
      <c r="BV286" s="17">
        <f>IF(ISERROR(SEARCH("ndd",Tabella1[[#This Row],[O2 terapia]],1)),0,1)</f>
        <v>1</v>
      </c>
      <c r="BW286" s="17"/>
      <c r="BX286" s="7"/>
      <c r="BY286" s="7" t="s">
        <v>3309</v>
      </c>
      <c r="BZ286" s="17">
        <v>1</v>
      </c>
      <c r="CA286" s="7" t="s">
        <v>195</v>
      </c>
      <c r="CB286" s="17">
        <v>0</v>
      </c>
      <c r="CC286" s="7" t="s">
        <v>534</v>
      </c>
      <c r="CD286" s="17">
        <v>1</v>
      </c>
      <c r="CE286" s="7" t="s">
        <v>195</v>
      </c>
      <c r="CF286" s="18">
        <v>0</v>
      </c>
      <c r="CG286" s="7" t="s">
        <v>3310</v>
      </c>
      <c r="CH286" s="17">
        <v>1</v>
      </c>
      <c r="CI286" s="7" t="s">
        <v>195</v>
      </c>
      <c r="CJ286" s="18">
        <v>0</v>
      </c>
      <c r="CK286" s="7" t="s">
        <v>3311</v>
      </c>
      <c r="CL286" s="17">
        <v>1</v>
      </c>
      <c r="CM286" s="7" t="s">
        <v>312</v>
      </c>
      <c r="CN286" s="17">
        <v>1</v>
      </c>
      <c r="CO286" s="7" t="s">
        <v>195</v>
      </c>
      <c r="CP286" s="18">
        <v>0</v>
      </c>
      <c r="CQ286" s="7" t="s">
        <v>103</v>
      </c>
      <c r="CR286" s="7" t="s">
        <v>3312</v>
      </c>
      <c r="CS286" s="7" t="s">
        <v>71</v>
      </c>
      <c r="CT286" s="7" t="s">
        <v>122</v>
      </c>
      <c r="CU286" s="7"/>
      <c r="CV286" s="8"/>
    </row>
    <row r="287" spans="1:100" ht="71.25">
      <c r="A287" s="1">
        <f t="shared" si="4"/>
        <v>286</v>
      </c>
      <c r="B287" s="9">
        <v>1693</v>
      </c>
      <c r="C287" s="10">
        <v>45623</v>
      </c>
      <c r="D287" s="11" t="s">
        <v>3313</v>
      </c>
      <c r="E287" s="10">
        <v>23083</v>
      </c>
      <c r="F287" s="29">
        <f ca="1">_xlfn.DAYS(NOW(),Tabella1[[#This Row],[Data di Nascita]])/365.25</f>
        <v>62.395619438740589</v>
      </c>
      <c r="G287" s="11" t="s">
        <v>3314</v>
      </c>
      <c r="H287" s="11" t="s">
        <v>3315</v>
      </c>
      <c r="I287" s="11" t="s">
        <v>3316</v>
      </c>
      <c r="J287" s="11" t="s">
        <v>618</v>
      </c>
      <c r="K287" s="11" t="s">
        <v>5623</v>
      </c>
      <c r="L287" s="18">
        <f>IF(ISERROR(SEARCH("EX",Tabella1[[#This Row],[Attività lavorativa]],1)),0,1)</f>
        <v>1</v>
      </c>
      <c r="M287" s="18"/>
      <c r="N287" s="18"/>
      <c r="O287" s="18">
        <v>1</v>
      </c>
      <c r="P287" s="18"/>
      <c r="Q287" s="18"/>
      <c r="R287" s="18"/>
      <c r="S287" s="18"/>
      <c r="T287" s="17">
        <f>IF(ISERROR(SEARCH("NDD",Tabella1[[#This Row],[Attività lavorativa]],1)),0,1)</f>
        <v>0</v>
      </c>
      <c r="U287" s="11" t="s">
        <v>3317</v>
      </c>
      <c r="V287" s="22">
        <v>20</v>
      </c>
      <c r="W287" s="22">
        <f>IF(ISERROR(SEARCH("ex",Tabella1[[#This Row],[Fumo]],1)),0,1)</f>
        <v>0</v>
      </c>
      <c r="X287" s="22">
        <f>IF(ISERROR(SEARCH("no",Tabella1[[#This Row],[Fumo]],1)),0,1)</f>
        <v>1</v>
      </c>
      <c r="Y287" s="11" t="s">
        <v>5477</v>
      </c>
      <c r="Z287" s="18">
        <f>IF(ISERROR(SEARCH("NDD",Tabella1[[#This Row],[Bevitore alcolici]],1)),0,1)</f>
        <v>1</v>
      </c>
      <c r="AA287" s="17">
        <f>IF(ISERROR(SEARCH("raro",Tabella1[[#This Row],[Bevitore alcolici]],1)),0,1)</f>
        <v>0</v>
      </c>
      <c r="AB287" s="17">
        <f>IF(ISERROR(SEARCH("saltuariamente",Tabella1[[#This Row],[Bevitore alcolici]],1)),0,1)</f>
        <v>0</v>
      </c>
      <c r="AC287" s="17">
        <f>IF(ISERROR(SEARCH("nega",Tabella1[[#This Row],[Bevitore alcolici]],1)),0,1)</f>
        <v>0</v>
      </c>
      <c r="AD287" s="17">
        <f>IF(ISERROR(SEARCH("potus",Tabella1[[#This Row],[Bevitore alcolici]],1)),0,1)</f>
        <v>0</v>
      </c>
      <c r="AE287" s="11" t="s">
        <v>3318</v>
      </c>
      <c r="AF287" s="18"/>
      <c r="AG287" s="18">
        <v>1</v>
      </c>
      <c r="AH287" s="18"/>
      <c r="AI287" s="18"/>
      <c r="AJ287" s="18"/>
      <c r="AK287" s="11" t="s">
        <v>194</v>
      </c>
      <c r="AL287" s="18">
        <f>IF(ISERROR(SEARCH("si",Tabella1[[#This Row],[Patente di guida]],1)),0,1)</f>
        <v>1</v>
      </c>
      <c r="AM287" s="11" t="s">
        <v>28</v>
      </c>
      <c r="AN287" s="18">
        <f>IF(ISERROR(SEARCH("no",Tabella1[[#This Row],[Ipertensione]],1)),0,1)</f>
        <v>0</v>
      </c>
      <c r="AO287" s="11" t="s">
        <v>382</v>
      </c>
      <c r="AP287" s="18">
        <f>IF(ISERROR(SEARCH("NO",Tabella1[[#This Row],[Cardiopatia ischemica]],1)),1,0)</f>
        <v>0</v>
      </c>
      <c r="AQ287" s="17">
        <f>IF(ISERROR(SEARCH("sconosciuto",Tabella1[[#This Row],[Cardiopatia ischemica]],1)),0,1)</f>
        <v>0</v>
      </c>
      <c r="AR287" s="11" t="s">
        <v>25</v>
      </c>
      <c r="AS287" s="22">
        <f>IF(ISERROR(SEARCH("nega",Tabella1[[#This Row],[Artimie]],1)),0,1)</f>
        <v>1</v>
      </c>
      <c r="AT287" s="11" t="s">
        <v>25</v>
      </c>
      <c r="AU287" s="22">
        <f>IF(ISERROR(SEARCH("nega",Tabella1[[#This Row],[Ipercolesterolemia]],1)),0,1)</f>
        <v>1</v>
      </c>
      <c r="AV287" s="22">
        <f>IF(ISERROR(SEARCH("boh",Tabella1[[#This Row],[Ipercolesterolemia]],1)),0,1)</f>
        <v>0</v>
      </c>
      <c r="AW287" s="11" t="s">
        <v>195</v>
      </c>
      <c r="AX287" s="22">
        <f>IF(ISERROR(SEARCH("Intolleranza",Tabella1[[#This Row],[Diabete]],1)),0,1)</f>
        <v>0</v>
      </c>
      <c r="AY287" s="22">
        <f>IF(ISERROR(SEARCH("si",Tabella1[[#This Row],[Diabete]],1)),0,1)</f>
        <v>0</v>
      </c>
      <c r="AZ287" s="11" t="s">
        <v>195</v>
      </c>
      <c r="BA287" s="18">
        <f>IF(ISERROR(SEARCH("NDD",Tabella1[[#This Row],[Patologia Tiroidea]],1)),0,1)</f>
        <v>0</v>
      </c>
      <c r="BB287" s="22">
        <f>IF(ISERROR(SEARCH("TIROIDITE",Tabella1[[#This Row],[Patologia Tiroidea]],1)),0,1)</f>
        <v>0</v>
      </c>
      <c r="BC287" s="22">
        <f>IF(ISERROR(SEARCH("HASHIMOTO",Tabella1[[#This Row],[Patologia Tiroidea]],1)),0,1)</f>
        <v>0</v>
      </c>
      <c r="BD287" s="22">
        <f>IF(ISERROR(SEARCH("BASEDOW",Tabella1[[#This Row],[Patologia Tiroidea]],1)),0,1)</f>
        <v>0</v>
      </c>
      <c r="BE287" s="22">
        <f>IF(ISERROR(SEARCH("NOD",Tabella1[[#This Row],[Patologia Tiroidea]],1)),0,1)</f>
        <v>0</v>
      </c>
      <c r="BF287" s="22">
        <f>IF(ISERROR(SEARCH("GOZ",Tabella1[[#This Row],[Patologia Tiroidea]],1)),0,1)</f>
        <v>0</v>
      </c>
      <c r="BG287" s="11" t="s">
        <v>194</v>
      </c>
      <c r="BH287" s="18">
        <f>IF(Tabella1[[#This Row],[Obesità]]="no",0,1)</f>
        <v>1</v>
      </c>
      <c r="BI287" s="11" t="s">
        <v>194</v>
      </c>
      <c r="BJ287" s="22">
        <f>IF(ISERROR(SEARCH("nega",Tabella1[[#This Row],[Reflusso gastroesofageo]],1)),1,0)</f>
        <v>1</v>
      </c>
      <c r="BK287" s="11" t="s">
        <v>195</v>
      </c>
      <c r="BL287" s="18">
        <f>IF(ISERROR(SEARCH("NDD",Tabella1[[#This Row],[Patologia respiratoria]],1)),0,1)</f>
        <v>0</v>
      </c>
      <c r="BM287" s="18">
        <f>IF(ISERROR(SEARCH("asma",Tabella1[[#This Row],[Patologia respiratoria]],1)),0,1)</f>
        <v>0</v>
      </c>
      <c r="BN287" s="18">
        <f>IF(ISERROR(SEARCH("BPCO",Tabella1[[#This Row],[Patologia respiratoria]],1)),0,1)</f>
        <v>0</v>
      </c>
      <c r="BO287" s="18">
        <f>IF(ISERROR(SEARCH("BRONCOPOLMONITE",Tabella1[[#This Row],[Patologia respiratoria]],1)),0,1)</f>
        <v>0</v>
      </c>
      <c r="BP287" s="18">
        <f>IF(ISERROR(SEARCH("ASMA, OSAS",Tabella1[[#This Row],[Patologia respiratoria]],1)),0,1)</f>
        <v>0</v>
      </c>
      <c r="BQ287" s="18">
        <f>IF(ISERROR(SEARCH("OSAS e BPCO",Tabella1[[#This Row],[Patologia respiratoria]],1)),0,1)</f>
        <v>0</v>
      </c>
      <c r="BR287" s="18">
        <f>IF(ISERROR(SEARCH("OSAS",Tabella1[[#This Row],[Patologia respiratoria]],1)),0,1)</f>
        <v>0</v>
      </c>
      <c r="BS287" s="11" t="s">
        <v>3319</v>
      </c>
      <c r="BT287" s="11" t="s">
        <v>3320</v>
      </c>
      <c r="BU287" s="11" t="s">
        <v>195</v>
      </c>
      <c r="BV287" s="18">
        <f>IF(ISERROR(SEARCH("ndd",Tabella1[[#This Row],[O2 terapia]],1)),0,1)</f>
        <v>0</v>
      </c>
      <c r="BW287" s="17">
        <v>0</v>
      </c>
      <c r="BX287" s="11"/>
      <c r="BY287" s="11" t="s">
        <v>195</v>
      </c>
      <c r="BZ287" s="18">
        <v>0</v>
      </c>
      <c r="CA287" s="11" t="s">
        <v>3321</v>
      </c>
      <c r="CB287" s="17">
        <v>0</v>
      </c>
      <c r="CC287" s="11" t="s">
        <v>3322</v>
      </c>
      <c r="CD287" s="17">
        <v>1</v>
      </c>
      <c r="CE287" s="11" t="s">
        <v>195</v>
      </c>
      <c r="CF287" s="18">
        <v>0</v>
      </c>
      <c r="CG287" s="11" t="s">
        <v>3323</v>
      </c>
      <c r="CH287" s="17">
        <v>1</v>
      </c>
      <c r="CI287" s="11" t="s">
        <v>194</v>
      </c>
      <c r="CJ287" s="17">
        <v>1</v>
      </c>
      <c r="CK287" s="11" t="s">
        <v>3324</v>
      </c>
      <c r="CL287" s="17">
        <v>1</v>
      </c>
      <c r="CM287" s="11" t="s">
        <v>194</v>
      </c>
      <c r="CN287" s="17">
        <v>1</v>
      </c>
      <c r="CO287" s="11" t="s">
        <v>194</v>
      </c>
      <c r="CP287" s="17">
        <v>1</v>
      </c>
      <c r="CQ287" s="11" t="s">
        <v>85</v>
      </c>
      <c r="CR287" s="11" t="s">
        <v>3325</v>
      </c>
      <c r="CS287" s="11" t="s">
        <v>37</v>
      </c>
      <c r="CT287" s="11" t="s">
        <v>370</v>
      </c>
      <c r="CU287" s="11"/>
      <c r="CV287" s="12"/>
    </row>
    <row r="288" spans="1:100" ht="28.5">
      <c r="A288" s="1">
        <f t="shared" si="4"/>
        <v>287</v>
      </c>
      <c r="B288" s="5">
        <v>1695</v>
      </c>
      <c r="C288" s="6">
        <v>45624</v>
      </c>
      <c r="D288" s="7" t="s">
        <v>3326</v>
      </c>
      <c r="E288" s="6">
        <v>24319</v>
      </c>
      <c r="F288" s="29">
        <f ca="1">_xlfn.DAYS(NOW(),Tabella1[[#This Row],[Data di Nascita]])/365.25</f>
        <v>59.011635865845314</v>
      </c>
      <c r="G288" s="7" t="s">
        <v>3327</v>
      </c>
      <c r="H288" s="7" t="s">
        <v>3328</v>
      </c>
      <c r="I288" s="7" t="s">
        <v>3329</v>
      </c>
      <c r="J288" s="7" t="s">
        <v>618</v>
      </c>
      <c r="K288" s="7" t="s">
        <v>3330</v>
      </c>
      <c r="L288" s="17">
        <f>IF(ISERROR(SEARCH("EX",Tabella1[[#This Row],[Attività lavorativa]],1)),0,1)</f>
        <v>0</v>
      </c>
      <c r="M288" s="17"/>
      <c r="N288" s="17"/>
      <c r="O288" s="17"/>
      <c r="P288" s="17"/>
      <c r="Q288" s="17"/>
      <c r="R288" s="17"/>
      <c r="S288" s="17"/>
      <c r="T288" s="17">
        <f>IF(ISERROR(SEARCH("NDD",Tabella1[[#This Row],[Attività lavorativa]],1)),0,1)</f>
        <v>0</v>
      </c>
      <c r="U288" s="7" t="s">
        <v>8</v>
      </c>
      <c r="V288" s="22"/>
      <c r="W288" s="22">
        <f>IF(ISERROR(SEARCH("ex",Tabella1[[#This Row],[Fumo]],1)),0,1)</f>
        <v>0</v>
      </c>
      <c r="X288" s="22">
        <f>IF(ISERROR(SEARCH("no",Tabella1[[#This Row],[Fumo]],1)),0,1)</f>
        <v>1</v>
      </c>
      <c r="Y288" s="7" t="s">
        <v>26</v>
      </c>
      <c r="Z288" s="17">
        <f>IF(ISERROR(SEARCH("NDD",Tabella1[[#This Row],[Bevitore alcolici]],1)),0,1)</f>
        <v>0</v>
      </c>
      <c r="AA288" s="17">
        <f>IF(ISERROR(SEARCH("raro",Tabella1[[#This Row],[Bevitore alcolici]],1)),0,1)</f>
        <v>0</v>
      </c>
      <c r="AB288" s="17">
        <f>IF(ISERROR(SEARCH("saltuariamente",Tabella1[[#This Row],[Bevitore alcolici]],1)),0,1)</f>
        <v>1</v>
      </c>
      <c r="AC288" s="17">
        <f>IF(ISERROR(SEARCH("nega",Tabella1[[#This Row],[Bevitore alcolici]],1)),0,1)</f>
        <v>0</v>
      </c>
      <c r="AD288" s="17">
        <f>IF(ISERROR(SEARCH("potus",Tabella1[[#This Row],[Bevitore alcolici]],1)),0,1)</f>
        <v>0</v>
      </c>
      <c r="AE288" s="7" t="s">
        <v>3331</v>
      </c>
      <c r="AF288" s="17"/>
      <c r="AG288" s="18">
        <v>1</v>
      </c>
      <c r="AH288" s="18"/>
      <c r="AI288" s="18"/>
      <c r="AJ288" s="18"/>
      <c r="AK288" s="7" t="s">
        <v>194</v>
      </c>
      <c r="AL288" s="17">
        <f>IF(ISERROR(SEARCH("si",Tabella1[[#This Row],[Patente di guida]],1)),0,1)</f>
        <v>1</v>
      </c>
      <c r="AM288" s="7" t="s">
        <v>28</v>
      </c>
      <c r="AN288" s="17">
        <f>IF(ISERROR(SEARCH("no",Tabella1[[#This Row],[Ipertensione]],1)),0,1)</f>
        <v>0</v>
      </c>
      <c r="AO288" s="7" t="s">
        <v>382</v>
      </c>
      <c r="AP288" s="18">
        <f>IF(ISERROR(SEARCH("NO",Tabella1[[#This Row],[Cardiopatia ischemica]],1)),1,0)</f>
        <v>0</v>
      </c>
      <c r="AQ288" s="17">
        <f>IF(ISERROR(SEARCH("sconosciuto",Tabella1[[#This Row],[Cardiopatia ischemica]],1)),0,1)</f>
        <v>0</v>
      </c>
      <c r="AR288" s="7" t="s">
        <v>25</v>
      </c>
      <c r="AS288" s="22">
        <f>IF(ISERROR(SEARCH("nega",Tabella1[[#This Row],[Artimie]],1)),0,1)</f>
        <v>1</v>
      </c>
      <c r="AT288" s="7" t="s">
        <v>25</v>
      </c>
      <c r="AU288" s="22">
        <f>IF(ISERROR(SEARCH("nega",Tabella1[[#This Row],[Ipercolesterolemia]],1)),0,1)</f>
        <v>1</v>
      </c>
      <c r="AV288" s="22">
        <f>IF(ISERROR(SEARCH("boh",Tabella1[[#This Row],[Ipercolesterolemia]],1)),0,1)</f>
        <v>0</v>
      </c>
      <c r="AW288" s="7" t="s">
        <v>195</v>
      </c>
      <c r="AX288" s="22">
        <f>IF(ISERROR(SEARCH("Intolleranza",Tabella1[[#This Row],[Diabete]],1)),0,1)</f>
        <v>0</v>
      </c>
      <c r="AY288" s="22">
        <f>IF(ISERROR(SEARCH("si",Tabella1[[#This Row],[Diabete]],1)),0,1)</f>
        <v>0</v>
      </c>
      <c r="AZ288" s="7" t="s">
        <v>195</v>
      </c>
      <c r="BA288" s="17">
        <f>IF(ISERROR(SEARCH("NDD",Tabella1[[#This Row],[Patologia Tiroidea]],1)),0,1)</f>
        <v>0</v>
      </c>
      <c r="BB288" s="22">
        <f>IF(ISERROR(SEARCH("TIROIDITE",Tabella1[[#This Row],[Patologia Tiroidea]],1)),0,1)</f>
        <v>0</v>
      </c>
      <c r="BC288" s="22">
        <f>IF(ISERROR(SEARCH("HASHIMOTO",Tabella1[[#This Row],[Patologia Tiroidea]],1)),0,1)</f>
        <v>0</v>
      </c>
      <c r="BD288" s="22">
        <f>IF(ISERROR(SEARCH("BASEDOW",Tabella1[[#This Row],[Patologia Tiroidea]],1)),0,1)</f>
        <v>0</v>
      </c>
      <c r="BE288" s="22">
        <f>IF(ISERROR(SEARCH("NOD",Tabella1[[#This Row],[Patologia Tiroidea]],1)),0,1)</f>
        <v>0</v>
      </c>
      <c r="BF288" s="22">
        <f>IF(ISERROR(SEARCH("GOZ",Tabella1[[#This Row],[Patologia Tiroidea]],1)),0,1)</f>
        <v>0</v>
      </c>
      <c r="BG288" s="7" t="s">
        <v>8</v>
      </c>
      <c r="BH288" s="17">
        <f>IF(Tabella1[[#This Row],[Obesità]]="no",0,1)</f>
        <v>0</v>
      </c>
      <c r="BI288" s="7" t="s">
        <v>25</v>
      </c>
      <c r="BJ288" s="22">
        <f>IF(ISERROR(SEARCH("nega",Tabella1[[#This Row],[Reflusso gastroesofageo]],1)),1,0)</f>
        <v>0</v>
      </c>
      <c r="BK288" s="7" t="s">
        <v>195</v>
      </c>
      <c r="BL288" s="17">
        <f>IF(ISERROR(SEARCH("NDD",Tabella1[[#This Row],[Patologia respiratoria]],1)),0,1)</f>
        <v>0</v>
      </c>
      <c r="BM288" s="17">
        <f>IF(ISERROR(SEARCH("asma",Tabella1[[#This Row],[Patologia respiratoria]],1)),0,1)</f>
        <v>0</v>
      </c>
      <c r="BN288" s="17">
        <f>IF(ISERROR(SEARCH("BPCO",Tabella1[[#This Row],[Patologia respiratoria]],1)),0,1)</f>
        <v>0</v>
      </c>
      <c r="BO288" s="17">
        <f>IF(ISERROR(SEARCH("BRONCOPOLMONITE",Tabella1[[#This Row],[Patologia respiratoria]],1)),0,1)</f>
        <v>0</v>
      </c>
      <c r="BP288" s="17">
        <f>IF(ISERROR(SEARCH("ASMA, OSAS",Tabella1[[#This Row],[Patologia respiratoria]],1)),0,1)</f>
        <v>0</v>
      </c>
      <c r="BQ288" s="17">
        <f>IF(ISERROR(SEARCH("OSAS e BPCO",Tabella1[[#This Row],[Patologia respiratoria]],1)),0,1)</f>
        <v>0</v>
      </c>
      <c r="BR288" s="17">
        <f>IF(ISERROR(SEARCH("OSAS",Tabella1[[#This Row],[Patologia respiratoria]],1)),0,1)</f>
        <v>0</v>
      </c>
      <c r="BS288" s="7" t="s">
        <v>195</v>
      </c>
      <c r="BT288" s="7" t="s">
        <v>3332</v>
      </c>
      <c r="BU288" s="7" t="s">
        <v>195</v>
      </c>
      <c r="BV288" s="17">
        <f>IF(ISERROR(SEARCH("ndd",Tabella1[[#This Row],[O2 terapia]],1)),0,1)</f>
        <v>0</v>
      </c>
      <c r="BW288" s="17">
        <v>0</v>
      </c>
      <c r="BX288" s="7"/>
      <c r="BY288" s="7" t="s">
        <v>3333</v>
      </c>
      <c r="BZ288" s="18">
        <v>0</v>
      </c>
      <c r="CA288" s="7" t="s">
        <v>195</v>
      </c>
      <c r="CB288" s="17">
        <v>0</v>
      </c>
      <c r="CC288" s="7" t="s">
        <v>534</v>
      </c>
      <c r="CD288" s="17">
        <v>1</v>
      </c>
      <c r="CE288" s="7" t="s">
        <v>195</v>
      </c>
      <c r="CF288" s="18">
        <v>0</v>
      </c>
      <c r="CG288" s="7" t="s">
        <v>3334</v>
      </c>
      <c r="CH288" s="17">
        <v>1</v>
      </c>
      <c r="CI288" s="7" t="s">
        <v>194</v>
      </c>
      <c r="CJ288" s="17">
        <v>1</v>
      </c>
      <c r="CK288" s="7" t="s">
        <v>3335</v>
      </c>
      <c r="CL288" s="17">
        <v>1</v>
      </c>
      <c r="CM288" s="7" t="s">
        <v>194</v>
      </c>
      <c r="CN288" s="17">
        <v>1</v>
      </c>
      <c r="CO288" s="7" t="s">
        <v>195</v>
      </c>
      <c r="CP288" s="18">
        <v>0</v>
      </c>
      <c r="CQ288" s="7" t="s">
        <v>152</v>
      </c>
      <c r="CR288" s="7" t="s">
        <v>3336</v>
      </c>
      <c r="CS288" s="7" t="s">
        <v>37</v>
      </c>
      <c r="CT288" s="7" t="s">
        <v>16</v>
      </c>
      <c r="CU288" s="7"/>
      <c r="CV288" s="8"/>
    </row>
    <row r="289" spans="1:100" ht="28.5">
      <c r="A289" s="1">
        <f t="shared" si="4"/>
        <v>288</v>
      </c>
      <c r="B289" s="9">
        <v>1696</v>
      </c>
      <c r="C289" s="10">
        <v>45623</v>
      </c>
      <c r="D289" s="11" t="s">
        <v>3337</v>
      </c>
      <c r="E289" s="10">
        <v>22812</v>
      </c>
      <c r="F289" s="29">
        <f ca="1">_xlfn.DAYS(NOW(),Tabella1[[#This Row],[Data di Nascita]])/365.25</f>
        <v>63.137577002053391</v>
      </c>
      <c r="G289" s="11" t="s">
        <v>3338</v>
      </c>
      <c r="H289" s="11" t="s">
        <v>3339</v>
      </c>
      <c r="I289" s="11" t="s">
        <v>1417</v>
      </c>
      <c r="J289" s="11" t="s">
        <v>1700</v>
      </c>
      <c r="K289" s="11" t="s">
        <v>3340</v>
      </c>
      <c r="L289" s="18">
        <f>IF(ISERROR(SEARCH("EX",Tabella1[[#This Row],[Attività lavorativa]],1)),0,1)</f>
        <v>0</v>
      </c>
      <c r="M289" s="18"/>
      <c r="N289" s="18"/>
      <c r="O289" s="18"/>
      <c r="P289" s="18">
        <v>1</v>
      </c>
      <c r="Q289" s="18"/>
      <c r="R289" s="18"/>
      <c r="S289" s="18"/>
      <c r="T289" s="17">
        <f>IF(ISERROR(SEARCH("NDD",Tabella1[[#This Row],[Attività lavorativa]],1)),0,1)</f>
        <v>0</v>
      </c>
      <c r="U289" s="11" t="s">
        <v>3341</v>
      </c>
      <c r="V289" s="22">
        <v>50</v>
      </c>
      <c r="W289" s="22">
        <f>IF(ISERROR(SEARCH("ex",Tabella1[[#This Row],[Fumo]],1)),0,1)</f>
        <v>0</v>
      </c>
      <c r="X289" s="22">
        <f>IF(ISERROR(SEARCH("no",Tabella1[[#This Row],[Fumo]],1)),0,1)</f>
        <v>0</v>
      </c>
      <c r="Y289" s="11" t="s">
        <v>25</v>
      </c>
      <c r="Z289" s="18">
        <f>IF(ISERROR(SEARCH("NDD",Tabella1[[#This Row],[Bevitore alcolici]],1)),0,1)</f>
        <v>0</v>
      </c>
      <c r="AA289" s="17">
        <f>IF(ISERROR(SEARCH("raro",Tabella1[[#This Row],[Bevitore alcolici]],1)),0,1)</f>
        <v>0</v>
      </c>
      <c r="AB289" s="17">
        <f>IF(ISERROR(SEARCH("saltuariamente",Tabella1[[#This Row],[Bevitore alcolici]],1)),0,1)</f>
        <v>0</v>
      </c>
      <c r="AC289" s="17">
        <f>IF(ISERROR(SEARCH("nega",Tabella1[[#This Row],[Bevitore alcolici]],1)),0,1)</f>
        <v>1</v>
      </c>
      <c r="AD289" s="17">
        <f>IF(ISERROR(SEARCH("potus",Tabella1[[#This Row],[Bevitore alcolici]],1)),0,1)</f>
        <v>0</v>
      </c>
      <c r="AE289" s="11" t="s">
        <v>3342</v>
      </c>
      <c r="AF289" s="18"/>
      <c r="AG289" s="18"/>
      <c r="AH289" s="18">
        <v>1</v>
      </c>
      <c r="AI289" s="18"/>
      <c r="AJ289" s="18"/>
      <c r="AK289" s="11" t="s">
        <v>194</v>
      </c>
      <c r="AL289" s="18">
        <f>IF(ISERROR(SEARCH("si",Tabella1[[#This Row],[Patente di guida]],1)),0,1)</f>
        <v>1</v>
      </c>
      <c r="AM289" s="11" t="s">
        <v>381</v>
      </c>
      <c r="AN289" s="18">
        <f>IF(ISERROR(SEARCH("no",Tabella1[[#This Row],[Ipertensione]],1)),0,1)</f>
        <v>0</v>
      </c>
      <c r="AO289" s="11" t="s">
        <v>382</v>
      </c>
      <c r="AP289" s="18">
        <f>IF(ISERROR(SEARCH("NO",Tabella1[[#This Row],[Cardiopatia ischemica]],1)),1,0)</f>
        <v>0</v>
      </c>
      <c r="AQ289" s="17">
        <f>IF(ISERROR(SEARCH("sconosciuto",Tabella1[[#This Row],[Cardiopatia ischemica]],1)),0,1)</f>
        <v>0</v>
      </c>
      <c r="AR289" s="11" t="s">
        <v>25</v>
      </c>
      <c r="AS289" s="22">
        <f>IF(ISERROR(SEARCH("nega",Tabella1[[#This Row],[Artimie]],1)),0,1)</f>
        <v>1</v>
      </c>
      <c r="AT289" s="11" t="s">
        <v>194</v>
      </c>
      <c r="AU289" s="22">
        <f>IF(ISERROR(SEARCH("nega",Tabella1[[#This Row],[Ipercolesterolemia]],1)),0,1)</f>
        <v>0</v>
      </c>
      <c r="AV289" s="22">
        <f>IF(ISERROR(SEARCH("boh",Tabella1[[#This Row],[Ipercolesterolemia]],1)),0,1)</f>
        <v>0</v>
      </c>
      <c r="AW289" s="11" t="s">
        <v>28</v>
      </c>
      <c r="AX289" s="22">
        <f>IF(ISERROR(SEARCH("Intolleranza",Tabella1[[#This Row],[Diabete]],1)),0,1)</f>
        <v>0</v>
      </c>
      <c r="AY289" s="22">
        <f>IF(ISERROR(SEARCH("si",Tabella1[[#This Row],[Diabete]],1)),0,1)</f>
        <v>1</v>
      </c>
      <c r="AZ289" s="11" t="s">
        <v>195</v>
      </c>
      <c r="BA289" s="18">
        <f>IF(ISERROR(SEARCH("NDD",Tabella1[[#This Row],[Patologia Tiroidea]],1)),0,1)</f>
        <v>0</v>
      </c>
      <c r="BB289" s="22">
        <f>IF(ISERROR(SEARCH("TIROIDITE",Tabella1[[#This Row],[Patologia Tiroidea]],1)),0,1)</f>
        <v>0</v>
      </c>
      <c r="BC289" s="22">
        <f>IF(ISERROR(SEARCH("HASHIMOTO",Tabella1[[#This Row],[Patologia Tiroidea]],1)),0,1)</f>
        <v>0</v>
      </c>
      <c r="BD289" s="22">
        <f>IF(ISERROR(SEARCH("BASEDOW",Tabella1[[#This Row],[Patologia Tiroidea]],1)),0,1)</f>
        <v>0</v>
      </c>
      <c r="BE289" s="22">
        <f>IF(ISERROR(SEARCH("NOD",Tabella1[[#This Row],[Patologia Tiroidea]],1)),0,1)</f>
        <v>0</v>
      </c>
      <c r="BF289" s="22">
        <f>IF(ISERROR(SEARCH("GOZ",Tabella1[[#This Row],[Patologia Tiroidea]],1)),0,1)</f>
        <v>0</v>
      </c>
      <c r="BG289" s="11" t="s">
        <v>8</v>
      </c>
      <c r="BH289" s="18">
        <f>IF(Tabella1[[#This Row],[Obesità]]="no",0,1)</f>
        <v>0</v>
      </c>
      <c r="BI289" s="11" t="s">
        <v>25</v>
      </c>
      <c r="BJ289" s="22">
        <f>IF(ISERROR(SEARCH("nega",Tabella1[[#This Row],[Reflusso gastroesofageo]],1)),1,0)</f>
        <v>0</v>
      </c>
      <c r="BK289" s="11" t="s">
        <v>195</v>
      </c>
      <c r="BL289" s="18">
        <f>IF(ISERROR(SEARCH("NDD",Tabella1[[#This Row],[Patologia respiratoria]],1)),0,1)</f>
        <v>0</v>
      </c>
      <c r="BM289" s="18">
        <f>IF(ISERROR(SEARCH("asma",Tabella1[[#This Row],[Patologia respiratoria]],1)),0,1)</f>
        <v>0</v>
      </c>
      <c r="BN289" s="18">
        <f>IF(ISERROR(SEARCH("BPCO",Tabella1[[#This Row],[Patologia respiratoria]],1)),0,1)</f>
        <v>0</v>
      </c>
      <c r="BO289" s="18">
        <f>IF(ISERROR(SEARCH("BRONCOPOLMONITE",Tabella1[[#This Row],[Patologia respiratoria]],1)),0,1)</f>
        <v>0</v>
      </c>
      <c r="BP289" s="18">
        <f>IF(ISERROR(SEARCH("ASMA, OSAS",Tabella1[[#This Row],[Patologia respiratoria]],1)),0,1)</f>
        <v>0</v>
      </c>
      <c r="BQ289" s="18">
        <f>IF(ISERROR(SEARCH("OSAS e BPCO",Tabella1[[#This Row],[Patologia respiratoria]],1)),0,1)</f>
        <v>0</v>
      </c>
      <c r="BR289" s="18">
        <f>IF(ISERROR(SEARCH("OSAS",Tabella1[[#This Row],[Patologia respiratoria]],1)),0,1)</f>
        <v>0</v>
      </c>
      <c r="BS289" s="11"/>
      <c r="BT289" s="11" t="s">
        <v>3343</v>
      </c>
      <c r="BU289" s="11" t="s">
        <v>195</v>
      </c>
      <c r="BV289" s="18">
        <f>IF(ISERROR(SEARCH("ndd",Tabella1[[#This Row],[O2 terapia]],1)),0,1)</f>
        <v>0</v>
      </c>
      <c r="BW289" s="17">
        <v>0</v>
      </c>
      <c r="BX289" s="11"/>
      <c r="BY289" s="11" t="s">
        <v>3344</v>
      </c>
      <c r="BZ289" s="17">
        <v>1</v>
      </c>
      <c r="CA289" s="11" t="s">
        <v>381</v>
      </c>
      <c r="CB289" s="17">
        <v>1</v>
      </c>
      <c r="CC289" s="11" t="s">
        <v>3345</v>
      </c>
      <c r="CD289" s="17">
        <v>1</v>
      </c>
      <c r="CE289" s="11" t="s">
        <v>8</v>
      </c>
      <c r="CF289" s="18">
        <v>0</v>
      </c>
      <c r="CG289" s="11" t="s">
        <v>3346</v>
      </c>
      <c r="CH289" s="17">
        <v>1</v>
      </c>
      <c r="CI289" s="11" t="s">
        <v>194</v>
      </c>
      <c r="CJ289" s="17">
        <v>1</v>
      </c>
      <c r="CK289" s="11" t="s">
        <v>3347</v>
      </c>
      <c r="CL289" s="17">
        <v>1</v>
      </c>
      <c r="CM289" s="11" t="s">
        <v>194</v>
      </c>
      <c r="CN289" s="17">
        <v>1</v>
      </c>
      <c r="CO289" s="11" t="s">
        <v>195</v>
      </c>
      <c r="CP289" s="18">
        <v>0</v>
      </c>
      <c r="CQ289" s="11" t="s">
        <v>85</v>
      </c>
      <c r="CR289" s="11" t="s">
        <v>3348</v>
      </c>
      <c r="CS289" s="11" t="s">
        <v>219</v>
      </c>
      <c r="CT289" s="11" t="s">
        <v>736</v>
      </c>
      <c r="CU289" s="11"/>
      <c r="CV289" s="12"/>
    </row>
    <row r="290" spans="1:100" ht="28.5">
      <c r="A290" s="1">
        <f t="shared" si="4"/>
        <v>289</v>
      </c>
      <c r="B290" s="5">
        <v>1704</v>
      </c>
      <c r="C290" s="6">
        <v>45629</v>
      </c>
      <c r="D290" s="7" t="s">
        <v>3349</v>
      </c>
      <c r="E290" s="6">
        <v>24642</v>
      </c>
      <c r="F290" s="29">
        <f ca="1">_xlfn.DAYS(NOW(),Tabella1[[#This Row],[Data di Nascita]])/365.25</f>
        <v>58.127310061601641</v>
      </c>
      <c r="G290" s="7" t="s">
        <v>3350</v>
      </c>
      <c r="H290" s="7" t="s">
        <v>3351</v>
      </c>
      <c r="I290" s="7" t="s">
        <v>456</v>
      </c>
      <c r="J290" s="7" t="s">
        <v>1700</v>
      </c>
      <c r="K290" s="7" t="s">
        <v>706</v>
      </c>
      <c r="L290" s="17">
        <f>IF(ISERROR(SEARCH("EX",Tabella1[[#This Row],[Attività lavorativa]],1)),0,1)</f>
        <v>0</v>
      </c>
      <c r="M290" s="17"/>
      <c r="N290" s="17"/>
      <c r="O290" s="17"/>
      <c r="P290" s="17"/>
      <c r="Q290" s="17"/>
      <c r="R290" s="17"/>
      <c r="S290" s="17"/>
      <c r="T290" s="17">
        <f>IF(ISERROR(SEARCH("NDD",Tabella1[[#This Row],[Attività lavorativa]],1)),0,1)</f>
        <v>0</v>
      </c>
      <c r="U290" s="7" t="s">
        <v>3352</v>
      </c>
      <c r="V290" s="22">
        <v>40</v>
      </c>
      <c r="W290" s="22">
        <f>IF(ISERROR(SEARCH("ex",Tabella1[[#This Row],[Fumo]],1)),0,1)</f>
        <v>0</v>
      </c>
      <c r="X290" s="22">
        <f>IF(ISERROR(SEARCH("no",Tabella1[[#This Row],[Fumo]],1)),0,1)</f>
        <v>0</v>
      </c>
      <c r="Y290" s="7" t="s">
        <v>26</v>
      </c>
      <c r="Z290" s="17">
        <f>IF(ISERROR(SEARCH("NDD",Tabella1[[#This Row],[Bevitore alcolici]],1)),0,1)</f>
        <v>0</v>
      </c>
      <c r="AA290" s="17">
        <f>IF(ISERROR(SEARCH("raro",Tabella1[[#This Row],[Bevitore alcolici]],1)),0,1)</f>
        <v>0</v>
      </c>
      <c r="AB290" s="17">
        <f>IF(ISERROR(SEARCH("saltuariamente",Tabella1[[#This Row],[Bevitore alcolici]],1)),0,1)</f>
        <v>1</v>
      </c>
      <c r="AC290" s="17">
        <f>IF(ISERROR(SEARCH("nega",Tabella1[[#This Row],[Bevitore alcolici]],1)),0,1)</f>
        <v>0</v>
      </c>
      <c r="AD290" s="17">
        <f>IF(ISERROR(SEARCH("potus",Tabella1[[#This Row],[Bevitore alcolici]],1)),0,1)</f>
        <v>0</v>
      </c>
      <c r="AE290" s="7" t="s">
        <v>657</v>
      </c>
      <c r="AF290" s="17"/>
      <c r="AG290" s="17"/>
      <c r="AH290" s="17"/>
      <c r="AI290" s="17"/>
      <c r="AJ290" s="17"/>
      <c r="AK290" s="7" t="s">
        <v>28</v>
      </c>
      <c r="AL290" s="17">
        <f>IF(ISERROR(SEARCH("si",Tabella1[[#This Row],[Patente di guida]],1)),0,1)</f>
        <v>1</v>
      </c>
      <c r="AM290" s="7" t="s">
        <v>28</v>
      </c>
      <c r="AN290" s="17">
        <f>IF(ISERROR(SEARCH("no",Tabella1[[#This Row],[Ipertensione]],1)),0,1)</f>
        <v>0</v>
      </c>
      <c r="AO290" s="7" t="s">
        <v>382</v>
      </c>
      <c r="AP290" s="18">
        <f>IF(ISERROR(SEARCH("NO",Tabella1[[#This Row],[Cardiopatia ischemica]],1)),1,0)</f>
        <v>0</v>
      </c>
      <c r="AQ290" s="17">
        <f>IF(ISERROR(SEARCH("sconosciuto",Tabella1[[#This Row],[Cardiopatia ischemica]],1)),0,1)</f>
        <v>0</v>
      </c>
      <c r="AR290" s="7" t="s">
        <v>25</v>
      </c>
      <c r="AS290" s="22">
        <f>IF(ISERROR(SEARCH("nega",Tabella1[[#This Row],[Artimie]],1)),0,1)</f>
        <v>1</v>
      </c>
      <c r="AT290" s="7" t="s">
        <v>28</v>
      </c>
      <c r="AU290" s="22">
        <f>IF(ISERROR(SEARCH("nega",Tabella1[[#This Row],[Ipercolesterolemia]],1)),0,1)</f>
        <v>0</v>
      </c>
      <c r="AV290" s="22">
        <f>IF(ISERROR(SEARCH("boh",Tabella1[[#This Row],[Ipercolesterolemia]],1)),0,1)</f>
        <v>0</v>
      </c>
      <c r="AW290" s="7" t="s">
        <v>8</v>
      </c>
      <c r="AX290" s="22">
        <f>IF(ISERROR(SEARCH("Intolleranza",Tabella1[[#This Row],[Diabete]],1)),0,1)</f>
        <v>0</v>
      </c>
      <c r="AY290" s="22">
        <f>IF(ISERROR(SEARCH("si",Tabella1[[#This Row],[Diabete]],1)),0,1)</f>
        <v>0</v>
      </c>
      <c r="AZ290" s="7" t="s">
        <v>3776</v>
      </c>
      <c r="BA290" s="17">
        <f>IF(ISERROR(SEARCH("NDD",Tabella1[[#This Row],[Patologia Tiroidea]],1)),0,1)</f>
        <v>0</v>
      </c>
      <c r="BB290" s="22">
        <f>IF(ISERROR(SEARCH("TIROIDITE",Tabella1[[#This Row],[Patologia Tiroidea]],1)),0,1)</f>
        <v>1</v>
      </c>
      <c r="BC290" s="22">
        <f>IF(ISERROR(SEARCH("HASHIMOTO",Tabella1[[#This Row],[Patologia Tiroidea]],1)),0,1)</f>
        <v>0</v>
      </c>
      <c r="BD290" s="22">
        <f>IF(ISERROR(SEARCH("BASEDOW",Tabella1[[#This Row],[Patologia Tiroidea]],1)),0,1)</f>
        <v>0</v>
      </c>
      <c r="BE290" s="22">
        <f>IF(ISERROR(SEARCH("NOD",Tabella1[[#This Row],[Patologia Tiroidea]],1)),0,1)</f>
        <v>0</v>
      </c>
      <c r="BF290" s="22">
        <f>IF(ISERROR(SEARCH("GOZ",Tabella1[[#This Row],[Patologia Tiroidea]],1)),0,1)</f>
        <v>0</v>
      </c>
      <c r="BG290" s="7" t="s">
        <v>28</v>
      </c>
      <c r="BH290" s="17">
        <f>IF(Tabella1[[#This Row],[Obesità]]="no",0,1)</f>
        <v>1</v>
      </c>
      <c r="BI290" s="7" t="s">
        <v>25</v>
      </c>
      <c r="BJ290" s="22">
        <f>IF(ISERROR(SEARCH("nega",Tabella1[[#This Row],[Reflusso gastroesofageo]],1)),1,0)</f>
        <v>0</v>
      </c>
      <c r="BK290" s="7" t="s">
        <v>3353</v>
      </c>
      <c r="BL290" s="17">
        <f>IF(ISERROR(SEARCH("NDD",Tabella1[[#This Row],[Patologia respiratoria]],1)),0,1)</f>
        <v>0</v>
      </c>
      <c r="BM290" s="17">
        <f>IF(ISERROR(SEARCH("asma",Tabella1[[#This Row],[Patologia respiratoria]],1)),0,1)</f>
        <v>0</v>
      </c>
      <c r="BN290" s="17">
        <f>IF(ISERROR(SEARCH("BPCO",Tabella1[[#This Row],[Patologia respiratoria]],1)),0,1)</f>
        <v>0</v>
      </c>
      <c r="BO290" s="17">
        <f>IF(ISERROR(SEARCH("BRONCOPOLMONITE",Tabella1[[#This Row],[Patologia respiratoria]],1)),0,1)</f>
        <v>0</v>
      </c>
      <c r="BP290" s="17">
        <f>IF(ISERROR(SEARCH("ASMA, OSAS",Tabella1[[#This Row],[Patologia respiratoria]],1)),0,1)</f>
        <v>0</v>
      </c>
      <c r="BQ290" s="17">
        <f>IF(ISERROR(SEARCH("OSAS e BPCO",Tabella1[[#This Row],[Patologia respiratoria]],1)),0,1)</f>
        <v>0</v>
      </c>
      <c r="BR290" s="17">
        <f>IF(ISERROR(SEARCH("OSAS",Tabella1[[#This Row],[Patologia respiratoria]],1)),0,1)</f>
        <v>0</v>
      </c>
      <c r="BS290" s="7"/>
      <c r="BT290" s="7" t="s">
        <v>3354</v>
      </c>
      <c r="BU290" s="7" t="s">
        <v>195</v>
      </c>
      <c r="BV290" s="17">
        <f>IF(ISERROR(SEARCH("ndd",Tabella1[[#This Row],[O2 terapia]],1)),0,1)</f>
        <v>0</v>
      </c>
      <c r="BW290" s="17">
        <v>0</v>
      </c>
      <c r="BX290" s="7"/>
      <c r="BY290" s="7" t="s">
        <v>3355</v>
      </c>
      <c r="BZ290" s="17">
        <v>1</v>
      </c>
      <c r="CA290" s="7" t="s">
        <v>3356</v>
      </c>
      <c r="CB290" s="17">
        <v>0</v>
      </c>
      <c r="CC290" s="7" t="s">
        <v>3357</v>
      </c>
      <c r="CD290" s="17">
        <v>1</v>
      </c>
      <c r="CE290" s="7" t="s">
        <v>8</v>
      </c>
      <c r="CF290" s="18">
        <v>0</v>
      </c>
      <c r="CG290" s="7" t="s">
        <v>8</v>
      </c>
      <c r="CH290" s="17">
        <v>0</v>
      </c>
      <c r="CI290" s="7" t="s">
        <v>5477</v>
      </c>
      <c r="CJ290" s="17"/>
      <c r="CK290" s="7" t="s">
        <v>3358</v>
      </c>
      <c r="CL290" s="17">
        <v>1</v>
      </c>
      <c r="CM290" s="7" t="s">
        <v>8</v>
      </c>
      <c r="CN290" s="17">
        <v>0</v>
      </c>
      <c r="CO290" s="7" t="s">
        <v>28</v>
      </c>
      <c r="CP290" s="17">
        <v>1</v>
      </c>
      <c r="CQ290" s="7" t="s">
        <v>368</v>
      </c>
      <c r="CR290" s="7" t="s">
        <v>369</v>
      </c>
      <c r="CS290" s="7" t="s">
        <v>105</v>
      </c>
      <c r="CT290" s="7" t="s">
        <v>569</v>
      </c>
      <c r="CU290" s="7"/>
      <c r="CV290" s="8"/>
    </row>
    <row r="291" spans="1:100" ht="28.5">
      <c r="A291" s="1">
        <f t="shared" si="4"/>
        <v>290</v>
      </c>
      <c r="B291" s="9">
        <v>1705</v>
      </c>
      <c r="C291" s="10">
        <v>45629</v>
      </c>
      <c r="D291" s="11" t="s">
        <v>3359</v>
      </c>
      <c r="E291" s="10">
        <v>26741</v>
      </c>
      <c r="F291" s="29">
        <f ca="1">_xlfn.DAYS(NOW(),Tabella1[[#This Row],[Data di Nascita]])/365.25</f>
        <v>52.380561259411365</v>
      </c>
      <c r="G291" s="11" t="s">
        <v>3360</v>
      </c>
      <c r="H291" s="11" t="s">
        <v>3361</v>
      </c>
      <c r="I291" s="11" t="s">
        <v>3329</v>
      </c>
      <c r="J291" s="11" t="s">
        <v>3362</v>
      </c>
      <c r="K291" s="11" t="s">
        <v>881</v>
      </c>
      <c r="L291" s="18">
        <f>IF(ISERROR(SEARCH("EX",Tabella1[[#This Row],[Attività lavorativa]],1)),0,1)</f>
        <v>0</v>
      </c>
      <c r="M291" s="18"/>
      <c r="N291" s="18"/>
      <c r="O291" s="18"/>
      <c r="P291" s="18"/>
      <c r="Q291" s="18"/>
      <c r="R291" s="18"/>
      <c r="S291" s="18"/>
      <c r="T291" s="17">
        <f>IF(ISERROR(SEARCH("NDD",Tabella1[[#This Row],[Attività lavorativa]],1)),0,1)</f>
        <v>0</v>
      </c>
      <c r="U291" s="11" t="s">
        <v>8</v>
      </c>
      <c r="V291" s="22"/>
      <c r="W291" s="22">
        <f>IF(ISERROR(SEARCH("ex",Tabella1[[#This Row],[Fumo]],1)),0,1)</f>
        <v>0</v>
      </c>
      <c r="X291" s="22">
        <f>IF(ISERROR(SEARCH("no",Tabella1[[#This Row],[Fumo]],1)),0,1)</f>
        <v>1</v>
      </c>
      <c r="Y291" s="11" t="s">
        <v>26</v>
      </c>
      <c r="Z291" s="18">
        <f>IF(ISERROR(SEARCH("NDD",Tabella1[[#This Row],[Bevitore alcolici]],1)),0,1)</f>
        <v>0</v>
      </c>
      <c r="AA291" s="17">
        <f>IF(ISERROR(SEARCH("raro",Tabella1[[#This Row],[Bevitore alcolici]],1)),0,1)</f>
        <v>0</v>
      </c>
      <c r="AB291" s="17">
        <f>IF(ISERROR(SEARCH("saltuariamente",Tabella1[[#This Row],[Bevitore alcolici]],1)),0,1)</f>
        <v>1</v>
      </c>
      <c r="AC291" s="17">
        <f>IF(ISERROR(SEARCH("nega",Tabella1[[#This Row],[Bevitore alcolici]],1)),0,1)</f>
        <v>0</v>
      </c>
      <c r="AD291" s="17">
        <f>IF(ISERROR(SEARCH("potus",Tabella1[[#This Row],[Bevitore alcolici]],1)),0,1)</f>
        <v>0</v>
      </c>
      <c r="AE291" s="11" t="s">
        <v>3363</v>
      </c>
      <c r="AF291" s="18"/>
      <c r="AG291" s="18">
        <v>1</v>
      </c>
      <c r="AH291" s="18"/>
      <c r="AI291" s="18"/>
      <c r="AJ291" s="18"/>
      <c r="AK291" s="11" t="s">
        <v>28</v>
      </c>
      <c r="AL291" s="18">
        <f>IF(ISERROR(SEARCH("si",Tabella1[[#This Row],[Patente di guida]],1)),0,1)</f>
        <v>1</v>
      </c>
      <c r="AM291" s="11" t="s">
        <v>28</v>
      </c>
      <c r="AN291" s="18">
        <f>IF(ISERROR(SEARCH("no",Tabella1[[#This Row],[Ipertensione]],1)),0,1)</f>
        <v>0</v>
      </c>
      <c r="AO291" s="11" t="s">
        <v>382</v>
      </c>
      <c r="AP291" s="18">
        <f>IF(ISERROR(SEARCH("NO",Tabella1[[#This Row],[Cardiopatia ischemica]],1)),1,0)</f>
        <v>0</v>
      </c>
      <c r="AQ291" s="17">
        <f>IF(ISERROR(SEARCH("sconosciuto",Tabella1[[#This Row],[Cardiopatia ischemica]],1)),0,1)</f>
        <v>0</v>
      </c>
      <c r="AR291" s="11" t="s">
        <v>25</v>
      </c>
      <c r="AS291" s="22">
        <f>IF(ISERROR(SEARCH("nega",Tabella1[[#This Row],[Artimie]],1)),0,1)</f>
        <v>1</v>
      </c>
      <c r="AT291" s="11" t="s">
        <v>28</v>
      </c>
      <c r="AU291" s="22">
        <f>IF(ISERROR(SEARCH("nega",Tabella1[[#This Row],[Ipercolesterolemia]],1)),0,1)</f>
        <v>0</v>
      </c>
      <c r="AV291" s="22">
        <f>IF(ISERROR(SEARCH("boh",Tabella1[[#This Row],[Ipercolesterolemia]],1)),0,1)</f>
        <v>0</v>
      </c>
      <c r="AW291" s="11" t="s">
        <v>8</v>
      </c>
      <c r="AX291" s="22">
        <f>IF(ISERROR(SEARCH("Intolleranza",Tabella1[[#This Row],[Diabete]],1)),0,1)</f>
        <v>0</v>
      </c>
      <c r="AY291" s="22">
        <f>IF(ISERROR(SEARCH("si",Tabella1[[#This Row],[Diabete]],1)),0,1)</f>
        <v>0</v>
      </c>
      <c r="AZ291" s="11" t="s">
        <v>8</v>
      </c>
      <c r="BA291" s="18">
        <f>IF(ISERROR(SEARCH("NDD",Tabella1[[#This Row],[Patologia Tiroidea]],1)),0,1)</f>
        <v>0</v>
      </c>
      <c r="BB291" s="22">
        <f>IF(ISERROR(SEARCH("TIROIDITE",Tabella1[[#This Row],[Patologia Tiroidea]],1)),0,1)</f>
        <v>0</v>
      </c>
      <c r="BC291" s="22">
        <f>IF(ISERROR(SEARCH("HASHIMOTO",Tabella1[[#This Row],[Patologia Tiroidea]],1)),0,1)</f>
        <v>0</v>
      </c>
      <c r="BD291" s="22">
        <f>IF(ISERROR(SEARCH("BASEDOW",Tabella1[[#This Row],[Patologia Tiroidea]],1)),0,1)</f>
        <v>0</v>
      </c>
      <c r="BE291" s="22">
        <f>IF(ISERROR(SEARCH("NOD",Tabella1[[#This Row],[Patologia Tiroidea]],1)),0,1)</f>
        <v>0</v>
      </c>
      <c r="BF291" s="22">
        <f>IF(ISERROR(SEARCH("GOZ",Tabella1[[#This Row],[Patologia Tiroidea]],1)),0,1)</f>
        <v>0</v>
      </c>
      <c r="BG291" s="11" t="s">
        <v>5477</v>
      </c>
      <c r="BH291" s="18">
        <v>0</v>
      </c>
      <c r="BI291" s="11" t="s">
        <v>25</v>
      </c>
      <c r="BJ291" s="22">
        <f>IF(ISERROR(SEARCH("nega",Tabella1[[#This Row],[Reflusso gastroesofageo]],1)),1,0)</f>
        <v>0</v>
      </c>
      <c r="BK291" s="11" t="s">
        <v>8</v>
      </c>
      <c r="BL291" s="18">
        <f>IF(ISERROR(SEARCH("NDD",Tabella1[[#This Row],[Patologia respiratoria]],1)),0,1)</f>
        <v>0</v>
      </c>
      <c r="BM291" s="18">
        <f>IF(ISERROR(SEARCH("asma",Tabella1[[#This Row],[Patologia respiratoria]],1)),0,1)</f>
        <v>0</v>
      </c>
      <c r="BN291" s="18">
        <f>IF(ISERROR(SEARCH("BPCO",Tabella1[[#This Row],[Patologia respiratoria]],1)),0,1)</f>
        <v>0</v>
      </c>
      <c r="BO291" s="18">
        <f>IF(ISERROR(SEARCH("BRONCOPOLMONITE",Tabella1[[#This Row],[Patologia respiratoria]],1)),0,1)</f>
        <v>0</v>
      </c>
      <c r="BP291" s="18">
        <f>IF(ISERROR(SEARCH("ASMA, OSAS",Tabella1[[#This Row],[Patologia respiratoria]],1)),0,1)</f>
        <v>0</v>
      </c>
      <c r="BQ291" s="18">
        <f>IF(ISERROR(SEARCH("OSAS e BPCO",Tabella1[[#This Row],[Patologia respiratoria]],1)),0,1)</f>
        <v>0</v>
      </c>
      <c r="BR291" s="18">
        <f>IF(ISERROR(SEARCH("OSAS",Tabella1[[#This Row],[Patologia respiratoria]],1)),0,1)</f>
        <v>0</v>
      </c>
      <c r="BS291" s="11"/>
      <c r="BT291" s="11" t="s">
        <v>3364</v>
      </c>
      <c r="BU291" s="11" t="s">
        <v>195</v>
      </c>
      <c r="BV291" s="18">
        <f>IF(ISERROR(SEARCH("ndd",Tabella1[[#This Row],[O2 terapia]],1)),0,1)</f>
        <v>0</v>
      </c>
      <c r="BW291" s="17">
        <v>0</v>
      </c>
      <c r="BX291" s="11"/>
      <c r="BY291" s="11" t="s">
        <v>8</v>
      </c>
      <c r="BZ291" s="18">
        <v>0</v>
      </c>
      <c r="CA291" s="11" t="s">
        <v>3365</v>
      </c>
      <c r="CB291" s="17">
        <v>0</v>
      </c>
      <c r="CC291" s="11" t="s">
        <v>8</v>
      </c>
      <c r="CD291" s="18">
        <v>0</v>
      </c>
      <c r="CE291" s="11" t="s">
        <v>8</v>
      </c>
      <c r="CF291" s="18">
        <v>0</v>
      </c>
      <c r="CG291" s="11" t="s">
        <v>28</v>
      </c>
      <c r="CH291" s="17">
        <v>1</v>
      </c>
      <c r="CI291" s="11" t="s">
        <v>8</v>
      </c>
      <c r="CJ291" s="18">
        <v>0</v>
      </c>
      <c r="CK291" s="11" t="s">
        <v>8</v>
      </c>
      <c r="CL291" s="17">
        <v>0</v>
      </c>
      <c r="CM291" s="11" t="s">
        <v>8</v>
      </c>
      <c r="CN291" s="17">
        <v>0</v>
      </c>
      <c r="CO291" s="11" t="s">
        <v>28</v>
      </c>
      <c r="CP291" s="17">
        <v>1</v>
      </c>
      <c r="CQ291" s="11" t="s">
        <v>69</v>
      </c>
      <c r="CR291" s="11" t="s">
        <v>3366</v>
      </c>
      <c r="CS291" s="11" t="s">
        <v>71</v>
      </c>
      <c r="CT291" s="11" t="s">
        <v>1922</v>
      </c>
      <c r="CU291" s="11"/>
      <c r="CV291" s="12"/>
    </row>
    <row r="292" spans="1:100" ht="28.5">
      <c r="A292" s="1">
        <f t="shared" si="4"/>
        <v>291</v>
      </c>
      <c r="B292" s="5">
        <v>1736</v>
      </c>
      <c r="C292" s="6">
        <v>45649</v>
      </c>
      <c r="D292" s="7" t="s">
        <v>3367</v>
      </c>
      <c r="E292" s="6">
        <v>26300</v>
      </c>
      <c r="F292" s="29">
        <f ca="1">_xlfn.DAYS(NOW(),Tabella1[[#This Row],[Data di Nascita]])/365.25</f>
        <v>53.587953456536617</v>
      </c>
      <c r="G292" s="7" t="s">
        <v>3368</v>
      </c>
      <c r="H292" s="7" t="s">
        <v>3369</v>
      </c>
      <c r="I292" s="7" t="s">
        <v>3329</v>
      </c>
      <c r="J292" s="7" t="s">
        <v>618</v>
      </c>
      <c r="K292" s="7" t="s">
        <v>3370</v>
      </c>
      <c r="L292" s="17">
        <f>IF(ISERROR(SEARCH("EX",Tabella1[[#This Row],[Attività lavorativa]],1)),0,1)</f>
        <v>0</v>
      </c>
      <c r="M292" s="17"/>
      <c r="N292" s="17"/>
      <c r="O292" s="17"/>
      <c r="P292" s="17"/>
      <c r="Q292" s="17"/>
      <c r="R292" s="17"/>
      <c r="S292" s="17"/>
      <c r="T292" s="17">
        <f>IF(ISERROR(SEARCH("NDD",Tabella1[[#This Row],[Attività lavorativa]],1)),0,1)</f>
        <v>0</v>
      </c>
      <c r="U292" s="7" t="s">
        <v>3298</v>
      </c>
      <c r="V292" s="22">
        <v>30</v>
      </c>
      <c r="W292" s="22">
        <f>IF(ISERROR(SEARCH("ex",Tabella1[[#This Row],[Fumo]],1)),0,1)</f>
        <v>0</v>
      </c>
      <c r="X292" s="22">
        <f>IF(ISERROR(SEARCH("no",Tabella1[[#This Row],[Fumo]],1)),0,1)</f>
        <v>0</v>
      </c>
      <c r="Y292" s="7" t="s">
        <v>1395</v>
      </c>
      <c r="Z292" s="17">
        <f>IF(ISERROR(SEARCH("NDD",Tabella1[[#This Row],[Bevitore alcolici]],1)),0,1)</f>
        <v>0</v>
      </c>
      <c r="AA292" s="17">
        <f>IF(ISERROR(SEARCH("raro",Tabella1[[#This Row],[Bevitore alcolici]],1)),0,1)</f>
        <v>1</v>
      </c>
      <c r="AB292" s="17">
        <f>IF(ISERROR(SEARCH("saltuariamente",Tabella1[[#This Row],[Bevitore alcolici]],1)),0,1)</f>
        <v>0</v>
      </c>
      <c r="AC292" s="17">
        <f>IF(ISERROR(SEARCH("nega",Tabella1[[#This Row],[Bevitore alcolici]],1)),0,1)</f>
        <v>0</v>
      </c>
      <c r="AD292" s="17">
        <f>IF(ISERROR(SEARCH("potus",Tabella1[[#This Row],[Bevitore alcolici]],1)),0,1)</f>
        <v>0</v>
      </c>
      <c r="AE292" s="7" t="s">
        <v>657</v>
      </c>
      <c r="AF292" s="17"/>
      <c r="AG292" s="17"/>
      <c r="AH292" s="17"/>
      <c r="AI292" s="17"/>
      <c r="AJ292" s="17"/>
      <c r="AK292" s="7" t="s">
        <v>28</v>
      </c>
      <c r="AL292" s="17">
        <f>IF(ISERROR(SEARCH("si",Tabella1[[#This Row],[Patente di guida]],1)),0,1)</f>
        <v>1</v>
      </c>
      <c r="AM292" s="7" t="s">
        <v>8</v>
      </c>
      <c r="AN292" s="17">
        <f>IF(ISERROR(SEARCH("no",Tabella1[[#This Row],[Ipertensione]],1)),0,1)</f>
        <v>1</v>
      </c>
      <c r="AO292" s="7" t="s">
        <v>382</v>
      </c>
      <c r="AP292" s="18">
        <f>IF(ISERROR(SEARCH("NO",Tabella1[[#This Row],[Cardiopatia ischemica]],1)),1,0)</f>
        <v>0</v>
      </c>
      <c r="AQ292" s="17">
        <f>IF(ISERROR(SEARCH("sconosciuto",Tabella1[[#This Row],[Cardiopatia ischemica]],1)),0,1)</f>
        <v>0</v>
      </c>
      <c r="AR292" s="7" t="s">
        <v>25</v>
      </c>
      <c r="AS292" s="17">
        <f>IF(ISERROR(SEARCH("nega",Tabella1[[#This Row],[Artimie]],1)),0,1)</f>
        <v>1</v>
      </c>
      <c r="AT292" s="7" t="s">
        <v>28</v>
      </c>
      <c r="AU292" s="17">
        <f>IF(ISERROR(SEARCH("nega",Tabella1[[#This Row],[Ipercolesterolemia]],1)),0,1)</f>
        <v>0</v>
      </c>
      <c r="AV292" s="17">
        <f>IF(ISERROR(SEARCH("boh",Tabella1[[#This Row],[Ipercolesterolemia]],1)),0,1)</f>
        <v>0</v>
      </c>
      <c r="AW292" s="7" t="s">
        <v>28</v>
      </c>
      <c r="AX292" s="17">
        <f>IF(ISERROR(SEARCH("Intolleranza",Tabella1[[#This Row],[Diabete]],1)),0,1)</f>
        <v>0</v>
      </c>
      <c r="AY292" s="17">
        <f>IF(ISERROR(SEARCH("si",Tabella1[[#This Row],[Diabete]],1)),0,1)</f>
        <v>1</v>
      </c>
      <c r="AZ292" s="7" t="s">
        <v>8</v>
      </c>
      <c r="BA292" s="17">
        <f>IF(ISERROR(SEARCH("NDD",Tabella1[[#This Row],[Patologia Tiroidea]],1)),0,1)</f>
        <v>0</v>
      </c>
      <c r="BB292" s="17">
        <f>IF(ISERROR(SEARCH("TIROIDITE",Tabella1[[#This Row],[Patologia Tiroidea]],1)),0,1)</f>
        <v>0</v>
      </c>
      <c r="BC292" s="17">
        <f>IF(ISERROR(SEARCH("HASHIMOTO",Tabella1[[#This Row],[Patologia Tiroidea]],1)),0,1)</f>
        <v>0</v>
      </c>
      <c r="BD292" s="17">
        <f>IF(ISERROR(SEARCH("BASEDOW",Tabella1[[#This Row],[Patologia Tiroidea]],1)),0,1)</f>
        <v>0</v>
      </c>
      <c r="BE292" s="17">
        <f>IF(ISERROR(SEARCH("NOD",Tabella1[[#This Row],[Patologia Tiroidea]],1)),0,1)</f>
        <v>0</v>
      </c>
      <c r="BF292" s="17">
        <f>IF(ISERROR(SEARCH("GOZ",Tabella1[[#This Row],[Patologia Tiroidea]],1)),0,1)</f>
        <v>0</v>
      </c>
      <c r="BG292" s="7" t="s">
        <v>8</v>
      </c>
      <c r="BH292" s="17">
        <f>IF(Tabella1[[#This Row],[Obesità]]="no",0,1)</f>
        <v>0</v>
      </c>
      <c r="BI292" s="7" t="s">
        <v>25</v>
      </c>
      <c r="BJ292" s="22">
        <f>IF(ISERROR(SEARCH("nega",Tabella1[[#This Row],[Reflusso gastroesofageo]],1)),1,0)</f>
        <v>0</v>
      </c>
      <c r="BK292" s="7" t="s">
        <v>8</v>
      </c>
      <c r="BL292" s="17">
        <f>IF(ISERROR(SEARCH("NDD",Tabella1[[#This Row],[Patologia respiratoria]],1)),0,1)</f>
        <v>0</v>
      </c>
      <c r="BM292" s="17">
        <f>IF(ISERROR(SEARCH("asma",Tabella1[[#This Row],[Patologia respiratoria]],1)),0,1)</f>
        <v>0</v>
      </c>
      <c r="BN292" s="17">
        <f>IF(ISERROR(SEARCH("BPCO",Tabella1[[#This Row],[Patologia respiratoria]],1)),0,1)</f>
        <v>0</v>
      </c>
      <c r="BO292" s="17">
        <f>IF(ISERROR(SEARCH("BRONCOPOLMONITE",Tabella1[[#This Row],[Patologia respiratoria]],1)),0,1)</f>
        <v>0</v>
      </c>
      <c r="BP292" s="17">
        <f>IF(ISERROR(SEARCH("ASMA, OSAS",Tabella1[[#This Row],[Patologia respiratoria]],1)),0,1)</f>
        <v>0</v>
      </c>
      <c r="BQ292" s="17">
        <f>IF(ISERROR(SEARCH("OSAS e BPCO",Tabella1[[#This Row],[Patologia respiratoria]],1)),0,1)</f>
        <v>0</v>
      </c>
      <c r="BR292" s="17">
        <f>IF(ISERROR(SEARCH("OSAS",Tabella1[[#This Row],[Patologia respiratoria]],1)),0,1)</f>
        <v>0</v>
      </c>
      <c r="BS292" s="7" t="s">
        <v>8</v>
      </c>
      <c r="BT292" s="7" t="s">
        <v>3371</v>
      </c>
      <c r="BU292" s="7" t="s">
        <v>5477</v>
      </c>
      <c r="BV292" s="17">
        <f>IF(ISERROR(SEARCH("ndd",Tabella1[[#This Row],[O2 terapia]],1)),0,1)</f>
        <v>1</v>
      </c>
      <c r="BW292" s="17"/>
      <c r="BX292" s="7"/>
      <c r="BY292" s="7" t="s">
        <v>26</v>
      </c>
      <c r="BZ292" s="17">
        <v>1</v>
      </c>
      <c r="CA292" s="7" t="s">
        <v>8</v>
      </c>
      <c r="CB292" s="17">
        <v>0</v>
      </c>
      <c r="CC292" s="7" t="s">
        <v>26</v>
      </c>
      <c r="CD292" s="17">
        <v>1</v>
      </c>
      <c r="CE292" s="7" t="s">
        <v>8</v>
      </c>
      <c r="CF292" s="18">
        <v>0</v>
      </c>
      <c r="CG292" s="7" t="s">
        <v>8</v>
      </c>
      <c r="CH292" s="17">
        <v>0</v>
      </c>
      <c r="CI292" s="7" t="s">
        <v>8</v>
      </c>
      <c r="CJ292" s="18">
        <v>0</v>
      </c>
      <c r="CK292" s="7" t="s">
        <v>8</v>
      </c>
      <c r="CL292" s="17">
        <v>0</v>
      </c>
      <c r="CM292" s="7" t="s">
        <v>26</v>
      </c>
      <c r="CN292" s="17">
        <v>1</v>
      </c>
      <c r="CO292" s="7" t="s">
        <v>8</v>
      </c>
      <c r="CP292" s="18">
        <v>0</v>
      </c>
      <c r="CQ292" s="7" t="s">
        <v>69</v>
      </c>
      <c r="CR292" s="7" t="s">
        <v>3372</v>
      </c>
      <c r="CS292" s="7" t="s">
        <v>71</v>
      </c>
      <c r="CT292" s="7" t="s">
        <v>72</v>
      </c>
      <c r="CU292" s="7"/>
      <c r="CV292" s="8"/>
    </row>
    <row r="293" spans="1:100" ht="42.75">
      <c r="A293" s="1">
        <f t="shared" si="4"/>
        <v>292</v>
      </c>
      <c r="B293" s="9">
        <v>1738</v>
      </c>
      <c r="C293" s="10">
        <v>45650</v>
      </c>
      <c r="D293" s="11" t="s">
        <v>3373</v>
      </c>
      <c r="E293" s="10">
        <v>20356</v>
      </c>
      <c r="F293" s="29">
        <f ca="1">_xlfn.DAYS(NOW(),Tabella1[[#This Row],[Data di Nascita]])/365.25</f>
        <v>69.861738535249827</v>
      </c>
      <c r="G293" s="11" t="s">
        <v>3374</v>
      </c>
      <c r="H293" s="11" t="s">
        <v>3375</v>
      </c>
      <c r="I293" s="11" t="s">
        <v>3376</v>
      </c>
      <c r="J293" s="11" t="s">
        <v>1700</v>
      </c>
      <c r="K293" s="11" t="s">
        <v>3377</v>
      </c>
      <c r="L293" s="18">
        <f>IF(ISERROR(SEARCH("EX",Tabella1[[#This Row],[Attività lavorativa]],1)),0,1)</f>
        <v>1</v>
      </c>
      <c r="M293" s="18"/>
      <c r="N293" s="18"/>
      <c r="O293" s="18"/>
      <c r="P293" s="18"/>
      <c r="Q293" s="18"/>
      <c r="R293" s="18"/>
      <c r="S293" s="18"/>
      <c r="T293" s="17">
        <f>IF(ISERROR(SEARCH("NDD",Tabella1[[#This Row],[Attività lavorativa]],1)),0,1)</f>
        <v>0</v>
      </c>
      <c r="U293" s="11" t="s">
        <v>8</v>
      </c>
      <c r="V293" s="22"/>
      <c r="W293" s="22">
        <f>IF(ISERROR(SEARCH("ex",Tabella1[[#This Row],[Fumo]],1)),0,1)</f>
        <v>0</v>
      </c>
      <c r="X293" s="22">
        <f>IF(ISERROR(SEARCH("no",Tabella1[[#This Row],[Fumo]],1)),0,1)</f>
        <v>1</v>
      </c>
      <c r="Y293" s="11" t="s">
        <v>3378</v>
      </c>
      <c r="Z293" s="18">
        <f>IF(ISERROR(SEARCH("NDD",Tabella1[[#This Row],[Bevitore alcolici]],1)),0,1)</f>
        <v>0</v>
      </c>
      <c r="AA293" s="17">
        <f>IF(ISERROR(SEARCH("raro",Tabella1[[#This Row],[Bevitore alcolici]],1)),0,1)</f>
        <v>0</v>
      </c>
      <c r="AB293" s="17">
        <f>IF(ISERROR(SEARCH("saltuariamente",Tabella1[[#This Row],[Bevitore alcolici]],1)),0,1)</f>
        <v>0</v>
      </c>
      <c r="AC293" s="17">
        <f>IF(ISERROR(SEARCH("nega",Tabella1[[#This Row],[Bevitore alcolici]],1)),0,1)</f>
        <v>0</v>
      </c>
      <c r="AD293" s="17">
        <f>IF(ISERROR(SEARCH("potus",Tabella1[[#This Row],[Bevitore alcolici]],1)),0,1)</f>
        <v>0</v>
      </c>
      <c r="AE293" s="11" t="s">
        <v>3379</v>
      </c>
      <c r="AF293" s="18"/>
      <c r="AG293" s="18"/>
      <c r="AH293" s="18">
        <v>1</v>
      </c>
      <c r="AI293" s="18"/>
      <c r="AJ293" s="18"/>
      <c r="AK293" s="11" t="s">
        <v>5477</v>
      </c>
      <c r="AL293" s="18">
        <f>IF(ISERROR(SEARCH("si",Tabella1[[#This Row],[Patente di guida]],1)),0,1)</f>
        <v>0</v>
      </c>
      <c r="AM293" s="11" t="s">
        <v>8</v>
      </c>
      <c r="AN293" s="18">
        <f>IF(ISERROR(SEARCH("no",Tabella1[[#This Row],[Ipertensione]],1)),0,1)</f>
        <v>1</v>
      </c>
      <c r="AO293" s="11" t="s">
        <v>382</v>
      </c>
      <c r="AP293" s="18">
        <f>IF(ISERROR(SEARCH("NO",Tabella1[[#This Row],[Cardiopatia ischemica]],1)),1,0)</f>
        <v>0</v>
      </c>
      <c r="AQ293" s="17">
        <f>IF(ISERROR(SEARCH("sconosciuto",Tabella1[[#This Row],[Cardiopatia ischemica]],1)),0,1)</f>
        <v>0</v>
      </c>
      <c r="AR293" s="11" t="s">
        <v>25</v>
      </c>
      <c r="AS293" s="22">
        <f>IF(ISERROR(SEARCH("nega",Tabella1[[#This Row],[Artimie]],1)),0,1)</f>
        <v>1</v>
      </c>
      <c r="AT293" s="11" t="s">
        <v>25</v>
      </c>
      <c r="AU293" s="22">
        <f>IF(ISERROR(SEARCH("nega",Tabella1[[#This Row],[Ipercolesterolemia]],1)),0,1)</f>
        <v>1</v>
      </c>
      <c r="AV293" s="22">
        <f>IF(ISERROR(SEARCH("boh",Tabella1[[#This Row],[Ipercolesterolemia]],1)),0,1)</f>
        <v>0</v>
      </c>
      <c r="AW293" s="11" t="s">
        <v>28</v>
      </c>
      <c r="AX293" s="22">
        <f>IF(ISERROR(SEARCH("Intolleranza",Tabella1[[#This Row],[Diabete]],1)),0,1)</f>
        <v>0</v>
      </c>
      <c r="AY293" s="22">
        <f>IF(ISERROR(SEARCH("si",Tabella1[[#This Row],[Diabete]],1)),0,1)</f>
        <v>1</v>
      </c>
      <c r="AZ293" s="11" t="s">
        <v>3380</v>
      </c>
      <c r="BA293" s="18">
        <f>IF(ISERROR(SEARCH("NDD",Tabella1[[#This Row],[Patologia Tiroidea]],1)),0,1)</f>
        <v>0</v>
      </c>
      <c r="BB293" s="22">
        <f>IF(ISERROR(SEARCH("TIROIDITE",Tabella1[[#This Row],[Patologia Tiroidea]],1)),0,1)</f>
        <v>0</v>
      </c>
      <c r="BC293" s="22">
        <f>IF(ISERROR(SEARCH("HASHIMOTO",Tabella1[[#This Row],[Patologia Tiroidea]],1)),0,1)</f>
        <v>0</v>
      </c>
      <c r="BD293" s="22">
        <f>IF(ISERROR(SEARCH("BASEDOW",Tabella1[[#This Row],[Patologia Tiroidea]],1)),0,1)</f>
        <v>0</v>
      </c>
      <c r="BE293" s="22">
        <f>IF(ISERROR(SEARCH("NOD",Tabella1[[#This Row],[Patologia Tiroidea]],1)),0,1)</f>
        <v>0</v>
      </c>
      <c r="BF293" s="22">
        <f>IF(ISERROR(SEARCH("GOZ",Tabella1[[#This Row],[Patologia Tiroidea]],1)),0,1)</f>
        <v>0</v>
      </c>
      <c r="BG293" s="11" t="s">
        <v>28</v>
      </c>
      <c r="BH293" s="18">
        <f>IF(Tabella1[[#This Row],[Obesità]]="no",0,1)</f>
        <v>1</v>
      </c>
      <c r="BI293" s="11" t="s">
        <v>25</v>
      </c>
      <c r="BJ293" s="22">
        <f>IF(ISERROR(SEARCH("nega",Tabella1[[#This Row],[Reflusso gastroesofageo]],1)),1,0)</f>
        <v>0</v>
      </c>
      <c r="BK293" s="11" t="s">
        <v>3808</v>
      </c>
      <c r="BL293" s="18">
        <f>IF(ISERROR(SEARCH("NDD",Tabella1[[#This Row],[Patologia respiratoria]],1)),0,1)</f>
        <v>0</v>
      </c>
      <c r="BM293" s="18">
        <f>IF(ISERROR(SEARCH("asma",Tabella1[[#This Row],[Patologia respiratoria]],1)),0,1)</f>
        <v>1</v>
      </c>
      <c r="BN293" s="18">
        <f>IF(ISERROR(SEARCH("BPCO",Tabella1[[#This Row],[Patologia respiratoria]],1)),0,1)</f>
        <v>0</v>
      </c>
      <c r="BO293" s="18">
        <f>IF(ISERROR(SEARCH("BRONCOPOLMONITE",Tabella1[[#This Row],[Patologia respiratoria]],1)),0,1)</f>
        <v>0</v>
      </c>
      <c r="BP293" s="18">
        <f>IF(ISERROR(SEARCH("ASMA, OSAS",Tabella1[[#This Row],[Patologia respiratoria]],1)),0,1)</f>
        <v>0</v>
      </c>
      <c r="BQ293" s="18">
        <f>IF(ISERROR(SEARCH("OSAS e BPCO",Tabella1[[#This Row],[Patologia respiratoria]],1)),0,1)</f>
        <v>0</v>
      </c>
      <c r="BR293" s="18">
        <f>IF(ISERROR(SEARCH("OSAS",Tabella1[[#This Row],[Patologia respiratoria]],1)),0,1)</f>
        <v>0</v>
      </c>
      <c r="BS293" s="11" t="s">
        <v>3381</v>
      </c>
      <c r="BT293" s="11" t="s">
        <v>3382</v>
      </c>
      <c r="BU293" s="11" t="s">
        <v>8</v>
      </c>
      <c r="BV293" s="18">
        <f>IF(ISERROR(SEARCH("ndd",Tabella1[[#This Row],[O2 terapia]],1)),0,1)</f>
        <v>0</v>
      </c>
      <c r="BW293" s="17">
        <v>0</v>
      </c>
      <c r="BX293" s="11"/>
      <c r="BY293" s="11" t="s">
        <v>3383</v>
      </c>
      <c r="BZ293" s="17">
        <v>1</v>
      </c>
      <c r="CA293" s="11" t="s">
        <v>3384</v>
      </c>
      <c r="CB293" s="17">
        <v>0</v>
      </c>
      <c r="CC293" s="11" t="s">
        <v>8</v>
      </c>
      <c r="CD293" s="18">
        <v>0</v>
      </c>
      <c r="CE293" s="11" t="s">
        <v>8</v>
      </c>
      <c r="CF293" s="18">
        <v>0</v>
      </c>
      <c r="CG293" s="11" t="s">
        <v>3334</v>
      </c>
      <c r="CH293" s="17">
        <v>1</v>
      </c>
      <c r="CI293" s="11" t="s">
        <v>26</v>
      </c>
      <c r="CJ293" s="17">
        <v>1</v>
      </c>
      <c r="CK293" s="11" t="s">
        <v>3385</v>
      </c>
      <c r="CL293" s="17">
        <v>1</v>
      </c>
      <c r="CM293" s="11" t="s">
        <v>8</v>
      </c>
      <c r="CN293" s="17">
        <v>0</v>
      </c>
      <c r="CO293" s="11" t="s">
        <v>26</v>
      </c>
      <c r="CP293" s="17">
        <v>1</v>
      </c>
      <c r="CQ293" s="11" t="s">
        <v>317</v>
      </c>
      <c r="CR293" s="11" t="s">
        <v>369</v>
      </c>
      <c r="CS293" s="11" t="s">
        <v>37</v>
      </c>
      <c r="CT293" s="11" t="s">
        <v>72</v>
      </c>
      <c r="CU293" s="11"/>
      <c r="CV293" s="12"/>
    </row>
    <row r="294" spans="1:100">
      <c r="A294" s="1">
        <f t="shared" si="4"/>
        <v>293</v>
      </c>
      <c r="B294" s="5">
        <v>1743</v>
      </c>
      <c r="C294" s="6">
        <v>45667</v>
      </c>
      <c r="D294" s="7" t="s">
        <v>3386</v>
      </c>
      <c r="E294" s="6">
        <v>23843</v>
      </c>
      <c r="F294" s="29">
        <f ca="1">_xlfn.DAYS(NOW(),Tabella1[[#This Row],[Data di Nascita]])/365.25</f>
        <v>60.314852840520189</v>
      </c>
      <c r="G294" s="7" t="s">
        <v>3387</v>
      </c>
      <c r="H294" s="7" t="s">
        <v>3388</v>
      </c>
      <c r="I294" s="7" t="s">
        <v>3329</v>
      </c>
      <c r="J294" s="7" t="s">
        <v>618</v>
      </c>
      <c r="K294" s="7" t="s">
        <v>297</v>
      </c>
      <c r="L294" s="17">
        <f>IF(ISERROR(SEARCH("EX",Tabella1[[#This Row],[Attività lavorativa]],1)),0,1)</f>
        <v>0</v>
      </c>
      <c r="M294" s="17"/>
      <c r="N294" s="17"/>
      <c r="O294" s="17"/>
      <c r="P294" s="17"/>
      <c r="Q294" s="17"/>
      <c r="R294" s="17"/>
      <c r="S294" s="17"/>
      <c r="T294" s="17">
        <f>IF(ISERROR(SEARCH("NDD",Tabella1[[#This Row],[Attività lavorativa]],1)),0,1)</f>
        <v>0</v>
      </c>
      <c r="U294" s="7" t="s">
        <v>8</v>
      </c>
      <c r="V294" s="22"/>
      <c r="W294" s="22">
        <f>IF(ISERROR(SEARCH("ex",Tabella1[[#This Row],[Fumo]],1)),0,1)</f>
        <v>0</v>
      </c>
      <c r="X294" s="22">
        <f>IF(ISERROR(SEARCH("no",Tabella1[[#This Row],[Fumo]],1)),0,1)</f>
        <v>1</v>
      </c>
      <c r="Y294" s="7" t="s">
        <v>25</v>
      </c>
      <c r="Z294" s="17">
        <f>IF(ISERROR(SEARCH("NDD",Tabella1[[#This Row],[Bevitore alcolici]],1)),0,1)</f>
        <v>0</v>
      </c>
      <c r="AA294" s="17">
        <f>IF(ISERROR(SEARCH("raro",Tabella1[[#This Row],[Bevitore alcolici]],1)),0,1)</f>
        <v>0</v>
      </c>
      <c r="AB294" s="17">
        <f>IF(ISERROR(SEARCH("saltuariamente",Tabella1[[#This Row],[Bevitore alcolici]],1)),0,1)</f>
        <v>0</v>
      </c>
      <c r="AC294" s="17">
        <f>IF(ISERROR(SEARCH("nega",Tabella1[[#This Row],[Bevitore alcolici]],1)),0,1)</f>
        <v>1</v>
      </c>
      <c r="AD294" s="17">
        <f>IF(ISERROR(SEARCH("potus",Tabella1[[#This Row],[Bevitore alcolici]],1)),0,1)</f>
        <v>0</v>
      </c>
      <c r="AE294" s="7" t="s">
        <v>657</v>
      </c>
      <c r="AF294" s="17"/>
      <c r="AG294" s="17"/>
      <c r="AH294" s="17"/>
      <c r="AI294" s="17"/>
      <c r="AJ294" s="17"/>
      <c r="AK294" s="7" t="s">
        <v>28</v>
      </c>
      <c r="AL294" s="17">
        <f>IF(ISERROR(SEARCH("si",Tabella1[[#This Row],[Patente di guida]],1)),0,1)</f>
        <v>1</v>
      </c>
      <c r="AM294" s="7" t="s">
        <v>8</v>
      </c>
      <c r="AN294" s="17">
        <f>IF(ISERROR(SEARCH("no",Tabella1[[#This Row],[Ipertensione]],1)),0,1)</f>
        <v>1</v>
      </c>
      <c r="AO294" s="7" t="s">
        <v>382</v>
      </c>
      <c r="AP294" s="18">
        <f>IF(ISERROR(SEARCH("NO",Tabella1[[#This Row],[Cardiopatia ischemica]],1)),1,0)</f>
        <v>0</v>
      </c>
      <c r="AQ294" s="17">
        <f>IF(ISERROR(SEARCH("sconosciuto",Tabella1[[#This Row],[Cardiopatia ischemica]],1)),0,1)</f>
        <v>0</v>
      </c>
      <c r="AR294" s="7" t="s">
        <v>25</v>
      </c>
      <c r="AS294" s="22">
        <f>IF(ISERROR(SEARCH("nega",Tabella1[[#This Row],[Artimie]],1)),0,1)</f>
        <v>1</v>
      </c>
      <c r="AT294" s="7" t="s">
        <v>25</v>
      </c>
      <c r="AU294" s="22">
        <f>IF(ISERROR(SEARCH("nega",Tabella1[[#This Row],[Ipercolesterolemia]],1)),0,1)</f>
        <v>1</v>
      </c>
      <c r="AV294" s="22">
        <f>IF(ISERROR(SEARCH("boh",Tabella1[[#This Row],[Ipercolesterolemia]],1)),0,1)</f>
        <v>0</v>
      </c>
      <c r="AW294" s="7" t="s">
        <v>8</v>
      </c>
      <c r="AX294" s="22">
        <f>IF(ISERROR(SEARCH("Intolleranza",Tabella1[[#This Row],[Diabete]],1)),0,1)</f>
        <v>0</v>
      </c>
      <c r="AY294" s="22">
        <f>IF(ISERROR(SEARCH("si",Tabella1[[#This Row],[Diabete]],1)),0,1)</f>
        <v>0</v>
      </c>
      <c r="AZ294" s="7" t="s">
        <v>8</v>
      </c>
      <c r="BA294" s="17">
        <f>IF(ISERROR(SEARCH("NDD",Tabella1[[#This Row],[Patologia Tiroidea]],1)),0,1)</f>
        <v>0</v>
      </c>
      <c r="BB294" s="22">
        <f>IF(ISERROR(SEARCH("TIROIDITE",Tabella1[[#This Row],[Patologia Tiroidea]],1)),0,1)</f>
        <v>0</v>
      </c>
      <c r="BC294" s="22">
        <f>IF(ISERROR(SEARCH("HASHIMOTO",Tabella1[[#This Row],[Patologia Tiroidea]],1)),0,1)</f>
        <v>0</v>
      </c>
      <c r="BD294" s="22">
        <f>IF(ISERROR(SEARCH("BASEDOW",Tabella1[[#This Row],[Patologia Tiroidea]],1)),0,1)</f>
        <v>0</v>
      </c>
      <c r="BE294" s="22">
        <f>IF(ISERROR(SEARCH("NOD",Tabella1[[#This Row],[Patologia Tiroidea]],1)),0,1)</f>
        <v>0</v>
      </c>
      <c r="BF294" s="22">
        <f>IF(ISERROR(SEARCH("GOZ",Tabella1[[#This Row],[Patologia Tiroidea]],1)),0,1)</f>
        <v>0</v>
      </c>
      <c r="BG294" s="7" t="s">
        <v>8</v>
      </c>
      <c r="BH294" s="17">
        <f>IF(Tabella1[[#This Row],[Obesità]]="no",0,1)</f>
        <v>0</v>
      </c>
      <c r="BI294" s="7" t="s">
        <v>25</v>
      </c>
      <c r="BJ294" s="22">
        <f>IF(ISERROR(SEARCH("nega",Tabella1[[#This Row],[Reflusso gastroesofageo]],1)),1,0)</f>
        <v>0</v>
      </c>
      <c r="BK294" s="7" t="s">
        <v>8</v>
      </c>
      <c r="BL294" s="17">
        <f>IF(ISERROR(SEARCH("NDD",Tabella1[[#This Row],[Patologia respiratoria]],1)),0,1)</f>
        <v>0</v>
      </c>
      <c r="BM294" s="17">
        <f>IF(ISERROR(SEARCH("asma",Tabella1[[#This Row],[Patologia respiratoria]],1)),0,1)</f>
        <v>0</v>
      </c>
      <c r="BN294" s="17">
        <f>IF(ISERROR(SEARCH("BPCO",Tabella1[[#This Row],[Patologia respiratoria]],1)),0,1)</f>
        <v>0</v>
      </c>
      <c r="BO294" s="17">
        <f>IF(ISERROR(SEARCH("BRONCOPOLMONITE",Tabella1[[#This Row],[Patologia respiratoria]],1)),0,1)</f>
        <v>0</v>
      </c>
      <c r="BP294" s="17">
        <f>IF(ISERROR(SEARCH("ASMA, OSAS",Tabella1[[#This Row],[Patologia respiratoria]],1)),0,1)</f>
        <v>0</v>
      </c>
      <c r="BQ294" s="17">
        <f>IF(ISERROR(SEARCH("OSAS e BPCO",Tabella1[[#This Row],[Patologia respiratoria]],1)),0,1)</f>
        <v>0</v>
      </c>
      <c r="BR294" s="17">
        <f>IF(ISERROR(SEARCH("OSAS",Tabella1[[#This Row],[Patologia respiratoria]],1)),0,1)</f>
        <v>0</v>
      </c>
      <c r="BS294" s="7" t="s">
        <v>3389</v>
      </c>
      <c r="BT294" s="7" t="s">
        <v>8</v>
      </c>
      <c r="BU294" s="7" t="s">
        <v>8</v>
      </c>
      <c r="BV294" s="17">
        <f>IF(ISERROR(SEARCH("ndd",Tabella1[[#This Row],[O2 terapia]],1)),0,1)</f>
        <v>0</v>
      </c>
      <c r="BW294" s="17">
        <v>0</v>
      </c>
      <c r="BX294" s="7"/>
      <c r="BY294" s="7" t="s">
        <v>8</v>
      </c>
      <c r="BZ294" s="18">
        <v>0</v>
      </c>
      <c r="CA294" s="7" t="s">
        <v>28</v>
      </c>
      <c r="CB294" s="17">
        <v>1</v>
      </c>
      <c r="CC294" s="7" t="s">
        <v>8</v>
      </c>
      <c r="CD294" s="18">
        <v>0</v>
      </c>
      <c r="CE294" s="7" t="s">
        <v>8</v>
      </c>
      <c r="CF294" s="18">
        <v>0</v>
      </c>
      <c r="CG294" s="7" t="s">
        <v>28</v>
      </c>
      <c r="CH294" s="17">
        <v>1</v>
      </c>
      <c r="CI294" s="7" t="s">
        <v>272</v>
      </c>
      <c r="CJ294" s="17">
        <v>1</v>
      </c>
      <c r="CK294" s="7" t="s">
        <v>8</v>
      </c>
      <c r="CL294" s="17">
        <v>0</v>
      </c>
      <c r="CM294" s="7" t="s">
        <v>28</v>
      </c>
      <c r="CN294" s="17">
        <v>1</v>
      </c>
      <c r="CO294" s="7" t="s">
        <v>8</v>
      </c>
      <c r="CP294" s="18">
        <v>0</v>
      </c>
      <c r="CQ294" s="7" t="s">
        <v>69</v>
      </c>
      <c r="CR294" s="7" t="s">
        <v>3390</v>
      </c>
      <c r="CS294" s="7" t="s">
        <v>219</v>
      </c>
      <c r="CT294" s="7" t="s">
        <v>508</v>
      </c>
      <c r="CU294" s="7"/>
      <c r="CV294" s="8"/>
    </row>
    <row r="295" spans="1:100" ht="42.75">
      <c r="A295" s="1">
        <f t="shared" si="4"/>
        <v>294</v>
      </c>
      <c r="B295" s="9">
        <v>1747</v>
      </c>
      <c r="C295" s="10">
        <v>45670</v>
      </c>
      <c r="D295" s="11" t="s">
        <v>3391</v>
      </c>
      <c r="E295" s="10">
        <v>18787</v>
      </c>
      <c r="F295" s="29">
        <f ca="1">_xlfn.DAYS(NOW(),Tabella1[[#This Row],[Data di Nascita]])/365.25</f>
        <v>74.157426420260094</v>
      </c>
      <c r="G295" s="11" t="s">
        <v>3392</v>
      </c>
      <c r="H295" s="11" t="s">
        <v>3393</v>
      </c>
      <c r="I295" s="11" t="s">
        <v>3329</v>
      </c>
      <c r="J295" s="11" t="s">
        <v>427</v>
      </c>
      <c r="K295" s="11" t="s">
        <v>5624</v>
      </c>
      <c r="L295" s="18">
        <f>IF(ISERROR(SEARCH("EX",Tabella1[[#This Row],[Attività lavorativa]],1)),0,1)</f>
        <v>1</v>
      </c>
      <c r="M295" s="18"/>
      <c r="N295" s="18"/>
      <c r="O295" s="18"/>
      <c r="P295" s="18"/>
      <c r="Q295" s="18"/>
      <c r="R295" s="17">
        <v>1</v>
      </c>
      <c r="S295" s="17"/>
      <c r="T295" s="17">
        <f>IF(ISERROR(SEARCH("NDD",Tabella1[[#This Row],[Attività lavorativa]],1)),0,1)</f>
        <v>0</v>
      </c>
      <c r="U295" s="11" t="s">
        <v>3394</v>
      </c>
      <c r="V295" s="22">
        <v>60</v>
      </c>
      <c r="W295" s="22">
        <f>IF(ISERROR(SEARCH("ex",Tabella1[[#This Row],[Fumo]],1)),0,1)</f>
        <v>1</v>
      </c>
      <c r="X295" s="22">
        <f>IF(ISERROR(SEARCH("no",Tabella1[[#This Row],[Fumo]],1)),0,1)</f>
        <v>0</v>
      </c>
      <c r="Y295" s="11" t="s">
        <v>3707</v>
      </c>
      <c r="Z295" s="18">
        <f>IF(ISERROR(SEARCH("NDD",Tabella1[[#This Row],[Bevitore alcolici]],1)),0,1)</f>
        <v>0</v>
      </c>
      <c r="AA295" s="17">
        <f>IF(ISERROR(SEARCH("raro",Tabella1[[#This Row],[Bevitore alcolici]],1)),0,1)</f>
        <v>0</v>
      </c>
      <c r="AB295" s="17">
        <f>IF(ISERROR(SEARCH("saltuariamente",Tabella1[[#This Row],[Bevitore alcolici]],1)),0,1)</f>
        <v>0</v>
      </c>
      <c r="AC295" s="17">
        <f>IF(ISERROR(SEARCH("nega",Tabella1[[#This Row],[Bevitore alcolici]],1)),0,1)</f>
        <v>1</v>
      </c>
      <c r="AD295" s="17">
        <f>IF(ISERROR(SEARCH("potus",Tabella1[[#This Row],[Bevitore alcolici]],1)),0,1)</f>
        <v>0</v>
      </c>
      <c r="AE295" s="11" t="s">
        <v>5662</v>
      </c>
      <c r="AF295" s="18"/>
      <c r="AG295" s="18"/>
      <c r="AH295" s="18"/>
      <c r="AI295" s="18"/>
      <c r="AJ295" s="18"/>
      <c r="AK295" s="11" t="s">
        <v>194</v>
      </c>
      <c r="AL295" s="18">
        <f>IF(ISERROR(SEARCH("si",Tabella1[[#This Row],[Patente di guida]],1)),0,1)</f>
        <v>1</v>
      </c>
      <c r="AM295" s="11" t="s">
        <v>28</v>
      </c>
      <c r="AN295" s="18">
        <f>IF(ISERROR(SEARCH("no",Tabella1[[#This Row],[Ipertensione]],1)),0,1)</f>
        <v>0</v>
      </c>
      <c r="AO295" s="11" t="s">
        <v>382</v>
      </c>
      <c r="AP295" s="18">
        <f>IF(ISERROR(SEARCH("NO",Tabella1[[#This Row],[Cardiopatia ischemica]],1)),1,0)</f>
        <v>0</v>
      </c>
      <c r="AQ295" s="17">
        <f>IF(ISERROR(SEARCH("sconosciuto",Tabella1[[#This Row],[Cardiopatia ischemica]],1)),0,1)</f>
        <v>0</v>
      </c>
      <c r="AR295" s="11" t="s">
        <v>25</v>
      </c>
      <c r="AS295" s="22">
        <f>IF(ISERROR(SEARCH("nega",Tabella1[[#This Row],[Artimie]],1)),0,1)</f>
        <v>1</v>
      </c>
      <c r="AT295" s="11" t="s">
        <v>28</v>
      </c>
      <c r="AU295" s="22">
        <f>IF(ISERROR(SEARCH("nega",Tabella1[[#This Row],[Ipercolesterolemia]],1)),0,1)</f>
        <v>0</v>
      </c>
      <c r="AV295" s="22">
        <f>IF(ISERROR(SEARCH("boh",Tabella1[[#This Row],[Ipercolesterolemia]],1)),0,1)</f>
        <v>0</v>
      </c>
      <c r="AW295" s="11" t="s">
        <v>28</v>
      </c>
      <c r="AX295" s="22">
        <f>IF(ISERROR(SEARCH("Intolleranza",Tabella1[[#This Row],[Diabete]],1)),0,1)</f>
        <v>0</v>
      </c>
      <c r="AY295" s="22">
        <f>IF(ISERROR(SEARCH("si",Tabella1[[#This Row],[Diabete]],1)),0,1)</f>
        <v>1</v>
      </c>
      <c r="AZ295" s="11" t="s">
        <v>8</v>
      </c>
      <c r="BA295" s="18">
        <f>IF(ISERROR(SEARCH("NDD",Tabella1[[#This Row],[Patologia Tiroidea]],1)),0,1)</f>
        <v>0</v>
      </c>
      <c r="BB295" s="22">
        <f>IF(ISERROR(SEARCH("TIROIDITE",Tabella1[[#This Row],[Patologia Tiroidea]],1)),0,1)</f>
        <v>0</v>
      </c>
      <c r="BC295" s="22">
        <f>IF(ISERROR(SEARCH("HASHIMOTO",Tabella1[[#This Row],[Patologia Tiroidea]],1)),0,1)</f>
        <v>0</v>
      </c>
      <c r="BD295" s="22">
        <f>IF(ISERROR(SEARCH("BASEDOW",Tabella1[[#This Row],[Patologia Tiroidea]],1)),0,1)</f>
        <v>0</v>
      </c>
      <c r="BE295" s="22">
        <f>IF(ISERROR(SEARCH("NOD",Tabella1[[#This Row],[Patologia Tiroidea]],1)),0,1)</f>
        <v>0</v>
      </c>
      <c r="BF295" s="22">
        <f>IF(ISERROR(SEARCH("GOZ",Tabella1[[#This Row],[Patologia Tiroidea]],1)),0,1)</f>
        <v>0</v>
      </c>
      <c r="BG295" s="11" t="s">
        <v>8</v>
      </c>
      <c r="BH295" s="18">
        <f>IF(Tabella1[[#This Row],[Obesità]]="no",0,1)</f>
        <v>0</v>
      </c>
      <c r="BI295" s="11" t="s">
        <v>25</v>
      </c>
      <c r="BJ295" s="22">
        <f>IF(ISERROR(SEARCH("nega",Tabella1[[#This Row],[Reflusso gastroesofageo]],1)),1,0)</f>
        <v>0</v>
      </c>
      <c r="BK295" s="11" t="s">
        <v>8</v>
      </c>
      <c r="BL295" s="18">
        <f>IF(ISERROR(SEARCH("NDD",Tabella1[[#This Row],[Patologia respiratoria]],1)),0,1)</f>
        <v>0</v>
      </c>
      <c r="BM295" s="18">
        <f>IF(ISERROR(SEARCH("asma",Tabella1[[#This Row],[Patologia respiratoria]],1)),0,1)</f>
        <v>0</v>
      </c>
      <c r="BN295" s="18">
        <f>IF(ISERROR(SEARCH("BPCO",Tabella1[[#This Row],[Patologia respiratoria]],1)),0,1)</f>
        <v>0</v>
      </c>
      <c r="BO295" s="18">
        <f>IF(ISERROR(SEARCH("BRONCOPOLMONITE",Tabella1[[#This Row],[Patologia respiratoria]],1)),0,1)</f>
        <v>0</v>
      </c>
      <c r="BP295" s="18">
        <f>IF(ISERROR(SEARCH("ASMA, OSAS",Tabella1[[#This Row],[Patologia respiratoria]],1)),0,1)</f>
        <v>0</v>
      </c>
      <c r="BQ295" s="18">
        <f>IF(ISERROR(SEARCH("OSAS e BPCO",Tabella1[[#This Row],[Patologia respiratoria]],1)),0,1)</f>
        <v>0</v>
      </c>
      <c r="BR295" s="18">
        <f>IF(ISERROR(SEARCH("OSAS",Tabella1[[#This Row],[Patologia respiratoria]],1)),0,1)</f>
        <v>0</v>
      </c>
      <c r="BS295" s="11"/>
      <c r="BT295" s="11" t="s">
        <v>3395</v>
      </c>
      <c r="BU295" s="11" t="s">
        <v>8</v>
      </c>
      <c r="BV295" s="18">
        <f>IF(ISERROR(SEARCH("ndd",Tabella1[[#This Row],[O2 terapia]],1)),0,1)</f>
        <v>0</v>
      </c>
      <c r="BW295" s="17">
        <v>0</v>
      </c>
      <c r="BX295" s="11"/>
      <c r="BY295" s="11" t="s">
        <v>8</v>
      </c>
      <c r="BZ295" s="18">
        <v>0</v>
      </c>
      <c r="CA295" s="11" t="s">
        <v>8</v>
      </c>
      <c r="CB295" s="17">
        <v>0</v>
      </c>
      <c r="CC295" s="11" t="s">
        <v>3396</v>
      </c>
      <c r="CD295" s="17">
        <v>1</v>
      </c>
      <c r="CE295" s="11" t="s">
        <v>8</v>
      </c>
      <c r="CF295" s="18">
        <v>0</v>
      </c>
      <c r="CG295" s="11" t="s">
        <v>8</v>
      </c>
      <c r="CH295" s="17">
        <v>0</v>
      </c>
      <c r="CI295" s="11" t="s">
        <v>8</v>
      </c>
      <c r="CJ295" s="18">
        <v>0</v>
      </c>
      <c r="CK295" s="11" t="s">
        <v>3397</v>
      </c>
      <c r="CL295" s="17">
        <v>1</v>
      </c>
      <c r="CM295" s="11" t="s">
        <v>8</v>
      </c>
      <c r="CN295" s="17">
        <v>0</v>
      </c>
      <c r="CO295" s="11" t="s">
        <v>8</v>
      </c>
      <c r="CP295" s="18">
        <v>0</v>
      </c>
      <c r="CQ295" s="11" t="s">
        <v>54</v>
      </c>
      <c r="CR295" s="11" t="s">
        <v>369</v>
      </c>
      <c r="CS295" s="11" t="s">
        <v>71</v>
      </c>
      <c r="CT295" s="11" t="s">
        <v>121</v>
      </c>
      <c r="CU295" s="11"/>
      <c r="CV295" s="12"/>
    </row>
    <row r="296" spans="1:100" ht="28.5">
      <c r="A296" s="1">
        <f t="shared" si="4"/>
        <v>295</v>
      </c>
      <c r="B296" s="5">
        <v>1748</v>
      </c>
      <c r="C296" s="6">
        <v>45670</v>
      </c>
      <c r="D296" s="7" t="s">
        <v>3398</v>
      </c>
      <c r="E296" s="6">
        <v>25218</v>
      </c>
      <c r="F296" s="29">
        <f ca="1">_xlfn.DAYS(NOW(),Tabella1[[#This Row],[Data di Nascita]])/365.25</f>
        <v>56.550308008213555</v>
      </c>
      <c r="G296" s="7" t="s">
        <v>3399</v>
      </c>
      <c r="H296" s="7"/>
      <c r="I296" s="7" t="s">
        <v>1417</v>
      </c>
      <c r="J296" s="7" t="s">
        <v>3400</v>
      </c>
      <c r="K296" s="7" t="s">
        <v>3401</v>
      </c>
      <c r="L296" s="17">
        <f>IF(ISERROR(SEARCH("EX",Tabella1[[#This Row],[Attività lavorativa]],1)),0,1)</f>
        <v>0</v>
      </c>
      <c r="M296" s="17"/>
      <c r="N296" s="17"/>
      <c r="O296" s="17"/>
      <c r="P296" s="17"/>
      <c r="Q296" s="17"/>
      <c r="R296" s="17"/>
      <c r="S296" s="17">
        <v>1</v>
      </c>
      <c r="T296" s="17">
        <f>IF(ISERROR(SEARCH("NDD",Tabella1[[#This Row],[Attività lavorativa]],1)),0,1)</f>
        <v>0</v>
      </c>
      <c r="U296" s="7" t="s">
        <v>3402</v>
      </c>
      <c r="V296" s="22">
        <v>35</v>
      </c>
      <c r="W296" s="22">
        <f>IF(ISERROR(SEARCH("ex",Tabella1[[#This Row],[Fumo]],1)),0,1)</f>
        <v>0</v>
      </c>
      <c r="X296" s="22">
        <f>IF(ISERROR(SEARCH("no",Tabella1[[#This Row],[Fumo]],1)),0,1)</f>
        <v>0</v>
      </c>
      <c r="Y296" s="7" t="s">
        <v>25</v>
      </c>
      <c r="Z296" s="17">
        <f>IF(ISERROR(SEARCH("NDD",Tabella1[[#This Row],[Bevitore alcolici]],1)),0,1)</f>
        <v>0</v>
      </c>
      <c r="AA296" s="17">
        <f>IF(ISERROR(SEARCH("raro",Tabella1[[#This Row],[Bevitore alcolici]],1)),0,1)</f>
        <v>0</v>
      </c>
      <c r="AB296" s="17">
        <f>IF(ISERROR(SEARCH("saltuariamente",Tabella1[[#This Row],[Bevitore alcolici]],1)),0,1)</f>
        <v>0</v>
      </c>
      <c r="AC296" s="17">
        <f>IF(ISERROR(SEARCH("nega",Tabella1[[#This Row],[Bevitore alcolici]],1)),0,1)</f>
        <v>1</v>
      </c>
      <c r="AD296" s="17">
        <f>IF(ISERROR(SEARCH("potus",Tabella1[[#This Row],[Bevitore alcolici]],1)),0,1)</f>
        <v>0</v>
      </c>
      <c r="AE296" s="7" t="s">
        <v>3403</v>
      </c>
      <c r="AF296" s="17"/>
      <c r="AG296" s="18">
        <v>1</v>
      </c>
      <c r="AH296" s="18"/>
      <c r="AI296" s="18">
        <v>1</v>
      </c>
      <c r="AJ296" s="18">
        <v>1</v>
      </c>
      <c r="AK296" s="7" t="s">
        <v>28</v>
      </c>
      <c r="AL296" s="17">
        <f>IF(ISERROR(SEARCH("si",Tabella1[[#This Row],[Patente di guida]],1)),0,1)</f>
        <v>1</v>
      </c>
      <c r="AM296" s="7" t="s">
        <v>28</v>
      </c>
      <c r="AN296" s="17">
        <f>IF(ISERROR(SEARCH("no",Tabella1[[#This Row],[Ipertensione]],1)),0,1)</f>
        <v>0</v>
      </c>
      <c r="AO296" s="7" t="s">
        <v>3743</v>
      </c>
      <c r="AP296" s="18">
        <f>IF(ISERROR(SEARCH("NO",Tabella1[[#This Row],[Cardiopatia ischemica]],1)),1,0)</f>
        <v>0</v>
      </c>
      <c r="AQ296" s="17">
        <f>IF(ISERROR(SEARCH("sconosciuto",Tabella1[[#This Row],[Cardiopatia ischemica]],1)),0,1)</f>
        <v>0</v>
      </c>
      <c r="AR296" s="7" t="s">
        <v>25</v>
      </c>
      <c r="AS296" s="22">
        <f>IF(ISERROR(SEARCH("nega",Tabella1[[#This Row],[Artimie]],1)),0,1)</f>
        <v>1</v>
      </c>
      <c r="AT296" s="7" t="s">
        <v>28</v>
      </c>
      <c r="AU296" s="22">
        <f>IF(ISERROR(SEARCH("nega",Tabella1[[#This Row],[Ipercolesterolemia]],1)),0,1)</f>
        <v>0</v>
      </c>
      <c r="AV296" s="22">
        <f>IF(ISERROR(SEARCH("boh",Tabella1[[#This Row],[Ipercolesterolemia]],1)),0,1)</f>
        <v>0</v>
      </c>
      <c r="AW296" s="7" t="s">
        <v>195</v>
      </c>
      <c r="AX296" s="22">
        <f>IF(ISERROR(SEARCH("Intolleranza",Tabella1[[#This Row],[Diabete]],1)),0,1)</f>
        <v>0</v>
      </c>
      <c r="AY296" s="22">
        <f>IF(ISERROR(SEARCH("si",Tabella1[[#This Row],[Diabete]],1)),0,1)</f>
        <v>0</v>
      </c>
      <c r="AZ296" s="7" t="s">
        <v>195</v>
      </c>
      <c r="BA296" s="17">
        <f>IF(ISERROR(SEARCH("NDD",Tabella1[[#This Row],[Patologia Tiroidea]],1)),0,1)</f>
        <v>0</v>
      </c>
      <c r="BB296" s="22">
        <f>IF(ISERROR(SEARCH("TIROIDITE",Tabella1[[#This Row],[Patologia Tiroidea]],1)),0,1)</f>
        <v>0</v>
      </c>
      <c r="BC296" s="22">
        <f>IF(ISERROR(SEARCH("HASHIMOTO",Tabella1[[#This Row],[Patologia Tiroidea]],1)),0,1)</f>
        <v>0</v>
      </c>
      <c r="BD296" s="22">
        <f>IF(ISERROR(SEARCH("BASEDOW",Tabella1[[#This Row],[Patologia Tiroidea]],1)),0,1)</f>
        <v>0</v>
      </c>
      <c r="BE296" s="22">
        <f>IF(ISERROR(SEARCH("NOD",Tabella1[[#This Row],[Patologia Tiroidea]],1)),0,1)</f>
        <v>0</v>
      </c>
      <c r="BF296" s="22">
        <f>IF(ISERROR(SEARCH("GOZ",Tabella1[[#This Row],[Patologia Tiroidea]],1)),0,1)</f>
        <v>0</v>
      </c>
      <c r="BG296" s="7" t="s">
        <v>194</v>
      </c>
      <c r="BH296" s="17">
        <f>IF(Tabella1[[#This Row],[Obesità]]="no",0,1)</f>
        <v>1</v>
      </c>
      <c r="BI296" s="7" t="s">
        <v>25</v>
      </c>
      <c r="BJ296" s="22">
        <f>IF(ISERROR(SEARCH("nega",Tabella1[[#This Row],[Reflusso gastroesofageo]],1)),1,0)</f>
        <v>0</v>
      </c>
      <c r="BK296" s="7" t="s">
        <v>3803</v>
      </c>
      <c r="BL296" s="17">
        <f>IF(ISERROR(SEARCH("NDD",Tabella1[[#This Row],[Patologia respiratoria]],1)),0,1)</f>
        <v>0</v>
      </c>
      <c r="BM296" s="17">
        <f>IF(ISERROR(SEARCH("asma",Tabella1[[#This Row],[Patologia respiratoria]],1)),0,1)</f>
        <v>1</v>
      </c>
      <c r="BN296" s="17">
        <f>IF(ISERROR(SEARCH("BPCO",Tabella1[[#This Row],[Patologia respiratoria]],1)),0,1)</f>
        <v>0</v>
      </c>
      <c r="BO296" s="17">
        <f>IF(ISERROR(SEARCH("BRONCOPOLMONITE",Tabella1[[#This Row],[Patologia respiratoria]],1)),0,1)</f>
        <v>0</v>
      </c>
      <c r="BP296" s="17">
        <f>IF(ISERROR(SEARCH("ASMA, OSAS",Tabella1[[#This Row],[Patologia respiratoria]],1)),0,1)</f>
        <v>0</v>
      </c>
      <c r="BQ296" s="17">
        <f>IF(ISERROR(SEARCH("OSAS e BPCO",Tabella1[[#This Row],[Patologia respiratoria]],1)),0,1)</f>
        <v>0</v>
      </c>
      <c r="BR296" s="17">
        <f>IF(ISERROR(SEARCH("OSAS",Tabella1[[#This Row],[Patologia respiratoria]],1)),0,1)</f>
        <v>0</v>
      </c>
      <c r="BS296" s="7" t="s">
        <v>3404</v>
      </c>
      <c r="BT296" s="7" t="s">
        <v>3405</v>
      </c>
      <c r="BU296" s="7" t="s">
        <v>195</v>
      </c>
      <c r="BV296" s="17">
        <f>IF(ISERROR(SEARCH("ndd",Tabella1[[#This Row],[O2 terapia]],1)),0,1)</f>
        <v>0</v>
      </c>
      <c r="BW296" s="17">
        <v>0</v>
      </c>
      <c r="BX296" s="7"/>
      <c r="BY296" s="7" t="s">
        <v>8</v>
      </c>
      <c r="BZ296" s="18">
        <v>0</v>
      </c>
      <c r="CA296" s="7" t="s">
        <v>3406</v>
      </c>
      <c r="CB296" s="17">
        <v>1</v>
      </c>
      <c r="CC296" s="7" t="s">
        <v>3407</v>
      </c>
      <c r="CD296" s="17">
        <v>1</v>
      </c>
      <c r="CE296" s="7" t="s">
        <v>8</v>
      </c>
      <c r="CF296" s="18">
        <v>0</v>
      </c>
      <c r="CG296" s="7" t="s">
        <v>8</v>
      </c>
      <c r="CH296" s="17">
        <v>0</v>
      </c>
      <c r="CI296" s="7" t="s">
        <v>28</v>
      </c>
      <c r="CJ296" s="17">
        <v>1</v>
      </c>
      <c r="CK296" s="7" t="s">
        <v>3408</v>
      </c>
      <c r="CL296" s="17">
        <v>1</v>
      </c>
      <c r="CM296" s="7" t="s">
        <v>47</v>
      </c>
      <c r="CN296" s="17">
        <v>1</v>
      </c>
      <c r="CO296" s="7" t="s">
        <v>26</v>
      </c>
      <c r="CP296" s="17">
        <v>1</v>
      </c>
      <c r="CQ296" s="7" t="s">
        <v>85</v>
      </c>
      <c r="CR296" s="7" t="s">
        <v>3409</v>
      </c>
      <c r="CS296" s="7" t="s">
        <v>37</v>
      </c>
      <c r="CT296" s="7" t="s">
        <v>16</v>
      </c>
      <c r="CU296" s="7"/>
      <c r="CV296" s="8"/>
    </row>
    <row r="297" spans="1:100" ht="28.5">
      <c r="A297" s="1">
        <f t="shared" si="4"/>
        <v>296</v>
      </c>
      <c r="B297" s="9">
        <v>1751</v>
      </c>
      <c r="C297" s="10">
        <v>45672</v>
      </c>
      <c r="D297" s="11" t="s">
        <v>3410</v>
      </c>
      <c r="E297" s="10">
        <v>26069</v>
      </c>
      <c r="F297" s="29">
        <f ca="1">_xlfn.DAYS(NOW(),Tabella1[[#This Row],[Data di Nascita]])/365.25</f>
        <v>54.220396988364136</v>
      </c>
      <c r="G297" s="11" t="s">
        <v>3411</v>
      </c>
      <c r="H297" s="11" t="s">
        <v>3412</v>
      </c>
      <c r="I297" s="11" t="s">
        <v>3329</v>
      </c>
      <c r="J297" s="11" t="s">
        <v>618</v>
      </c>
      <c r="K297" s="11" t="s">
        <v>3330</v>
      </c>
      <c r="L297" s="18">
        <f>IF(ISERROR(SEARCH("EX",Tabella1[[#This Row],[Attività lavorativa]],1)),0,1)</f>
        <v>0</v>
      </c>
      <c r="M297" s="18"/>
      <c r="N297" s="18"/>
      <c r="O297" s="18"/>
      <c r="P297" s="18"/>
      <c r="Q297" s="18"/>
      <c r="R297" s="18"/>
      <c r="S297" s="18"/>
      <c r="T297" s="17">
        <f>IF(ISERROR(SEARCH("NDD",Tabella1[[#This Row],[Attività lavorativa]],1)),0,1)</f>
        <v>0</v>
      </c>
      <c r="U297" s="11" t="s">
        <v>8</v>
      </c>
      <c r="V297" s="22"/>
      <c r="W297" s="22">
        <f>IF(ISERROR(SEARCH("ex",Tabella1[[#This Row],[Fumo]],1)),0,1)</f>
        <v>0</v>
      </c>
      <c r="X297" s="22">
        <f>IF(ISERROR(SEARCH("no",Tabella1[[#This Row],[Fumo]],1)),0,1)</f>
        <v>1</v>
      </c>
      <c r="Y297" s="11" t="s">
        <v>26</v>
      </c>
      <c r="Z297" s="18">
        <f>IF(ISERROR(SEARCH("NDD",Tabella1[[#This Row],[Bevitore alcolici]],1)),0,1)</f>
        <v>0</v>
      </c>
      <c r="AA297" s="17">
        <f>IF(ISERROR(SEARCH("raro",Tabella1[[#This Row],[Bevitore alcolici]],1)),0,1)</f>
        <v>0</v>
      </c>
      <c r="AB297" s="17">
        <f>IF(ISERROR(SEARCH("saltuariamente",Tabella1[[#This Row],[Bevitore alcolici]],1)),0,1)</f>
        <v>1</v>
      </c>
      <c r="AC297" s="17">
        <f>IF(ISERROR(SEARCH("nega",Tabella1[[#This Row],[Bevitore alcolici]],1)),0,1)</f>
        <v>0</v>
      </c>
      <c r="AD297" s="17">
        <f>IF(ISERROR(SEARCH("potus",Tabella1[[#This Row],[Bevitore alcolici]],1)),0,1)</f>
        <v>0</v>
      </c>
      <c r="AE297" s="11" t="s">
        <v>1170</v>
      </c>
      <c r="AF297" s="18"/>
      <c r="AG297" s="18">
        <v>1</v>
      </c>
      <c r="AH297" s="18"/>
      <c r="AI297" s="18"/>
      <c r="AJ297" s="18"/>
      <c r="AK297" s="11" t="s">
        <v>28</v>
      </c>
      <c r="AL297" s="18">
        <f>IF(ISERROR(SEARCH("si",Tabella1[[#This Row],[Patente di guida]],1)),0,1)</f>
        <v>1</v>
      </c>
      <c r="AM297" s="11" t="s">
        <v>195</v>
      </c>
      <c r="AN297" s="18">
        <f>IF(ISERROR(SEARCH("no",Tabella1[[#This Row],[Ipertensione]],1)),0,1)</f>
        <v>1</v>
      </c>
      <c r="AO297" s="11" t="s">
        <v>382</v>
      </c>
      <c r="AP297" s="18">
        <f>IF(ISERROR(SEARCH("NO",Tabella1[[#This Row],[Cardiopatia ischemica]],1)),1,0)</f>
        <v>0</v>
      </c>
      <c r="AQ297" s="17">
        <f>IF(ISERROR(SEARCH("sconosciuto",Tabella1[[#This Row],[Cardiopatia ischemica]],1)),0,1)</f>
        <v>0</v>
      </c>
      <c r="AR297" s="11" t="s">
        <v>25</v>
      </c>
      <c r="AS297" s="22">
        <f>IF(ISERROR(SEARCH("nega",Tabella1[[#This Row],[Artimie]],1)),0,1)</f>
        <v>1</v>
      </c>
      <c r="AT297" s="11" t="s">
        <v>25</v>
      </c>
      <c r="AU297" s="22">
        <f>IF(ISERROR(SEARCH("nega",Tabella1[[#This Row],[Ipercolesterolemia]],1)),0,1)</f>
        <v>1</v>
      </c>
      <c r="AV297" s="22">
        <f>IF(ISERROR(SEARCH("boh",Tabella1[[#This Row],[Ipercolesterolemia]],1)),0,1)</f>
        <v>0</v>
      </c>
      <c r="AW297" s="11" t="s">
        <v>195</v>
      </c>
      <c r="AX297" s="22">
        <f>IF(ISERROR(SEARCH("Intolleranza",Tabella1[[#This Row],[Diabete]],1)),0,1)</f>
        <v>0</v>
      </c>
      <c r="AY297" s="22">
        <f>IF(ISERROR(SEARCH("si",Tabella1[[#This Row],[Diabete]],1)),0,1)</f>
        <v>0</v>
      </c>
      <c r="AZ297" s="11" t="s">
        <v>3777</v>
      </c>
      <c r="BA297" s="18">
        <f>IF(ISERROR(SEARCH("NDD",Tabella1[[#This Row],[Patologia Tiroidea]],1)),0,1)</f>
        <v>0</v>
      </c>
      <c r="BB297" s="22">
        <f>IF(ISERROR(SEARCH("TIROIDITE",Tabella1[[#This Row],[Patologia Tiroidea]],1)),0,1)</f>
        <v>1</v>
      </c>
      <c r="BC297" s="22">
        <f>IF(ISERROR(SEARCH("HASHIMOTO",Tabella1[[#This Row],[Patologia Tiroidea]],1)),0,1)</f>
        <v>1</v>
      </c>
      <c r="BD297" s="22">
        <f>IF(ISERROR(SEARCH("BASEDOW",Tabella1[[#This Row],[Patologia Tiroidea]],1)),0,1)</f>
        <v>0</v>
      </c>
      <c r="BE297" s="22">
        <f>IF(ISERROR(SEARCH("NOD",Tabella1[[#This Row],[Patologia Tiroidea]],1)),0,1)</f>
        <v>0</v>
      </c>
      <c r="BF297" s="22">
        <f>IF(ISERROR(SEARCH("GOZ",Tabella1[[#This Row],[Patologia Tiroidea]],1)),0,1)</f>
        <v>0</v>
      </c>
      <c r="BG297" s="11" t="s">
        <v>8</v>
      </c>
      <c r="BH297" s="18">
        <f>IF(Tabella1[[#This Row],[Obesità]]="no",0,1)</f>
        <v>0</v>
      </c>
      <c r="BI297" s="11" t="s">
        <v>25</v>
      </c>
      <c r="BJ297" s="22">
        <f>IF(ISERROR(SEARCH("nega",Tabella1[[#This Row],[Reflusso gastroesofageo]],1)),1,0)</f>
        <v>0</v>
      </c>
      <c r="BK297" s="11" t="s">
        <v>3808</v>
      </c>
      <c r="BL297" s="18">
        <f>IF(ISERROR(SEARCH("NDD",Tabella1[[#This Row],[Patologia respiratoria]],1)),0,1)</f>
        <v>0</v>
      </c>
      <c r="BM297" s="18">
        <f>IF(ISERROR(SEARCH("asma",Tabella1[[#This Row],[Patologia respiratoria]],1)),0,1)</f>
        <v>1</v>
      </c>
      <c r="BN297" s="18">
        <f>IF(ISERROR(SEARCH("BPCO",Tabella1[[#This Row],[Patologia respiratoria]],1)),0,1)</f>
        <v>0</v>
      </c>
      <c r="BO297" s="18">
        <f>IF(ISERROR(SEARCH("BRONCOPOLMONITE",Tabella1[[#This Row],[Patologia respiratoria]],1)),0,1)</f>
        <v>0</v>
      </c>
      <c r="BP297" s="18">
        <f>IF(ISERROR(SEARCH("ASMA, OSAS",Tabella1[[#This Row],[Patologia respiratoria]],1)),0,1)</f>
        <v>0</v>
      </c>
      <c r="BQ297" s="18">
        <f>IF(ISERROR(SEARCH("OSAS e BPCO",Tabella1[[#This Row],[Patologia respiratoria]],1)),0,1)</f>
        <v>0</v>
      </c>
      <c r="BR297" s="18">
        <f>IF(ISERROR(SEARCH("OSAS",Tabella1[[#This Row],[Patologia respiratoria]],1)),0,1)</f>
        <v>0</v>
      </c>
      <c r="BS297" s="11" t="s">
        <v>195</v>
      </c>
      <c r="BT297" s="11" t="s">
        <v>3413</v>
      </c>
      <c r="BU297" s="11" t="s">
        <v>195</v>
      </c>
      <c r="BV297" s="18">
        <f>IF(ISERROR(SEARCH("ndd",Tabella1[[#This Row],[O2 terapia]],1)),0,1)</f>
        <v>0</v>
      </c>
      <c r="BW297" s="17">
        <v>0</v>
      </c>
      <c r="BX297" s="11" t="s">
        <v>195</v>
      </c>
      <c r="BY297" s="11" t="s">
        <v>8</v>
      </c>
      <c r="BZ297" s="18">
        <v>0</v>
      </c>
      <c r="CA297" s="11" t="s">
        <v>8</v>
      </c>
      <c r="CB297" s="17">
        <v>0</v>
      </c>
      <c r="CC297" s="11" t="s">
        <v>8</v>
      </c>
      <c r="CD297" s="18">
        <v>0</v>
      </c>
      <c r="CE297" s="11" t="s">
        <v>8</v>
      </c>
      <c r="CF297" s="18">
        <v>0</v>
      </c>
      <c r="CG297" s="11" t="s">
        <v>8</v>
      </c>
      <c r="CH297" s="17">
        <v>0</v>
      </c>
      <c r="CI297" s="11" t="s">
        <v>26</v>
      </c>
      <c r="CJ297" s="17">
        <v>1</v>
      </c>
      <c r="CK297" s="11" t="s">
        <v>8</v>
      </c>
      <c r="CL297" s="17">
        <v>0</v>
      </c>
      <c r="CM297" s="11" t="s">
        <v>28</v>
      </c>
      <c r="CN297" s="17">
        <v>1</v>
      </c>
      <c r="CO297" s="11" t="s">
        <v>3414</v>
      </c>
      <c r="CP297" s="17">
        <v>1</v>
      </c>
      <c r="CQ297" s="11" t="s">
        <v>368</v>
      </c>
      <c r="CR297" s="11" t="s">
        <v>2964</v>
      </c>
      <c r="CS297" s="11" t="s">
        <v>37</v>
      </c>
      <c r="CT297" s="11" t="s">
        <v>1922</v>
      </c>
      <c r="CU297" s="11"/>
      <c r="CV297" s="12"/>
    </row>
    <row r="298" spans="1:100" ht="71.25">
      <c r="A298" s="1">
        <f t="shared" si="4"/>
        <v>297</v>
      </c>
      <c r="B298" s="5">
        <v>1777</v>
      </c>
      <c r="C298" s="6">
        <v>45685</v>
      </c>
      <c r="D298" s="7" t="s">
        <v>3415</v>
      </c>
      <c r="E298" s="6">
        <v>25774</v>
      </c>
      <c r="F298" s="29">
        <f ca="1">_xlfn.DAYS(NOW(),Tabella1[[#This Row],[Data di Nascita]])/365.25</f>
        <v>55.028062970568101</v>
      </c>
      <c r="G298" s="7" t="s">
        <v>3416</v>
      </c>
      <c r="H298" s="7" t="s">
        <v>3417</v>
      </c>
      <c r="I298" s="7" t="s">
        <v>3329</v>
      </c>
      <c r="J298" s="7" t="s">
        <v>3418</v>
      </c>
      <c r="K298" s="7" t="s">
        <v>297</v>
      </c>
      <c r="L298" s="17">
        <f>IF(ISERROR(SEARCH("EX",Tabella1[[#This Row],[Attività lavorativa]],1)),0,1)</f>
        <v>0</v>
      </c>
      <c r="M298" s="17"/>
      <c r="N298" s="17"/>
      <c r="O298" s="17"/>
      <c r="P298" s="17"/>
      <c r="Q298" s="17"/>
      <c r="R298" s="17"/>
      <c r="S298" s="17"/>
      <c r="T298" s="17">
        <f>IF(ISERROR(SEARCH("NDD",Tabella1[[#This Row],[Attività lavorativa]],1)),0,1)</f>
        <v>0</v>
      </c>
      <c r="U298" s="7" t="s">
        <v>3419</v>
      </c>
      <c r="V298" s="22">
        <v>40</v>
      </c>
      <c r="W298" s="22">
        <f>IF(ISERROR(SEARCH("ex",Tabella1[[#This Row],[Fumo]],1)),0,1)</f>
        <v>1</v>
      </c>
      <c r="X298" s="22">
        <f>IF(ISERROR(SEARCH("no",Tabella1[[#This Row],[Fumo]],1)),0,1)</f>
        <v>0</v>
      </c>
      <c r="Y298" s="7" t="s">
        <v>25</v>
      </c>
      <c r="Z298" s="17">
        <f>IF(ISERROR(SEARCH("NDD",Tabella1[[#This Row],[Bevitore alcolici]],1)),0,1)</f>
        <v>0</v>
      </c>
      <c r="AA298" s="17">
        <f>IF(ISERROR(SEARCH("raro",Tabella1[[#This Row],[Bevitore alcolici]],1)),0,1)</f>
        <v>0</v>
      </c>
      <c r="AB298" s="17">
        <f>IF(ISERROR(SEARCH("saltuariamente",Tabella1[[#This Row],[Bevitore alcolici]],1)),0,1)</f>
        <v>0</v>
      </c>
      <c r="AC298" s="17">
        <f>IF(ISERROR(SEARCH("nega",Tabella1[[#This Row],[Bevitore alcolici]],1)),0,1)</f>
        <v>1</v>
      </c>
      <c r="AD298" s="17">
        <f>IF(ISERROR(SEARCH("potus",Tabella1[[#This Row],[Bevitore alcolici]],1)),0,1)</f>
        <v>0</v>
      </c>
      <c r="AE298" s="7" t="s">
        <v>5673</v>
      </c>
      <c r="AF298" s="17"/>
      <c r="AG298" s="17"/>
      <c r="AH298" s="17"/>
      <c r="AI298" s="17"/>
      <c r="AJ298" s="17"/>
      <c r="AK298" s="7" t="s">
        <v>195</v>
      </c>
      <c r="AL298" s="17">
        <f>IF(ISERROR(SEARCH("si",Tabella1[[#This Row],[Patente di guida]],1)),0,1)</f>
        <v>0</v>
      </c>
      <c r="AM298" s="7" t="s">
        <v>28</v>
      </c>
      <c r="AN298" s="17">
        <f>IF(ISERROR(SEARCH("no",Tabella1[[#This Row],[Ipertensione]],1)),0,1)</f>
        <v>0</v>
      </c>
      <c r="AO298" s="7" t="s">
        <v>382</v>
      </c>
      <c r="AP298" s="18">
        <f>IF(ISERROR(SEARCH("NO",Tabella1[[#This Row],[Cardiopatia ischemica]],1)),1,0)</f>
        <v>0</v>
      </c>
      <c r="AQ298" s="17">
        <f>IF(ISERROR(SEARCH("sconosciuto",Tabella1[[#This Row],[Cardiopatia ischemica]],1)),0,1)</f>
        <v>0</v>
      </c>
      <c r="AR298" s="7" t="s">
        <v>25</v>
      </c>
      <c r="AS298" s="22">
        <f>IF(ISERROR(SEARCH("nega",Tabella1[[#This Row],[Artimie]],1)),0,1)</f>
        <v>1</v>
      </c>
      <c r="AT298" s="7" t="s">
        <v>25</v>
      </c>
      <c r="AU298" s="22">
        <f>IF(ISERROR(SEARCH("nega",Tabella1[[#This Row],[Ipercolesterolemia]],1)),0,1)</f>
        <v>1</v>
      </c>
      <c r="AV298" s="22">
        <f>IF(ISERROR(SEARCH("boh",Tabella1[[#This Row],[Ipercolesterolemia]],1)),0,1)</f>
        <v>0</v>
      </c>
      <c r="AW298" s="7" t="s">
        <v>195</v>
      </c>
      <c r="AX298" s="22">
        <f>IF(ISERROR(SEARCH("Intolleranza",Tabella1[[#This Row],[Diabete]],1)),0,1)</f>
        <v>0</v>
      </c>
      <c r="AY298" s="22">
        <f>IF(ISERROR(SEARCH("si",Tabella1[[#This Row],[Diabete]],1)),0,1)</f>
        <v>0</v>
      </c>
      <c r="AZ298" s="7" t="s">
        <v>3795</v>
      </c>
      <c r="BA298" s="17">
        <f>IF(ISERROR(SEARCH("NDD",Tabella1[[#This Row],[Patologia Tiroidea]],1)),0,1)</f>
        <v>0</v>
      </c>
      <c r="BB298" s="22">
        <f>IF(ISERROR(SEARCH("TIROIDITE",Tabella1[[#This Row],[Patologia Tiroidea]],1)),0,1)</f>
        <v>0</v>
      </c>
      <c r="BC298" s="22">
        <f>IF(ISERROR(SEARCH("HASHIMOTO",Tabella1[[#This Row],[Patologia Tiroidea]],1)),0,1)</f>
        <v>0</v>
      </c>
      <c r="BD298" s="22">
        <f>IF(ISERROR(SEARCH("BASEDOW",Tabella1[[#This Row],[Patologia Tiroidea]],1)),0,1)</f>
        <v>0</v>
      </c>
      <c r="BE298" s="22">
        <f>IF(ISERROR(SEARCH("NOD",Tabella1[[#This Row],[Patologia Tiroidea]],1)),0,1)</f>
        <v>1</v>
      </c>
      <c r="BF298" s="22">
        <f>IF(ISERROR(SEARCH("GOZ",Tabella1[[#This Row],[Patologia Tiroidea]],1)),0,1)</f>
        <v>1</v>
      </c>
      <c r="BG298" s="7" t="s">
        <v>8</v>
      </c>
      <c r="BH298" s="17">
        <f>IF(Tabella1[[#This Row],[Obesità]]="no",0,1)</f>
        <v>0</v>
      </c>
      <c r="BI298" s="7" t="s">
        <v>25</v>
      </c>
      <c r="BJ298" s="22">
        <f>IF(ISERROR(SEARCH("nega",Tabella1[[#This Row],[Reflusso gastroesofageo]],1)),1,0)</f>
        <v>0</v>
      </c>
      <c r="BK298" s="7" t="s">
        <v>195</v>
      </c>
      <c r="BL298" s="17">
        <f>IF(ISERROR(SEARCH("NDD",Tabella1[[#This Row],[Patologia respiratoria]],1)),0,1)</f>
        <v>0</v>
      </c>
      <c r="BM298" s="17">
        <f>IF(ISERROR(SEARCH("asma",Tabella1[[#This Row],[Patologia respiratoria]],1)),0,1)</f>
        <v>0</v>
      </c>
      <c r="BN298" s="17">
        <f>IF(ISERROR(SEARCH("BPCO",Tabella1[[#This Row],[Patologia respiratoria]],1)),0,1)</f>
        <v>0</v>
      </c>
      <c r="BO298" s="17">
        <f>IF(ISERROR(SEARCH("BRONCOPOLMONITE",Tabella1[[#This Row],[Patologia respiratoria]],1)),0,1)</f>
        <v>0</v>
      </c>
      <c r="BP298" s="17">
        <f>IF(ISERROR(SEARCH("ASMA, OSAS",Tabella1[[#This Row],[Patologia respiratoria]],1)),0,1)</f>
        <v>0</v>
      </c>
      <c r="BQ298" s="17">
        <f>IF(ISERROR(SEARCH("OSAS e BPCO",Tabella1[[#This Row],[Patologia respiratoria]],1)),0,1)</f>
        <v>0</v>
      </c>
      <c r="BR298" s="17">
        <f>IF(ISERROR(SEARCH("OSAS",Tabella1[[#This Row],[Patologia respiratoria]],1)),0,1)</f>
        <v>0</v>
      </c>
      <c r="BS298" s="7" t="s">
        <v>3420</v>
      </c>
      <c r="BT298" s="7" t="s">
        <v>3421</v>
      </c>
      <c r="BU298" s="7" t="s">
        <v>195</v>
      </c>
      <c r="BV298" s="17">
        <f>IF(ISERROR(SEARCH("ndd",Tabella1[[#This Row],[O2 terapia]],1)),0,1)</f>
        <v>0</v>
      </c>
      <c r="BW298" s="17">
        <v>0</v>
      </c>
      <c r="BX298" s="7"/>
      <c r="BY298" s="7" t="s">
        <v>8</v>
      </c>
      <c r="BZ298" s="18">
        <v>0</v>
      </c>
      <c r="CA298" s="7" t="s">
        <v>28</v>
      </c>
      <c r="CB298" s="17">
        <v>1</v>
      </c>
      <c r="CC298" s="7" t="s">
        <v>3422</v>
      </c>
      <c r="CD298" s="17">
        <v>1</v>
      </c>
      <c r="CE298" s="7" t="s">
        <v>8</v>
      </c>
      <c r="CF298" s="18">
        <v>0</v>
      </c>
      <c r="CG298" s="7" t="s">
        <v>3423</v>
      </c>
      <c r="CH298" s="17">
        <v>1</v>
      </c>
      <c r="CI298" s="7" t="s">
        <v>8</v>
      </c>
      <c r="CJ298" s="18">
        <v>0</v>
      </c>
      <c r="CK298" s="7" t="s">
        <v>3424</v>
      </c>
      <c r="CL298" s="17">
        <v>1</v>
      </c>
      <c r="CM298" s="7" t="s">
        <v>47</v>
      </c>
      <c r="CN298" s="17">
        <v>1</v>
      </c>
      <c r="CO298" s="7" t="s">
        <v>28</v>
      </c>
      <c r="CP298" s="17">
        <v>1</v>
      </c>
      <c r="CQ298" s="7" t="s">
        <v>85</v>
      </c>
      <c r="CR298" s="7" t="s">
        <v>3425</v>
      </c>
      <c r="CS298" s="7" t="s">
        <v>355</v>
      </c>
      <c r="CT298" s="7" t="s">
        <v>262</v>
      </c>
      <c r="CU298" s="7" t="s">
        <v>3426</v>
      </c>
      <c r="CV298" s="8"/>
    </row>
    <row r="299" spans="1:100" ht="71.25">
      <c r="A299" s="1">
        <f t="shared" si="4"/>
        <v>298</v>
      </c>
      <c r="B299" s="9">
        <v>1778</v>
      </c>
      <c r="C299" s="10">
        <v>45686</v>
      </c>
      <c r="D299" s="11" t="s">
        <v>3427</v>
      </c>
      <c r="E299" s="10">
        <v>23518</v>
      </c>
      <c r="F299" s="29">
        <f ca="1">_xlfn.DAYS(NOW(),Tabella1[[#This Row],[Data di Nascita]])/365.25</f>
        <v>61.204654346338124</v>
      </c>
      <c r="G299" s="11" t="s">
        <v>3428</v>
      </c>
      <c r="H299" s="11" t="s">
        <v>3429</v>
      </c>
      <c r="I299" s="11" t="s">
        <v>3329</v>
      </c>
      <c r="J299" s="11" t="s">
        <v>618</v>
      </c>
      <c r="K299" s="11" t="s">
        <v>3430</v>
      </c>
      <c r="L299" s="18">
        <f>IF(ISERROR(SEARCH("EX",Tabella1[[#This Row],[Attività lavorativa]],1)),0,1)</f>
        <v>1</v>
      </c>
      <c r="M299" s="18"/>
      <c r="N299" s="17">
        <v>1</v>
      </c>
      <c r="O299" s="18"/>
      <c r="P299" s="18"/>
      <c r="Q299" s="18"/>
      <c r="R299" s="18"/>
      <c r="S299" s="18"/>
      <c r="T299" s="17">
        <f>IF(ISERROR(SEARCH("NDD",Tabella1[[#This Row],[Attività lavorativa]],1)),0,1)</f>
        <v>0</v>
      </c>
      <c r="U299" s="11" t="s">
        <v>8</v>
      </c>
      <c r="V299" s="22"/>
      <c r="W299" s="22">
        <f>IF(ISERROR(SEARCH("ex",Tabella1[[#This Row],[Fumo]],1)),0,1)</f>
        <v>0</v>
      </c>
      <c r="X299" s="22">
        <f>IF(ISERROR(SEARCH("no",Tabella1[[#This Row],[Fumo]],1)),0,1)</f>
        <v>1</v>
      </c>
      <c r="Y299" s="11" t="s">
        <v>3431</v>
      </c>
      <c r="Z299" s="18">
        <f>IF(ISERROR(SEARCH("NDD",Tabella1[[#This Row],[Bevitore alcolici]],1)),0,1)</f>
        <v>0</v>
      </c>
      <c r="AA299" s="17">
        <f>IF(ISERROR(SEARCH("raro",Tabella1[[#This Row],[Bevitore alcolici]],1)),0,1)</f>
        <v>0</v>
      </c>
      <c r="AB299" s="17">
        <f>IF(ISERROR(SEARCH("saltuariamente",Tabella1[[#This Row],[Bevitore alcolici]],1)),0,1)</f>
        <v>0</v>
      </c>
      <c r="AC299" s="17">
        <f>IF(ISERROR(SEARCH("nega",Tabella1[[#This Row],[Bevitore alcolici]],1)),0,1)</f>
        <v>0</v>
      </c>
      <c r="AD299" s="17">
        <f>IF(ISERROR(SEARCH("potus",Tabella1[[#This Row],[Bevitore alcolici]],1)),0,1)</f>
        <v>0</v>
      </c>
      <c r="AE299" s="11" t="s">
        <v>657</v>
      </c>
      <c r="AF299" s="18"/>
      <c r="AG299" s="18"/>
      <c r="AH299" s="18"/>
      <c r="AI299" s="18"/>
      <c r="AJ299" s="18"/>
      <c r="AK299" s="11" t="s">
        <v>28</v>
      </c>
      <c r="AL299" s="18">
        <f>IF(ISERROR(SEARCH("si",Tabella1[[#This Row],[Patente di guida]],1)),0,1)</f>
        <v>1</v>
      </c>
      <c r="AM299" s="11" t="s">
        <v>28</v>
      </c>
      <c r="AN299" s="18">
        <f>IF(ISERROR(SEARCH("no",Tabella1[[#This Row],[Ipertensione]],1)),0,1)</f>
        <v>0</v>
      </c>
      <c r="AO299" s="11" t="s">
        <v>382</v>
      </c>
      <c r="AP299" s="18">
        <f>IF(ISERROR(SEARCH("NO",Tabella1[[#This Row],[Cardiopatia ischemica]],1)),1,0)</f>
        <v>0</v>
      </c>
      <c r="AQ299" s="17">
        <f>IF(ISERROR(SEARCH("sconosciuto",Tabella1[[#This Row],[Cardiopatia ischemica]],1)),0,1)</f>
        <v>0</v>
      </c>
      <c r="AR299" s="11" t="s">
        <v>25</v>
      </c>
      <c r="AS299" s="22">
        <f>IF(ISERROR(SEARCH("nega",Tabella1[[#This Row],[Artimie]],1)),0,1)</f>
        <v>1</v>
      </c>
      <c r="AT299" s="11" t="s">
        <v>25</v>
      </c>
      <c r="AU299" s="22">
        <f>IF(ISERROR(SEARCH("nega",Tabella1[[#This Row],[Ipercolesterolemia]],1)),0,1)</f>
        <v>1</v>
      </c>
      <c r="AV299" s="22">
        <f>IF(ISERROR(SEARCH("boh",Tabella1[[#This Row],[Ipercolesterolemia]],1)),0,1)</f>
        <v>0</v>
      </c>
      <c r="AW299" s="11" t="s">
        <v>8</v>
      </c>
      <c r="AX299" s="22">
        <f>IF(ISERROR(SEARCH("Intolleranza",Tabella1[[#This Row],[Diabete]],1)),0,1)</f>
        <v>0</v>
      </c>
      <c r="AY299" s="22">
        <f>IF(ISERROR(SEARCH("si",Tabella1[[#This Row],[Diabete]],1)),0,1)</f>
        <v>0</v>
      </c>
      <c r="AZ299" s="11" t="s">
        <v>8</v>
      </c>
      <c r="BA299" s="18">
        <f>IF(ISERROR(SEARCH("NDD",Tabella1[[#This Row],[Patologia Tiroidea]],1)),0,1)</f>
        <v>0</v>
      </c>
      <c r="BB299" s="22">
        <f>IF(ISERROR(SEARCH("TIROIDITE",Tabella1[[#This Row],[Patologia Tiroidea]],1)),0,1)</f>
        <v>0</v>
      </c>
      <c r="BC299" s="22">
        <f>IF(ISERROR(SEARCH("HASHIMOTO",Tabella1[[#This Row],[Patologia Tiroidea]],1)),0,1)</f>
        <v>0</v>
      </c>
      <c r="BD299" s="22">
        <f>IF(ISERROR(SEARCH("BASEDOW",Tabella1[[#This Row],[Patologia Tiroidea]],1)),0,1)</f>
        <v>0</v>
      </c>
      <c r="BE299" s="22">
        <f>IF(ISERROR(SEARCH("NOD",Tabella1[[#This Row],[Patologia Tiroidea]],1)),0,1)</f>
        <v>0</v>
      </c>
      <c r="BF299" s="22">
        <f>IF(ISERROR(SEARCH("GOZ",Tabella1[[#This Row],[Patologia Tiroidea]],1)),0,1)</f>
        <v>0</v>
      </c>
      <c r="BG299" s="11" t="s">
        <v>8</v>
      </c>
      <c r="BH299" s="18">
        <f>IF(Tabella1[[#This Row],[Obesità]]="no",0,1)</f>
        <v>0</v>
      </c>
      <c r="BI299" s="11" t="s">
        <v>28</v>
      </c>
      <c r="BJ299" s="22">
        <f>IF(ISERROR(SEARCH("nega",Tabella1[[#This Row],[Reflusso gastroesofageo]],1)),1,0)</f>
        <v>1</v>
      </c>
      <c r="BK299" s="11" t="s">
        <v>8</v>
      </c>
      <c r="BL299" s="18">
        <f>IF(ISERROR(SEARCH("NDD",Tabella1[[#This Row],[Patologia respiratoria]],1)),0,1)</f>
        <v>0</v>
      </c>
      <c r="BM299" s="18">
        <f>IF(ISERROR(SEARCH("asma",Tabella1[[#This Row],[Patologia respiratoria]],1)),0,1)</f>
        <v>0</v>
      </c>
      <c r="BN299" s="18">
        <f>IF(ISERROR(SEARCH("BPCO",Tabella1[[#This Row],[Patologia respiratoria]],1)),0,1)</f>
        <v>0</v>
      </c>
      <c r="BO299" s="18">
        <f>IF(ISERROR(SEARCH("BRONCOPOLMONITE",Tabella1[[#This Row],[Patologia respiratoria]],1)),0,1)</f>
        <v>0</v>
      </c>
      <c r="BP299" s="18">
        <f>IF(ISERROR(SEARCH("ASMA, OSAS",Tabella1[[#This Row],[Patologia respiratoria]],1)),0,1)</f>
        <v>0</v>
      </c>
      <c r="BQ299" s="18">
        <f>IF(ISERROR(SEARCH("OSAS e BPCO",Tabella1[[#This Row],[Patologia respiratoria]],1)),0,1)</f>
        <v>0</v>
      </c>
      <c r="BR299" s="18">
        <f>IF(ISERROR(SEARCH("OSAS",Tabella1[[#This Row],[Patologia respiratoria]],1)),0,1)</f>
        <v>0</v>
      </c>
      <c r="BS299" s="11"/>
      <c r="BT299" s="11" t="s">
        <v>3432</v>
      </c>
      <c r="BU299" s="11" t="s">
        <v>195</v>
      </c>
      <c r="BV299" s="18">
        <f>IF(ISERROR(SEARCH("ndd",Tabella1[[#This Row],[O2 terapia]],1)),0,1)</f>
        <v>0</v>
      </c>
      <c r="BW299" s="17">
        <v>0</v>
      </c>
      <c r="BX299" s="11"/>
      <c r="BY299" s="11" t="s">
        <v>3433</v>
      </c>
      <c r="BZ299" s="17">
        <v>1</v>
      </c>
      <c r="CA299" s="11" t="s">
        <v>28</v>
      </c>
      <c r="CB299" s="17">
        <v>1</v>
      </c>
      <c r="CC299" s="11" t="s">
        <v>8</v>
      </c>
      <c r="CD299" s="18">
        <v>0</v>
      </c>
      <c r="CE299" s="11" t="s">
        <v>8</v>
      </c>
      <c r="CF299" s="18">
        <v>0</v>
      </c>
      <c r="CG299" s="11" t="s">
        <v>8</v>
      </c>
      <c r="CH299" s="17">
        <v>0</v>
      </c>
      <c r="CI299" s="11" t="s">
        <v>28</v>
      </c>
      <c r="CJ299" s="17">
        <v>1</v>
      </c>
      <c r="CK299" s="11" t="s">
        <v>3385</v>
      </c>
      <c r="CL299" s="17">
        <v>1</v>
      </c>
      <c r="CM299" s="11" t="s">
        <v>8</v>
      </c>
      <c r="CN299" s="17">
        <v>0</v>
      </c>
      <c r="CO299" s="11" t="s">
        <v>272</v>
      </c>
      <c r="CP299" s="17">
        <v>1</v>
      </c>
      <c r="CQ299" s="11" t="s">
        <v>202</v>
      </c>
      <c r="CR299" s="11" t="s">
        <v>183</v>
      </c>
      <c r="CS299" s="11" t="s">
        <v>71</v>
      </c>
      <c r="CT299" s="11" t="s">
        <v>37</v>
      </c>
      <c r="CU299" s="11" t="s">
        <v>3434</v>
      </c>
      <c r="CV299" s="12"/>
    </row>
    <row r="300" spans="1:100" ht="71.25">
      <c r="A300" s="1">
        <f t="shared" si="4"/>
        <v>299</v>
      </c>
      <c r="B300" s="5">
        <v>1784</v>
      </c>
      <c r="C300" s="6">
        <v>45687</v>
      </c>
      <c r="D300" s="7" t="s">
        <v>3435</v>
      </c>
      <c r="E300" s="6">
        <v>16026</v>
      </c>
      <c r="F300" s="29">
        <f ca="1">_xlfn.DAYS(NOW(),Tabella1[[#This Row],[Data di Nascita]])/365.25</f>
        <v>81.716632443531822</v>
      </c>
      <c r="G300" s="7" t="s">
        <v>3436</v>
      </c>
      <c r="H300" s="7" t="s">
        <v>3437</v>
      </c>
      <c r="I300" s="7" t="s">
        <v>3329</v>
      </c>
      <c r="J300" s="7" t="s">
        <v>618</v>
      </c>
      <c r="K300" s="7" t="s">
        <v>79</v>
      </c>
      <c r="L300" s="17">
        <f>IF(ISERROR(SEARCH("EX",Tabella1[[#This Row],[Attività lavorativa]],1)),0,1)</f>
        <v>0</v>
      </c>
      <c r="M300" s="17"/>
      <c r="N300" s="17"/>
      <c r="O300" s="17"/>
      <c r="P300" s="18">
        <v>1</v>
      </c>
      <c r="Q300" s="17"/>
      <c r="R300" s="17"/>
      <c r="S300" s="17"/>
      <c r="T300" s="17">
        <f>IF(ISERROR(SEARCH("NDD",Tabella1[[#This Row],[Attività lavorativa]],1)),0,1)</f>
        <v>0</v>
      </c>
      <c r="U300" s="7" t="s">
        <v>8</v>
      </c>
      <c r="V300" s="22"/>
      <c r="W300" s="22">
        <f>IF(ISERROR(SEARCH("ex",Tabella1[[#This Row],[Fumo]],1)),0,1)</f>
        <v>0</v>
      </c>
      <c r="X300" s="22">
        <f>IF(ISERROR(SEARCH("no",Tabella1[[#This Row],[Fumo]],1)),0,1)</f>
        <v>1</v>
      </c>
      <c r="Y300" s="7" t="s">
        <v>309</v>
      </c>
      <c r="Z300" s="17">
        <f>IF(ISERROR(SEARCH("NDD",Tabella1[[#This Row],[Bevitore alcolici]],1)),0,1)</f>
        <v>0</v>
      </c>
      <c r="AA300" s="17">
        <f>IF(ISERROR(SEARCH("raro",Tabella1[[#This Row],[Bevitore alcolici]],1)),0,1)</f>
        <v>0</v>
      </c>
      <c r="AB300" s="17">
        <f>IF(ISERROR(SEARCH("saltuariamente",Tabella1[[#This Row],[Bevitore alcolici]],1)),0,1)</f>
        <v>0</v>
      </c>
      <c r="AC300" s="17">
        <f>IF(ISERROR(SEARCH("nega",Tabella1[[#This Row],[Bevitore alcolici]],1)),0,1)</f>
        <v>1</v>
      </c>
      <c r="AD300" s="17">
        <f>IF(ISERROR(SEARCH("potus",Tabella1[[#This Row],[Bevitore alcolici]],1)),0,1)</f>
        <v>0</v>
      </c>
      <c r="AE300" s="7" t="s">
        <v>657</v>
      </c>
      <c r="AF300" s="17"/>
      <c r="AG300" s="17"/>
      <c r="AH300" s="17"/>
      <c r="AI300" s="17"/>
      <c r="AJ300" s="17"/>
      <c r="AK300" s="7" t="s">
        <v>195</v>
      </c>
      <c r="AL300" s="17">
        <f>IF(ISERROR(SEARCH("si",Tabella1[[#This Row],[Patente di guida]],1)),0,1)</f>
        <v>0</v>
      </c>
      <c r="AM300" s="7" t="s">
        <v>28</v>
      </c>
      <c r="AN300" s="17">
        <f>IF(ISERROR(SEARCH("no",Tabella1[[#This Row],[Ipertensione]],1)),0,1)</f>
        <v>0</v>
      </c>
      <c r="AO300" s="7" t="s">
        <v>382</v>
      </c>
      <c r="AP300" s="18">
        <f>IF(ISERROR(SEARCH("NO",Tabella1[[#This Row],[Cardiopatia ischemica]],1)),1,0)</f>
        <v>0</v>
      </c>
      <c r="AQ300" s="17">
        <f>IF(ISERROR(SEARCH("sconosciuto",Tabella1[[#This Row],[Cardiopatia ischemica]],1)),0,1)</f>
        <v>0</v>
      </c>
      <c r="AR300" s="7" t="s">
        <v>25</v>
      </c>
      <c r="AS300" s="22">
        <f>IF(ISERROR(SEARCH("nega",Tabella1[[#This Row],[Artimie]],1)),0,1)</f>
        <v>1</v>
      </c>
      <c r="AT300" s="7" t="s">
        <v>194</v>
      </c>
      <c r="AU300" s="22">
        <f>IF(ISERROR(SEARCH("nega",Tabella1[[#This Row],[Ipercolesterolemia]],1)),0,1)</f>
        <v>0</v>
      </c>
      <c r="AV300" s="22">
        <f>IF(ISERROR(SEARCH("boh",Tabella1[[#This Row],[Ipercolesterolemia]],1)),0,1)</f>
        <v>0</v>
      </c>
      <c r="AW300" s="7" t="s">
        <v>195</v>
      </c>
      <c r="AX300" s="22">
        <f>IF(ISERROR(SEARCH("Intolleranza",Tabella1[[#This Row],[Diabete]],1)),0,1)</f>
        <v>0</v>
      </c>
      <c r="AY300" s="22">
        <f>IF(ISERROR(SEARCH("si",Tabella1[[#This Row],[Diabete]],1)),0,1)</f>
        <v>0</v>
      </c>
      <c r="AZ300" s="7" t="s">
        <v>195</v>
      </c>
      <c r="BA300" s="17">
        <f>IF(ISERROR(SEARCH("NDD",Tabella1[[#This Row],[Patologia Tiroidea]],1)),0,1)</f>
        <v>0</v>
      </c>
      <c r="BB300" s="22">
        <f>IF(ISERROR(SEARCH("TIROIDITE",Tabella1[[#This Row],[Patologia Tiroidea]],1)),0,1)</f>
        <v>0</v>
      </c>
      <c r="BC300" s="22">
        <f>IF(ISERROR(SEARCH("HASHIMOTO",Tabella1[[#This Row],[Patologia Tiroidea]],1)),0,1)</f>
        <v>0</v>
      </c>
      <c r="BD300" s="22">
        <f>IF(ISERROR(SEARCH("BASEDOW",Tabella1[[#This Row],[Patologia Tiroidea]],1)),0,1)</f>
        <v>0</v>
      </c>
      <c r="BE300" s="22">
        <f>IF(ISERROR(SEARCH("NOD",Tabella1[[#This Row],[Patologia Tiroidea]],1)),0,1)</f>
        <v>0</v>
      </c>
      <c r="BF300" s="22">
        <f>IF(ISERROR(SEARCH("GOZ",Tabella1[[#This Row],[Patologia Tiroidea]],1)),0,1)</f>
        <v>0</v>
      </c>
      <c r="BG300" s="7" t="s">
        <v>8</v>
      </c>
      <c r="BH300" s="17">
        <f>IF(Tabella1[[#This Row],[Obesità]]="no",0,1)</f>
        <v>0</v>
      </c>
      <c r="BI300" s="7" t="s">
        <v>28</v>
      </c>
      <c r="BJ300" s="22">
        <f>IF(ISERROR(SEARCH("nega",Tabella1[[#This Row],[Reflusso gastroesofageo]],1)),1,0)</f>
        <v>1</v>
      </c>
      <c r="BK300" s="7" t="s">
        <v>195</v>
      </c>
      <c r="BL300" s="17">
        <f>IF(ISERROR(SEARCH("NDD",Tabella1[[#This Row],[Patologia respiratoria]],1)),0,1)</f>
        <v>0</v>
      </c>
      <c r="BM300" s="17">
        <f>IF(ISERROR(SEARCH("asma",Tabella1[[#This Row],[Patologia respiratoria]],1)),0,1)</f>
        <v>0</v>
      </c>
      <c r="BN300" s="17">
        <f>IF(ISERROR(SEARCH("BPCO",Tabella1[[#This Row],[Patologia respiratoria]],1)),0,1)</f>
        <v>0</v>
      </c>
      <c r="BO300" s="17">
        <f>IF(ISERROR(SEARCH("BRONCOPOLMONITE",Tabella1[[#This Row],[Patologia respiratoria]],1)),0,1)</f>
        <v>0</v>
      </c>
      <c r="BP300" s="17">
        <f>IF(ISERROR(SEARCH("ASMA, OSAS",Tabella1[[#This Row],[Patologia respiratoria]],1)),0,1)</f>
        <v>0</v>
      </c>
      <c r="BQ300" s="17">
        <f>IF(ISERROR(SEARCH("OSAS e BPCO",Tabella1[[#This Row],[Patologia respiratoria]],1)),0,1)</f>
        <v>0</v>
      </c>
      <c r="BR300" s="17">
        <f>IF(ISERROR(SEARCH("OSAS",Tabella1[[#This Row],[Patologia respiratoria]],1)),0,1)</f>
        <v>0</v>
      </c>
      <c r="BS300" s="7" t="s">
        <v>3438</v>
      </c>
      <c r="BT300" s="7" t="s">
        <v>3439</v>
      </c>
      <c r="BU300" s="7" t="s">
        <v>195</v>
      </c>
      <c r="BV300" s="17">
        <f>IF(ISERROR(SEARCH("ndd",Tabella1[[#This Row],[O2 terapia]],1)),0,1)</f>
        <v>0</v>
      </c>
      <c r="BW300" s="17">
        <v>0</v>
      </c>
      <c r="BX300" s="7"/>
      <c r="BY300" s="7" t="s">
        <v>195</v>
      </c>
      <c r="BZ300" s="18">
        <v>0</v>
      </c>
      <c r="CA300" s="7" t="s">
        <v>195</v>
      </c>
      <c r="CB300" s="17">
        <v>0</v>
      </c>
      <c r="CC300" s="7" t="s">
        <v>974</v>
      </c>
      <c r="CD300" s="17">
        <v>1</v>
      </c>
      <c r="CE300" s="7" t="s">
        <v>8</v>
      </c>
      <c r="CF300" s="18">
        <v>0</v>
      </c>
      <c r="CG300" s="7" t="s">
        <v>195</v>
      </c>
      <c r="CH300" s="17">
        <v>0</v>
      </c>
      <c r="CI300" s="7" t="s">
        <v>28</v>
      </c>
      <c r="CJ300" s="17">
        <v>1</v>
      </c>
      <c r="CK300" s="7" t="s">
        <v>3311</v>
      </c>
      <c r="CL300" s="17">
        <v>1</v>
      </c>
      <c r="CM300" s="7" t="s">
        <v>194</v>
      </c>
      <c r="CN300" s="17">
        <v>1</v>
      </c>
      <c r="CO300" s="7" t="s">
        <v>195</v>
      </c>
      <c r="CP300" s="18">
        <v>0</v>
      </c>
      <c r="CQ300" s="7" t="s">
        <v>54</v>
      </c>
      <c r="CR300" s="7" t="s">
        <v>168</v>
      </c>
      <c r="CS300" s="7" t="s">
        <v>71</v>
      </c>
      <c r="CT300" s="7" t="s">
        <v>154</v>
      </c>
      <c r="CU300" s="7" t="s">
        <v>3426</v>
      </c>
      <c r="CV300" s="8"/>
    </row>
    <row r="301" spans="1:100" ht="71.25">
      <c r="A301" s="1">
        <f t="shared" si="4"/>
        <v>300</v>
      </c>
      <c r="B301" s="9">
        <v>1785</v>
      </c>
      <c r="C301" s="10">
        <v>45688</v>
      </c>
      <c r="D301" s="11" t="s">
        <v>3440</v>
      </c>
      <c r="E301" s="10">
        <v>17009</v>
      </c>
      <c r="F301" s="29">
        <f ca="1">_xlfn.DAYS(NOW(),Tabella1[[#This Row],[Data di Nascita]])/365.25</f>
        <v>79.025325119780973</v>
      </c>
      <c r="G301" s="11" t="s">
        <v>3441</v>
      </c>
      <c r="H301" s="11" t="s">
        <v>3442</v>
      </c>
      <c r="I301" s="11" t="s">
        <v>1417</v>
      </c>
      <c r="J301" s="11" t="s">
        <v>1700</v>
      </c>
      <c r="K301" s="11" t="s">
        <v>3443</v>
      </c>
      <c r="L301" s="18">
        <f>IF(ISERROR(SEARCH("EX",Tabella1[[#This Row],[Attività lavorativa]],1)),0,1)</f>
        <v>1</v>
      </c>
      <c r="M301" s="18"/>
      <c r="N301" s="18"/>
      <c r="O301" s="18"/>
      <c r="P301" s="18"/>
      <c r="Q301" s="18"/>
      <c r="R301" s="18"/>
      <c r="S301" s="18"/>
      <c r="T301" s="17">
        <f>IF(ISERROR(SEARCH("NDD",Tabella1[[#This Row],[Attività lavorativa]],1)),0,1)</f>
        <v>0</v>
      </c>
      <c r="U301" s="11" t="s">
        <v>195</v>
      </c>
      <c r="V301" s="22"/>
      <c r="W301" s="22">
        <f>IF(ISERROR(SEARCH("ex",Tabella1[[#This Row],[Fumo]],1)),0,1)</f>
        <v>0</v>
      </c>
      <c r="X301" s="22">
        <f>IF(ISERROR(SEARCH("no",Tabella1[[#This Row],[Fumo]],1)),0,1)</f>
        <v>1</v>
      </c>
      <c r="Y301" s="11" t="s">
        <v>2944</v>
      </c>
      <c r="Z301" s="18">
        <f>IF(ISERROR(SEARCH("NDD",Tabella1[[#This Row],[Bevitore alcolici]],1)),0,1)</f>
        <v>0</v>
      </c>
      <c r="AA301" s="17">
        <f>IF(ISERROR(SEARCH("raro",Tabella1[[#This Row],[Bevitore alcolici]],1)),0,1)</f>
        <v>0</v>
      </c>
      <c r="AB301" s="17">
        <f>IF(ISERROR(SEARCH("saltuariamente",Tabella1[[#This Row],[Bevitore alcolici]],1)),0,1)</f>
        <v>0</v>
      </c>
      <c r="AC301" s="17">
        <f>IF(ISERROR(SEARCH("nega",Tabella1[[#This Row],[Bevitore alcolici]],1)),0,1)</f>
        <v>0</v>
      </c>
      <c r="AD301" s="17">
        <f>IF(ISERROR(SEARCH("potus",Tabella1[[#This Row],[Bevitore alcolici]],1)),0,1)</f>
        <v>0</v>
      </c>
      <c r="AE301" s="11" t="s">
        <v>3444</v>
      </c>
      <c r="AF301" s="18"/>
      <c r="AG301" s="18"/>
      <c r="AH301" s="18">
        <v>1</v>
      </c>
      <c r="AI301" s="18"/>
      <c r="AJ301" s="18"/>
      <c r="AK301" s="11" t="s">
        <v>194</v>
      </c>
      <c r="AL301" s="18">
        <f>IF(ISERROR(SEARCH("si",Tabella1[[#This Row],[Patente di guida]],1)),0,1)</f>
        <v>1</v>
      </c>
      <c r="AM301" s="11" t="s">
        <v>28</v>
      </c>
      <c r="AN301" s="18">
        <f>IF(ISERROR(SEARCH("no",Tabella1[[#This Row],[Ipertensione]],1)),0,1)</f>
        <v>0</v>
      </c>
      <c r="AO301" s="11" t="s">
        <v>382</v>
      </c>
      <c r="AP301" s="18">
        <f>IF(ISERROR(SEARCH("NO",Tabella1[[#This Row],[Cardiopatia ischemica]],1)),1,0)</f>
        <v>0</v>
      </c>
      <c r="AQ301" s="17">
        <f>IF(ISERROR(SEARCH("sconosciuto",Tabella1[[#This Row],[Cardiopatia ischemica]],1)),0,1)</f>
        <v>0</v>
      </c>
      <c r="AR301" s="11" t="s">
        <v>859</v>
      </c>
      <c r="AS301" s="22">
        <f>IF(ISERROR(SEARCH("nega",Tabella1[[#This Row],[Artimie]],1)),0,1)</f>
        <v>0</v>
      </c>
      <c r="AT301" s="11" t="s">
        <v>25</v>
      </c>
      <c r="AU301" s="22">
        <f>IF(ISERROR(SEARCH("nega",Tabella1[[#This Row],[Ipercolesterolemia]],1)),0,1)</f>
        <v>1</v>
      </c>
      <c r="AV301" s="22">
        <f>IF(ISERROR(SEARCH("boh",Tabella1[[#This Row],[Ipercolesterolemia]],1)),0,1)</f>
        <v>0</v>
      </c>
      <c r="AW301" s="11" t="s">
        <v>195</v>
      </c>
      <c r="AX301" s="22">
        <f>IF(ISERROR(SEARCH("Intolleranza",Tabella1[[#This Row],[Diabete]],1)),0,1)</f>
        <v>0</v>
      </c>
      <c r="AY301" s="22">
        <f>IF(ISERROR(SEARCH("si",Tabella1[[#This Row],[Diabete]],1)),0,1)</f>
        <v>0</v>
      </c>
      <c r="AZ301" s="11" t="s">
        <v>195</v>
      </c>
      <c r="BA301" s="18">
        <f>IF(ISERROR(SEARCH("NDD",Tabella1[[#This Row],[Patologia Tiroidea]],1)),0,1)</f>
        <v>0</v>
      </c>
      <c r="BB301" s="22">
        <f>IF(ISERROR(SEARCH("TIROIDITE",Tabella1[[#This Row],[Patologia Tiroidea]],1)),0,1)</f>
        <v>0</v>
      </c>
      <c r="BC301" s="22">
        <f>IF(ISERROR(SEARCH("HASHIMOTO",Tabella1[[#This Row],[Patologia Tiroidea]],1)),0,1)</f>
        <v>0</v>
      </c>
      <c r="BD301" s="22">
        <f>IF(ISERROR(SEARCH("BASEDOW",Tabella1[[#This Row],[Patologia Tiroidea]],1)),0,1)</f>
        <v>0</v>
      </c>
      <c r="BE301" s="22">
        <f>IF(ISERROR(SEARCH("NOD",Tabella1[[#This Row],[Patologia Tiroidea]],1)),0,1)</f>
        <v>0</v>
      </c>
      <c r="BF301" s="22">
        <f>IF(ISERROR(SEARCH("GOZ",Tabella1[[#This Row],[Patologia Tiroidea]],1)),0,1)</f>
        <v>0</v>
      </c>
      <c r="BG301" s="11" t="s">
        <v>8</v>
      </c>
      <c r="BH301" s="18">
        <f>IF(Tabella1[[#This Row],[Obesità]]="no",0,1)</f>
        <v>0</v>
      </c>
      <c r="BI301" s="11" t="s">
        <v>25</v>
      </c>
      <c r="BJ301" s="22">
        <f>IF(ISERROR(SEARCH("nega",Tabella1[[#This Row],[Reflusso gastroesofageo]],1)),1,0)</f>
        <v>0</v>
      </c>
      <c r="BK301" s="11" t="s">
        <v>195</v>
      </c>
      <c r="BL301" s="18">
        <f>IF(ISERROR(SEARCH("NDD",Tabella1[[#This Row],[Patologia respiratoria]],1)),0,1)</f>
        <v>0</v>
      </c>
      <c r="BM301" s="18">
        <f>IF(ISERROR(SEARCH("asma",Tabella1[[#This Row],[Patologia respiratoria]],1)),0,1)</f>
        <v>0</v>
      </c>
      <c r="BN301" s="18">
        <f>IF(ISERROR(SEARCH("BPCO",Tabella1[[#This Row],[Patologia respiratoria]],1)),0,1)</f>
        <v>0</v>
      </c>
      <c r="BO301" s="18">
        <f>IF(ISERROR(SEARCH("BRONCOPOLMONITE",Tabella1[[#This Row],[Patologia respiratoria]],1)),0,1)</f>
        <v>0</v>
      </c>
      <c r="BP301" s="18">
        <f>IF(ISERROR(SEARCH("ASMA, OSAS",Tabella1[[#This Row],[Patologia respiratoria]],1)),0,1)</f>
        <v>0</v>
      </c>
      <c r="BQ301" s="18">
        <f>IF(ISERROR(SEARCH("OSAS e BPCO",Tabella1[[#This Row],[Patologia respiratoria]],1)),0,1)</f>
        <v>0</v>
      </c>
      <c r="BR301" s="18">
        <f>IF(ISERROR(SEARCH("OSAS",Tabella1[[#This Row],[Patologia respiratoria]],1)),0,1)</f>
        <v>0</v>
      </c>
      <c r="BS301" s="11" t="s">
        <v>3445</v>
      </c>
      <c r="BT301" s="11" t="s">
        <v>3446</v>
      </c>
      <c r="BU301" s="11" t="s">
        <v>195</v>
      </c>
      <c r="BV301" s="18">
        <f>IF(ISERROR(SEARCH("ndd",Tabella1[[#This Row],[O2 terapia]],1)),0,1)</f>
        <v>0</v>
      </c>
      <c r="BW301" s="17">
        <v>0</v>
      </c>
      <c r="BX301" s="11"/>
      <c r="BY301" s="11" t="s">
        <v>2365</v>
      </c>
      <c r="BZ301" s="17">
        <v>1</v>
      </c>
      <c r="CA301" s="11" t="s">
        <v>195</v>
      </c>
      <c r="CB301" s="17">
        <v>0</v>
      </c>
      <c r="CC301" s="11" t="s">
        <v>3447</v>
      </c>
      <c r="CD301" s="17">
        <v>1</v>
      </c>
      <c r="CE301" s="11" t="s">
        <v>8</v>
      </c>
      <c r="CF301" s="18">
        <v>0</v>
      </c>
      <c r="CG301" s="11" t="s">
        <v>3334</v>
      </c>
      <c r="CH301" s="17">
        <v>1</v>
      </c>
      <c r="CI301" s="11" t="s">
        <v>28</v>
      </c>
      <c r="CJ301" s="17">
        <v>1</v>
      </c>
      <c r="CK301" s="11" t="s">
        <v>3311</v>
      </c>
      <c r="CL301" s="17">
        <v>1</v>
      </c>
      <c r="CM301" s="11" t="s">
        <v>3448</v>
      </c>
      <c r="CN301" s="17">
        <v>1</v>
      </c>
      <c r="CO301" s="11" t="s">
        <v>3449</v>
      </c>
      <c r="CP301" s="18">
        <v>0</v>
      </c>
      <c r="CQ301" s="11" t="s">
        <v>54</v>
      </c>
      <c r="CR301" s="11" t="s">
        <v>1571</v>
      </c>
      <c r="CS301" s="11" t="s">
        <v>71</v>
      </c>
      <c r="CT301" s="11" t="s">
        <v>169</v>
      </c>
      <c r="CU301" s="11" t="s">
        <v>3434</v>
      </c>
      <c r="CV301" s="12"/>
    </row>
    <row r="302" spans="1:100" ht="199.5">
      <c r="A302" s="1">
        <f t="shared" si="4"/>
        <v>301</v>
      </c>
      <c r="B302" s="5">
        <v>1796</v>
      </c>
      <c r="C302" s="6">
        <v>45693</v>
      </c>
      <c r="D302" s="7" t="s">
        <v>3450</v>
      </c>
      <c r="E302" s="6">
        <v>22527</v>
      </c>
      <c r="F302" s="29">
        <f ca="1">_xlfn.DAYS(NOW(),Tabella1[[#This Row],[Data di Nascita]])/365.25</f>
        <v>63.917864476386036</v>
      </c>
      <c r="G302" s="7" t="s">
        <v>3451</v>
      </c>
      <c r="H302" s="7" t="s">
        <v>3452</v>
      </c>
      <c r="I302" s="7" t="s">
        <v>3453</v>
      </c>
      <c r="J302" s="7" t="s">
        <v>3454</v>
      </c>
      <c r="K302" s="7" t="s">
        <v>1252</v>
      </c>
      <c r="L302" s="17">
        <f>IF(ISERROR(SEARCH("EX",Tabella1[[#This Row],[Attività lavorativa]],1)),0,1)</f>
        <v>0</v>
      </c>
      <c r="M302" s="17"/>
      <c r="N302" s="17"/>
      <c r="O302" s="17"/>
      <c r="P302" s="17"/>
      <c r="Q302" s="17"/>
      <c r="R302" s="17"/>
      <c r="S302" s="17">
        <v>1</v>
      </c>
      <c r="T302" s="17">
        <f>IF(ISERROR(SEARCH("NDD",Tabella1[[#This Row],[Attività lavorativa]],1)),0,1)</f>
        <v>0</v>
      </c>
      <c r="U302" s="7" t="s">
        <v>3455</v>
      </c>
      <c r="V302" s="22">
        <v>5</v>
      </c>
      <c r="W302" s="22">
        <f>IF(ISERROR(SEARCH("ex",Tabella1[[#This Row],[Fumo]],1)),0,1)</f>
        <v>1</v>
      </c>
      <c r="X302" s="22">
        <f>IF(ISERROR(SEARCH("no",Tabella1[[#This Row],[Fumo]],1)),0,1)</f>
        <v>0</v>
      </c>
      <c r="Y302" s="7" t="s">
        <v>25</v>
      </c>
      <c r="Z302" s="17">
        <f>IF(ISERROR(SEARCH("NDD",Tabella1[[#This Row],[Bevitore alcolici]],1)),0,1)</f>
        <v>0</v>
      </c>
      <c r="AA302" s="17">
        <f>IF(ISERROR(SEARCH("raro",Tabella1[[#This Row],[Bevitore alcolici]],1)),0,1)</f>
        <v>0</v>
      </c>
      <c r="AB302" s="17">
        <f>IF(ISERROR(SEARCH("saltuariamente",Tabella1[[#This Row],[Bevitore alcolici]],1)),0,1)</f>
        <v>0</v>
      </c>
      <c r="AC302" s="17">
        <f>IF(ISERROR(SEARCH("nega",Tabella1[[#This Row],[Bevitore alcolici]],1)),0,1)</f>
        <v>1</v>
      </c>
      <c r="AD302" s="17">
        <f>IF(ISERROR(SEARCH("potus",Tabella1[[#This Row],[Bevitore alcolici]],1)),0,1)</f>
        <v>0</v>
      </c>
      <c r="AE302" s="7" t="s">
        <v>3331</v>
      </c>
      <c r="AF302" s="17"/>
      <c r="AG302" s="18">
        <v>1</v>
      </c>
      <c r="AH302" s="18"/>
      <c r="AI302" s="18"/>
      <c r="AJ302" s="18"/>
      <c r="AK302" s="7" t="s">
        <v>195</v>
      </c>
      <c r="AL302" s="17">
        <f>IF(ISERROR(SEARCH("si",Tabella1[[#This Row],[Patente di guida]],1)),0,1)</f>
        <v>0</v>
      </c>
      <c r="AM302" s="7" t="s">
        <v>28</v>
      </c>
      <c r="AN302" s="17">
        <f>IF(ISERROR(SEARCH("no",Tabella1[[#This Row],[Ipertensione]],1)),0,1)</f>
        <v>0</v>
      </c>
      <c r="AO302" s="7" t="s">
        <v>382</v>
      </c>
      <c r="AP302" s="18">
        <f>IF(ISERROR(SEARCH("NO",Tabella1[[#This Row],[Cardiopatia ischemica]],1)),1,0)</f>
        <v>0</v>
      </c>
      <c r="AQ302" s="17">
        <f>IF(ISERROR(SEARCH("sconosciuto",Tabella1[[#This Row],[Cardiopatia ischemica]],1)),0,1)</f>
        <v>0</v>
      </c>
      <c r="AR302" s="7" t="s">
        <v>25</v>
      </c>
      <c r="AS302" s="22">
        <f>IF(ISERROR(SEARCH("nega",Tabella1[[#This Row],[Artimie]],1)),0,1)</f>
        <v>1</v>
      </c>
      <c r="AT302" s="7" t="s">
        <v>516</v>
      </c>
      <c r="AU302" s="22">
        <f>IF(ISERROR(SEARCH("nega",Tabella1[[#This Row],[Ipercolesterolemia]],1)),0,1)</f>
        <v>0</v>
      </c>
      <c r="AV302" s="22">
        <f>IF(ISERROR(SEARCH("boh",Tabella1[[#This Row],[Ipercolesterolemia]],1)),0,1)</f>
        <v>0</v>
      </c>
      <c r="AW302" s="7" t="s">
        <v>28</v>
      </c>
      <c r="AX302" s="22">
        <f>IF(ISERROR(SEARCH("Intolleranza",Tabella1[[#This Row],[Diabete]],1)),0,1)</f>
        <v>0</v>
      </c>
      <c r="AY302" s="22">
        <f>IF(ISERROR(SEARCH("si",Tabella1[[#This Row],[Diabete]],1)),0,1)</f>
        <v>1</v>
      </c>
      <c r="AZ302" s="7" t="s">
        <v>195</v>
      </c>
      <c r="BA302" s="17">
        <f>IF(ISERROR(SEARCH("NDD",Tabella1[[#This Row],[Patologia Tiroidea]],1)),0,1)</f>
        <v>0</v>
      </c>
      <c r="BB302" s="22">
        <f>IF(ISERROR(SEARCH("TIROIDITE",Tabella1[[#This Row],[Patologia Tiroidea]],1)),0,1)</f>
        <v>0</v>
      </c>
      <c r="BC302" s="22">
        <f>IF(ISERROR(SEARCH("HASHIMOTO",Tabella1[[#This Row],[Patologia Tiroidea]],1)),0,1)</f>
        <v>0</v>
      </c>
      <c r="BD302" s="22">
        <f>IF(ISERROR(SEARCH("BASEDOW",Tabella1[[#This Row],[Patologia Tiroidea]],1)),0,1)</f>
        <v>0</v>
      </c>
      <c r="BE302" s="22">
        <f>IF(ISERROR(SEARCH("NOD",Tabella1[[#This Row],[Patologia Tiroidea]],1)),0,1)</f>
        <v>0</v>
      </c>
      <c r="BF302" s="22">
        <f>IF(ISERROR(SEARCH("GOZ",Tabella1[[#This Row],[Patologia Tiroidea]],1)),0,1)</f>
        <v>0</v>
      </c>
      <c r="BG302" s="7" t="s">
        <v>516</v>
      </c>
      <c r="BH302" s="17">
        <f>IF(Tabella1[[#This Row],[Obesità]]="no",0,1)</f>
        <v>1</v>
      </c>
      <c r="BI302" s="7" t="s">
        <v>516</v>
      </c>
      <c r="BJ302" s="22">
        <f>IF(ISERROR(SEARCH("nega",Tabella1[[#This Row],[Reflusso gastroesofageo]],1)),1,0)</f>
        <v>1</v>
      </c>
      <c r="BK302" s="7" t="s">
        <v>195</v>
      </c>
      <c r="BL302" s="17">
        <f>IF(ISERROR(SEARCH("NDD",Tabella1[[#This Row],[Patologia respiratoria]],1)),0,1)</f>
        <v>0</v>
      </c>
      <c r="BM302" s="17">
        <f>IF(ISERROR(SEARCH("asma",Tabella1[[#This Row],[Patologia respiratoria]],1)),0,1)</f>
        <v>0</v>
      </c>
      <c r="BN302" s="17">
        <f>IF(ISERROR(SEARCH("BPCO",Tabella1[[#This Row],[Patologia respiratoria]],1)),0,1)</f>
        <v>0</v>
      </c>
      <c r="BO302" s="17">
        <f>IF(ISERROR(SEARCH("BRONCOPOLMONITE",Tabella1[[#This Row],[Patologia respiratoria]],1)),0,1)</f>
        <v>0</v>
      </c>
      <c r="BP302" s="17">
        <f>IF(ISERROR(SEARCH("ASMA, OSAS",Tabella1[[#This Row],[Patologia respiratoria]],1)),0,1)</f>
        <v>0</v>
      </c>
      <c r="BQ302" s="17">
        <f>IF(ISERROR(SEARCH("OSAS e BPCO",Tabella1[[#This Row],[Patologia respiratoria]],1)),0,1)</f>
        <v>0</v>
      </c>
      <c r="BR302" s="17">
        <f>IF(ISERROR(SEARCH("OSAS",Tabella1[[#This Row],[Patologia respiratoria]],1)),0,1)</f>
        <v>0</v>
      </c>
      <c r="BS302" s="7"/>
      <c r="BT302" s="7" t="s">
        <v>3456</v>
      </c>
      <c r="BU302" s="7" t="s">
        <v>195</v>
      </c>
      <c r="BV302" s="17">
        <f>IF(ISERROR(SEARCH("ndd",Tabella1[[#This Row],[O2 terapia]],1)),0,1)</f>
        <v>0</v>
      </c>
      <c r="BW302" s="17">
        <v>0</v>
      </c>
      <c r="BX302" s="7"/>
      <c r="BY302" s="7" t="s">
        <v>309</v>
      </c>
      <c r="BZ302" s="18">
        <v>0</v>
      </c>
      <c r="CA302" s="7" t="s">
        <v>2365</v>
      </c>
      <c r="CB302" s="17">
        <v>1</v>
      </c>
      <c r="CC302" s="7" t="s">
        <v>312</v>
      </c>
      <c r="CD302" s="17">
        <v>1</v>
      </c>
      <c r="CE302" s="7" t="s">
        <v>195</v>
      </c>
      <c r="CF302" s="18">
        <v>0</v>
      </c>
      <c r="CG302" s="7" t="s">
        <v>309</v>
      </c>
      <c r="CH302" s="17">
        <v>0</v>
      </c>
      <c r="CI302" s="7" t="s">
        <v>516</v>
      </c>
      <c r="CJ302" s="17">
        <v>1</v>
      </c>
      <c r="CK302" s="7" t="s">
        <v>2488</v>
      </c>
      <c r="CL302" s="17">
        <v>1</v>
      </c>
      <c r="CM302" s="7" t="s">
        <v>516</v>
      </c>
      <c r="CN302" s="17">
        <v>1</v>
      </c>
      <c r="CO302" s="7" t="s">
        <v>309</v>
      </c>
      <c r="CP302" s="18">
        <v>0</v>
      </c>
      <c r="CQ302" s="7" t="s">
        <v>69</v>
      </c>
      <c r="CR302" s="7" t="s">
        <v>3457</v>
      </c>
      <c r="CS302" s="7" t="s">
        <v>86</v>
      </c>
      <c r="CT302" s="7" t="s">
        <v>3458</v>
      </c>
      <c r="CU302" s="7" t="s">
        <v>3459</v>
      </c>
      <c r="CV302" s="8" t="s">
        <v>3453</v>
      </c>
    </row>
    <row r="303" spans="1:100" ht="71.25">
      <c r="A303" s="1">
        <f t="shared" si="4"/>
        <v>302</v>
      </c>
      <c r="B303" s="9">
        <v>1807</v>
      </c>
      <c r="C303" s="10">
        <v>45699</v>
      </c>
      <c r="D303" s="11" t="s">
        <v>3460</v>
      </c>
      <c r="E303" s="10">
        <v>22199</v>
      </c>
      <c r="F303" s="29">
        <f ca="1">_xlfn.DAYS(NOW(),Tabella1[[#This Row],[Data di Nascita]])/365.25</f>
        <v>64.815879534565369</v>
      </c>
      <c r="G303" s="11" t="s">
        <v>3461</v>
      </c>
      <c r="H303" s="11" t="s">
        <v>3462</v>
      </c>
      <c r="I303" s="11" t="s">
        <v>3463</v>
      </c>
      <c r="J303" s="11" t="s">
        <v>211</v>
      </c>
      <c r="K303" s="11" t="s">
        <v>5625</v>
      </c>
      <c r="L303" s="18">
        <f>IF(ISERROR(SEARCH("EX",Tabella1[[#This Row],[Attività lavorativa]],1)),0,1)</f>
        <v>1</v>
      </c>
      <c r="M303" s="18"/>
      <c r="N303" s="18"/>
      <c r="O303" s="18"/>
      <c r="P303" s="18"/>
      <c r="Q303" s="18"/>
      <c r="R303" s="18"/>
      <c r="S303" s="18"/>
      <c r="T303" s="17">
        <f>IF(ISERROR(SEARCH("NDD",Tabella1[[#This Row],[Attività lavorativa]],1)),0,1)</f>
        <v>0</v>
      </c>
      <c r="U303" s="11" t="s">
        <v>3464</v>
      </c>
      <c r="V303" s="22">
        <v>30</v>
      </c>
      <c r="W303" s="22">
        <f>IF(ISERROR(SEARCH("ex",Tabella1[[#This Row],[Fumo]],1)),0,1)</f>
        <v>1</v>
      </c>
      <c r="X303" s="22">
        <f>IF(ISERROR(SEARCH("no",Tabella1[[#This Row],[Fumo]],1)),0,1)</f>
        <v>0</v>
      </c>
      <c r="Y303" s="11" t="s">
        <v>3465</v>
      </c>
      <c r="Z303" s="18">
        <f>IF(ISERROR(SEARCH("NDD",Tabella1[[#This Row],[Bevitore alcolici]],1)),0,1)</f>
        <v>0</v>
      </c>
      <c r="AA303" s="17">
        <f>IF(ISERROR(SEARCH("raro",Tabella1[[#This Row],[Bevitore alcolici]],1)),0,1)</f>
        <v>0</v>
      </c>
      <c r="AB303" s="17">
        <f>IF(ISERROR(SEARCH("saltuariamente",Tabella1[[#This Row],[Bevitore alcolici]],1)),0,1)</f>
        <v>0</v>
      </c>
      <c r="AC303" s="17">
        <f>IF(ISERROR(SEARCH("nega",Tabella1[[#This Row],[Bevitore alcolici]],1)),0,1)</f>
        <v>0</v>
      </c>
      <c r="AD303" s="17">
        <f>IF(ISERROR(SEARCH("potus",Tabella1[[#This Row],[Bevitore alcolici]],1)),0,1)</f>
        <v>0</v>
      </c>
      <c r="AE303" s="11" t="s">
        <v>657</v>
      </c>
      <c r="AF303" s="18"/>
      <c r="AG303" s="18"/>
      <c r="AH303" s="18"/>
      <c r="AI303" s="18"/>
      <c r="AJ303" s="18"/>
      <c r="AK303" s="11" t="s">
        <v>28</v>
      </c>
      <c r="AL303" s="18">
        <f>IF(ISERROR(SEARCH("si",Tabella1[[#This Row],[Patente di guida]],1)),0,1)</f>
        <v>1</v>
      </c>
      <c r="AM303" s="11" t="s">
        <v>28</v>
      </c>
      <c r="AN303" s="18">
        <f>IF(ISERROR(SEARCH("no",Tabella1[[#This Row],[Ipertensione]],1)),0,1)</f>
        <v>0</v>
      </c>
      <c r="AO303" s="11" t="s">
        <v>382</v>
      </c>
      <c r="AP303" s="18">
        <f>IF(ISERROR(SEARCH("NO",Tabella1[[#This Row],[Cardiopatia ischemica]],1)),1,0)</f>
        <v>0</v>
      </c>
      <c r="AQ303" s="17">
        <f>IF(ISERROR(SEARCH("sconosciuto",Tabella1[[#This Row],[Cardiopatia ischemica]],1)),0,1)</f>
        <v>0</v>
      </c>
      <c r="AR303" s="11" t="s">
        <v>25</v>
      </c>
      <c r="AS303" s="22">
        <f>IF(ISERROR(SEARCH("nega",Tabella1[[#This Row],[Artimie]],1)),0,1)</f>
        <v>1</v>
      </c>
      <c r="AT303" s="11" t="s">
        <v>516</v>
      </c>
      <c r="AU303" s="22">
        <f>IF(ISERROR(SEARCH("nega",Tabella1[[#This Row],[Ipercolesterolemia]],1)),0,1)</f>
        <v>0</v>
      </c>
      <c r="AV303" s="22">
        <f>IF(ISERROR(SEARCH("boh",Tabella1[[#This Row],[Ipercolesterolemia]],1)),0,1)</f>
        <v>0</v>
      </c>
      <c r="AW303" s="11" t="s">
        <v>28</v>
      </c>
      <c r="AX303" s="22">
        <f>IF(ISERROR(SEARCH("Intolleranza",Tabella1[[#This Row],[Diabete]],1)),0,1)</f>
        <v>0</v>
      </c>
      <c r="AY303" s="22">
        <f>IF(ISERROR(SEARCH("si",Tabella1[[#This Row],[Diabete]],1)),0,1)</f>
        <v>1</v>
      </c>
      <c r="AZ303" s="11" t="s">
        <v>195</v>
      </c>
      <c r="BA303" s="18">
        <f>IF(ISERROR(SEARCH("NDD",Tabella1[[#This Row],[Patologia Tiroidea]],1)),0,1)</f>
        <v>0</v>
      </c>
      <c r="BB303" s="22">
        <f>IF(ISERROR(SEARCH("TIROIDITE",Tabella1[[#This Row],[Patologia Tiroidea]],1)),0,1)</f>
        <v>0</v>
      </c>
      <c r="BC303" s="22">
        <f>IF(ISERROR(SEARCH("HASHIMOTO",Tabella1[[#This Row],[Patologia Tiroidea]],1)),0,1)</f>
        <v>0</v>
      </c>
      <c r="BD303" s="22">
        <f>IF(ISERROR(SEARCH("BASEDOW",Tabella1[[#This Row],[Patologia Tiroidea]],1)),0,1)</f>
        <v>0</v>
      </c>
      <c r="BE303" s="22">
        <f>IF(ISERROR(SEARCH("NOD",Tabella1[[#This Row],[Patologia Tiroidea]],1)),0,1)</f>
        <v>0</v>
      </c>
      <c r="BF303" s="22">
        <f>IF(ISERROR(SEARCH("GOZ",Tabella1[[#This Row],[Patologia Tiroidea]],1)),0,1)</f>
        <v>0</v>
      </c>
      <c r="BG303" s="11" t="s">
        <v>516</v>
      </c>
      <c r="BH303" s="18">
        <f>IF(Tabella1[[#This Row],[Obesità]]="no",0,1)</f>
        <v>1</v>
      </c>
      <c r="BI303" s="11" t="s">
        <v>25</v>
      </c>
      <c r="BJ303" s="22">
        <f>IF(ISERROR(SEARCH("nega",Tabella1[[#This Row],[Reflusso gastroesofageo]],1)),1,0)</f>
        <v>0</v>
      </c>
      <c r="BK303" s="11" t="s">
        <v>195</v>
      </c>
      <c r="BL303" s="18">
        <f>IF(ISERROR(SEARCH("NDD",Tabella1[[#This Row],[Patologia respiratoria]],1)),0,1)</f>
        <v>0</v>
      </c>
      <c r="BM303" s="18">
        <f>IF(ISERROR(SEARCH("asma",Tabella1[[#This Row],[Patologia respiratoria]],1)),0,1)</f>
        <v>0</v>
      </c>
      <c r="BN303" s="18">
        <f>IF(ISERROR(SEARCH("BPCO",Tabella1[[#This Row],[Patologia respiratoria]],1)),0,1)</f>
        <v>0</v>
      </c>
      <c r="BO303" s="18">
        <f>IF(ISERROR(SEARCH("BRONCOPOLMONITE",Tabella1[[#This Row],[Patologia respiratoria]],1)),0,1)</f>
        <v>0</v>
      </c>
      <c r="BP303" s="18">
        <f>IF(ISERROR(SEARCH("ASMA, OSAS",Tabella1[[#This Row],[Patologia respiratoria]],1)),0,1)</f>
        <v>0</v>
      </c>
      <c r="BQ303" s="18">
        <f>IF(ISERROR(SEARCH("OSAS e BPCO",Tabella1[[#This Row],[Patologia respiratoria]],1)),0,1)</f>
        <v>0</v>
      </c>
      <c r="BR303" s="18">
        <f>IF(ISERROR(SEARCH("OSAS",Tabella1[[#This Row],[Patologia respiratoria]],1)),0,1)</f>
        <v>0</v>
      </c>
      <c r="BS303" s="11"/>
      <c r="BT303" s="11" t="s">
        <v>3466</v>
      </c>
      <c r="BU303" s="11" t="s">
        <v>195</v>
      </c>
      <c r="BV303" s="18">
        <f>IF(ISERROR(SEARCH("ndd",Tabella1[[#This Row],[O2 terapia]],1)),0,1)</f>
        <v>0</v>
      </c>
      <c r="BW303" s="17">
        <v>0</v>
      </c>
      <c r="BX303" s="11"/>
      <c r="BY303" s="11" t="s">
        <v>3467</v>
      </c>
      <c r="BZ303" s="17">
        <v>1</v>
      </c>
      <c r="CA303" s="11" t="s">
        <v>2365</v>
      </c>
      <c r="CB303" s="17">
        <v>1</v>
      </c>
      <c r="CC303" s="11" t="s">
        <v>516</v>
      </c>
      <c r="CD303" s="17">
        <v>1</v>
      </c>
      <c r="CE303" s="11" t="s">
        <v>195</v>
      </c>
      <c r="CF303" s="18">
        <v>0</v>
      </c>
      <c r="CG303" s="11" t="s">
        <v>516</v>
      </c>
      <c r="CH303" s="17">
        <v>1</v>
      </c>
      <c r="CI303" s="11" t="s">
        <v>195</v>
      </c>
      <c r="CJ303" s="18">
        <v>0</v>
      </c>
      <c r="CK303" s="11" t="s">
        <v>2638</v>
      </c>
      <c r="CL303" s="17">
        <v>1</v>
      </c>
      <c r="CM303" s="11" t="s">
        <v>3448</v>
      </c>
      <c r="CN303" s="17">
        <v>1</v>
      </c>
      <c r="CO303" s="11" t="s">
        <v>195</v>
      </c>
      <c r="CP303" s="18">
        <v>0</v>
      </c>
      <c r="CQ303" s="11" t="s">
        <v>13</v>
      </c>
      <c r="CR303" s="11" t="s">
        <v>431</v>
      </c>
      <c r="CS303" s="11" t="s">
        <v>105</v>
      </c>
      <c r="CT303" s="11" t="s">
        <v>122</v>
      </c>
      <c r="CU303" s="11" t="s">
        <v>2713</v>
      </c>
      <c r="CV303" s="12" t="s">
        <v>3453</v>
      </c>
    </row>
    <row r="304" spans="1:100" ht="242.25">
      <c r="A304" s="1">
        <f t="shared" si="4"/>
        <v>303</v>
      </c>
      <c r="B304" s="5">
        <v>1813</v>
      </c>
      <c r="C304" s="6">
        <v>45705</v>
      </c>
      <c r="D304" s="7" t="s">
        <v>3468</v>
      </c>
      <c r="E304" s="6">
        <v>26151</v>
      </c>
      <c r="F304" s="29">
        <f ca="1">_xlfn.DAYS(NOW(),Tabella1[[#This Row],[Data di Nascita]])/365.25</f>
        <v>53.995893223819301</v>
      </c>
      <c r="G304" s="7" t="s">
        <v>3469</v>
      </c>
      <c r="H304" s="7" t="s">
        <v>3470</v>
      </c>
      <c r="I304" s="7" t="s">
        <v>3453</v>
      </c>
      <c r="J304" s="7" t="s">
        <v>211</v>
      </c>
      <c r="K304" s="7" t="s">
        <v>3471</v>
      </c>
      <c r="L304" s="17">
        <f>IF(ISERROR(SEARCH("EX",Tabella1[[#This Row],[Attività lavorativa]],1)),0,1)</f>
        <v>0</v>
      </c>
      <c r="M304" s="17"/>
      <c r="N304" s="17"/>
      <c r="O304" s="17"/>
      <c r="P304" s="17"/>
      <c r="Q304" s="17"/>
      <c r="R304" s="17"/>
      <c r="S304" s="17"/>
      <c r="T304" s="17">
        <f>IF(ISERROR(SEARCH("NDD",Tabella1[[#This Row],[Attività lavorativa]],1)),0,1)</f>
        <v>0</v>
      </c>
      <c r="U304" s="7" t="s">
        <v>3472</v>
      </c>
      <c r="V304" s="22">
        <v>10</v>
      </c>
      <c r="W304" s="22">
        <f>IF(ISERROR(SEARCH("ex",Tabella1[[#This Row],[Fumo]],1)),0,1)</f>
        <v>1</v>
      </c>
      <c r="X304" s="22">
        <f>IF(ISERROR(SEARCH("no",Tabella1[[#This Row],[Fumo]],1)),0,1)</f>
        <v>0</v>
      </c>
      <c r="Y304" s="7" t="s">
        <v>3473</v>
      </c>
      <c r="Z304" s="17">
        <f>IF(ISERROR(SEARCH("NDD",Tabella1[[#This Row],[Bevitore alcolici]],1)),0,1)</f>
        <v>0</v>
      </c>
      <c r="AA304" s="17">
        <f>IF(ISERROR(SEARCH("raro",Tabella1[[#This Row],[Bevitore alcolici]],1)),0,1)</f>
        <v>0</v>
      </c>
      <c r="AB304" s="17">
        <f>IF(ISERROR(SEARCH("saltuariamente",Tabella1[[#This Row],[Bevitore alcolici]],1)),0,1)</f>
        <v>0</v>
      </c>
      <c r="AC304" s="17">
        <f>IF(ISERROR(SEARCH("nega",Tabella1[[#This Row],[Bevitore alcolici]],1)),0,1)</f>
        <v>0</v>
      </c>
      <c r="AD304" s="17">
        <f>IF(ISERROR(SEARCH("potus",Tabella1[[#This Row],[Bevitore alcolici]],1)),0,1)</f>
        <v>1</v>
      </c>
      <c r="AE304" s="7" t="s">
        <v>657</v>
      </c>
      <c r="AF304" s="17"/>
      <c r="AG304" s="17"/>
      <c r="AH304" s="17"/>
      <c r="AI304" s="17"/>
      <c r="AJ304" s="17"/>
      <c r="AK304" s="7" t="s">
        <v>28</v>
      </c>
      <c r="AL304" s="17">
        <f>IF(ISERROR(SEARCH("si",Tabella1[[#This Row],[Patente di guida]],1)),0,1)</f>
        <v>1</v>
      </c>
      <c r="AM304" s="7" t="s">
        <v>28</v>
      </c>
      <c r="AN304" s="17">
        <f>IF(ISERROR(SEARCH("no",Tabella1[[#This Row],[Ipertensione]],1)),0,1)</f>
        <v>0</v>
      </c>
      <c r="AO304" s="7" t="s">
        <v>382</v>
      </c>
      <c r="AP304" s="18">
        <f>IF(ISERROR(SEARCH("NO",Tabella1[[#This Row],[Cardiopatia ischemica]],1)),1,0)</f>
        <v>0</v>
      </c>
      <c r="AQ304" s="17">
        <f>IF(ISERROR(SEARCH("sconosciuto",Tabella1[[#This Row],[Cardiopatia ischemica]],1)),0,1)</f>
        <v>0</v>
      </c>
      <c r="AR304" s="7" t="s">
        <v>25</v>
      </c>
      <c r="AS304" s="22">
        <f>IF(ISERROR(SEARCH("nega",Tabella1[[#This Row],[Artimie]],1)),0,1)</f>
        <v>1</v>
      </c>
      <c r="AT304" s="7" t="s">
        <v>516</v>
      </c>
      <c r="AU304" s="22">
        <f>IF(ISERROR(SEARCH("nega",Tabella1[[#This Row],[Ipercolesterolemia]],1)),0,1)</f>
        <v>0</v>
      </c>
      <c r="AV304" s="22">
        <f>IF(ISERROR(SEARCH("boh",Tabella1[[#This Row],[Ipercolesterolemia]],1)),0,1)</f>
        <v>0</v>
      </c>
      <c r="AW304" s="7" t="s">
        <v>195</v>
      </c>
      <c r="AX304" s="22">
        <f>IF(ISERROR(SEARCH("Intolleranza",Tabella1[[#This Row],[Diabete]],1)),0,1)</f>
        <v>0</v>
      </c>
      <c r="AY304" s="22">
        <f>IF(ISERROR(SEARCH("si",Tabella1[[#This Row],[Diabete]],1)),0,1)</f>
        <v>0</v>
      </c>
      <c r="AZ304" s="7" t="s">
        <v>195</v>
      </c>
      <c r="BA304" s="17">
        <f>IF(ISERROR(SEARCH("NDD",Tabella1[[#This Row],[Patologia Tiroidea]],1)),0,1)</f>
        <v>0</v>
      </c>
      <c r="BB304" s="22">
        <f>IF(ISERROR(SEARCH("TIROIDITE",Tabella1[[#This Row],[Patologia Tiroidea]],1)),0,1)</f>
        <v>0</v>
      </c>
      <c r="BC304" s="22">
        <f>IF(ISERROR(SEARCH("HASHIMOTO",Tabella1[[#This Row],[Patologia Tiroidea]],1)),0,1)</f>
        <v>0</v>
      </c>
      <c r="BD304" s="22">
        <f>IF(ISERROR(SEARCH("BASEDOW",Tabella1[[#This Row],[Patologia Tiroidea]],1)),0,1)</f>
        <v>0</v>
      </c>
      <c r="BE304" s="22">
        <f>IF(ISERROR(SEARCH("NOD",Tabella1[[#This Row],[Patologia Tiroidea]],1)),0,1)</f>
        <v>0</v>
      </c>
      <c r="BF304" s="22">
        <f>IF(ISERROR(SEARCH("GOZ",Tabella1[[#This Row],[Patologia Tiroidea]],1)),0,1)</f>
        <v>0</v>
      </c>
      <c r="BG304" s="7" t="s">
        <v>516</v>
      </c>
      <c r="BH304" s="17">
        <f>IF(Tabella1[[#This Row],[Obesità]]="no",0,1)</f>
        <v>1</v>
      </c>
      <c r="BI304" s="7" t="s">
        <v>516</v>
      </c>
      <c r="BJ304" s="22">
        <f>IF(ISERROR(SEARCH("nega",Tabella1[[#This Row],[Reflusso gastroesofageo]],1)),1,0)</f>
        <v>1</v>
      </c>
      <c r="BK304" s="7" t="s">
        <v>195</v>
      </c>
      <c r="BL304" s="17">
        <f>IF(ISERROR(SEARCH("NDD",Tabella1[[#This Row],[Patologia respiratoria]],1)),0,1)</f>
        <v>0</v>
      </c>
      <c r="BM304" s="17">
        <f>IF(ISERROR(SEARCH("asma",Tabella1[[#This Row],[Patologia respiratoria]],1)),0,1)</f>
        <v>0</v>
      </c>
      <c r="BN304" s="17">
        <f>IF(ISERROR(SEARCH("BPCO",Tabella1[[#This Row],[Patologia respiratoria]],1)),0,1)</f>
        <v>0</v>
      </c>
      <c r="BO304" s="17">
        <f>IF(ISERROR(SEARCH("BRONCOPOLMONITE",Tabella1[[#This Row],[Patologia respiratoria]],1)),0,1)</f>
        <v>0</v>
      </c>
      <c r="BP304" s="17">
        <f>IF(ISERROR(SEARCH("ASMA, OSAS",Tabella1[[#This Row],[Patologia respiratoria]],1)),0,1)</f>
        <v>0</v>
      </c>
      <c r="BQ304" s="17">
        <f>IF(ISERROR(SEARCH("OSAS e BPCO",Tabella1[[#This Row],[Patologia respiratoria]],1)),0,1)</f>
        <v>0</v>
      </c>
      <c r="BR304" s="17">
        <f>IF(ISERROR(SEARCH("OSAS",Tabella1[[#This Row],[Patologia respiratoria]],1)),0,1)</f>
        <v>0</v>
      </c>
      <c r="BS304" s="7" t="s">
        <v>3474</v>
      </c>
      <c r="BT304" s="7" t="s">
        <v>3475</v>
      </c>
      <c r="BU304" s="7" t="s">
        <v>195</v>
      </c>
      <c r="BV304" s="17">
        <f>IF(ISERROR(SEARCH("ndd",Tabella1[[#This Row],[O2 terapia]],1)),0,1)</f>
        <v>0</v>
      </c>
      <c r="BW304" s="17">
        <v>0</v>
      </c>
      <c r="BX304" s="7"/>
      <c r="BY304" s="7" t="s">
        <v>195</v>
      </c>
      <c r="BZ304" s="18">
        <v>0</v>
      </c>
      <c r="CA304" s="7" t="s">
        <v>2365</v>
      </c>
      <c r="CB304" s="17">
        <v>1</v>
      </c>
      <c r="CC304" s="7" t="s">
        <v>516</v>
      </c>
      <c r="CD304" s="17">
        <v>1</v>
      </c>
      <c r="CE304" s="7" t="s">
        <v>195</v>
      </c>
      <c r="CF304" s="18">
        <v>0</v>
      </c>
      <c r="CG304" s="7" t="s">
        <v>195</v>
      </c>
      <c r="CH304" s="17">
        <v>0</v>
      </c>
      <c r="CI304" s="7" t="s">
        <v>516</v>
      </c>
      <c r="CJ304" s="17">
        <v>1</v>
      </c>
      <c r="CK304" s="7" t="s">
        <v>195</v>
      </c>
      <c r="CL304" s="17">
        <v>0</v>
      </c>
      <c r="CM304" s="7" t="s">
        <v>516</v>
      </c>
      <c r="CN304" s="17">
        <v>1</v>
      </c>
      <c r="CO304" s="7" t="s">
        <v>516</v>
      </c>
      <c r="CP304" s="17">
        <v>1</v>
      </c>
      <c r="CQ304" s="7" t="s">
        <v>69</v>
      </c>
      <c r="CR304" s="7" t="s">
        <v>3476</v>
      </c>
      <c r="CS304" s="7" t="s">
        <v>105</v>
      </c>
      <c r="CT304" s="7" t="s">
        <v>169</v>
      </c>
      <c r="CU304" s="7" t="s">
        <v>3477</v>
      </c>
      <c r="CV304" s="8" t="s">
        <v>3453</v>
      </c>
    </row>
    <row r="305" spans="1:100" ht="256.5">
      <c r="A305" s="1">
        <f t="shared" si="4"/>
        <v>304</v>
      </c>
      <c r="B305" s="9">
        <v>1828</v>
      </c>
      <c r="C305" s="10">
        <v>45709</v>
      </c>
      <c r="D305" s="11" t="s">
        <v>2575</v>
      </c>
      <c r="E305" s="10">
        <v>27179</v>
      </c>
      <c r="F305" s="29">
        <f ca="1">_xlfn.DAYS(NOW(),Tabella1[[#This Row],[Data di Nascita]])/365.25</f>
        <v>51.181382614647504</v>
      </c>
      <c r="G305" s="11" t="s">
        <v>2576</v>
      </c>
      <c r="H305" s="11" t="s">
        <v>2577</v>
      </c>
      <c r="I305" s="11" t="s">
        <v>3453</v>
      </c>
      <c r="J305" s="11" t="s">
        <v>211</v>
      </c>
      <c r="K305" s="11" t="s">
        <v>3478</v>
      </c>
      <c r="L305" s="18">
        <f>IF(ISERROR(SEARCH("EX",Tabella1[[#This Row],[Attività lavorativa]],1)),0,1)</f>
        <v>0</v>
      </c>
      <c r="M305" s="18">
        <v>1</v>
      </c>
      <c r="N305" s="18"/>
      <c r="O305" s="18"/>
      <c r="P305" s="18"/>
      <c r="Q305" s="18"/>
      <c r="R305" s="18"/>
      <c r="S305" s="18"/>
      <c r="T305" s="17">
        <f>IF(ISERROR(SEARCH("NDD",Tabella1[[#This Row],[Attività lavorativa]],1)),0,1)</f>
        <v>0</v>
      </c>
      <c r="U305" s="11" t="s">
        <v>3479</v>
      </c>
      <c r="V305" s="22">
        <v>20</v>
      </c>
      <c r="W305" s="22">
        <f>IF(ISERROR(SEARCH("ex",Tabella1[[#This Row],[Fumo]],1)),0,1)</f>
        <v>0</v>
      </c>
      <c r="X305" s="22">
        <f>IF(ISERROR(SEARCH("no",Tabella1[[#This Row],[Fumo]],1)),0,1)</f>
        <v>0</v>
      </c>
      <c r="Y305" s="11" t="s">
        <v>3480</v>
      </c>
      <c r="Z305" s="18">
        <f>IF(ISERROR(SEARCH("NDD",Tabella1[[#This Row],[Bevitore alcolici]],1)),0,1)</f>
        <v>0</v>
      </c>
      <c r="AA305" s="17">
        <f>IF(ISERROR(SEARCH("raro",Tabella1[[#This Row],[Bevitore alcolici]],1)),0,1)</f>
        <v>0</v>
      </c>
      <c r="AB305" s="17">
        <f>IF(ISERROR(SEARCH("saltuariamente",Tabella1[[#This Row],[Bevitore alcolici]],1)),0,1)</f>
        <v>0</v>
      </c>
      <c r="AC305" s="17">
        <f>IF(ISERROR(SEARCH("nega",Tabella1[[#This Row],[Bevitore alcolici]],1)),0,1)</f>
        <v>0</v>
      </c>
      <c r="AD305" s="17">
        <f>IF(ISERROR(SEARCH("potus",Tabella1[[#This Row],[Bevitore alcolici]],1)),0,1)</f>
        <v>0</v>
      </c>
      <c r="AE305" s="11" t="s">
        <v>657</v>
      </c>
      <c r="AF305" s="18"/>
      <c r="AG305" s="18"/>
      <c r="AH305" s="18"/>
      <c r="AI305" s="18"/>
      <c r="AJ305" s="18"/>
      <c r="AK305" s="11" t="s">
        <v>195</v>
      </c>
      <c r="AL305" s="18">
        <f>IF(ISERROR(SEARCH("si",Tabella1[[#This Row],[Patente di guida]],1)),0,1)</f>
        <v>0</v>
      </c>
      <c r="AM305" s="11" t="s">
        <v>28</v>
      </c>
      <c r="AN305" s="18">
        <f>IF(ISERROR(SEARCH("no",Tabella1[[#This Row],[Ipertensione]],1)),0,1)</f>
        <v>0</v>
      </c>
      <c r="AO305" s="11" t="s">
        <v>382</v>
      </c>
      <c r="AP305" s="18">
        <f>IF(ISERROR(SEARCH("NO",Tabella1[[#This Row],[Cardiopatia ischemica]],1)),1,0)</f>
        <v>0</v>
      </c>
      <c r="AQ305" s="17">
        <f>IF(ISERROR(SEARCH("sconosciuto",Tabella1[[#This Row],[Cardiopatia ischemica]],1)),0,1)</f>
        <v>0</v>
      </c>
      <c r="AR305" s="11" t="s">
        <v>25</v>
      </c>
      <c r="AS305" s="22">
        <f>IF(ISERROR(SEARCH("nega",Tabella1[[#This Row],[Artimie]],1)),0,1)</f>
        <v>1</v>
      </c>
      <c r="AT305" s="11" t="s">
        <v>25</v>
      </c>
      <c r="AU305" s="22">
        <f>IF(ISERROR(SEARCH("nega",Tabella1[[#This Row],[Ipercolesterolemia]],1)),0,1)</f>
        <v>1</v>
      </c>
      <c r="AV305" s="22">
        <f>IF(ISERROR(SEARCH("boh",Tabella1[[#This Row],[Ipercolesterolemia]],1)),0,1)</f>
        <v>0</v>
      </c>
      <c r="AW305" s="11" t="s">
        <v>195</v>
      </c>
      <c r="AX305" s="22">
        <f>IF(ISERROR(SEARCH("Intolleranza",Tabella1[[#This Row],[Diabete]],1)),0,1)</f>
        <v>0</v>
      </c>
      <c r="AY305" s="22">
        <f>IF(ISERROR(SEARCH("si",Tabella1[[#This Row],[Diabete]],1)),0,1)</f>
        <v>0</v>
      </c>
      <c r="AZ305" s="11" t="s">
        <v>195</v>
      </c>
      <c r="BA305" s="18">
        <f>IF(ISERROR(SEARCH("NDD",Tabella1[[#This Row],[Patologia Tiroidea]],1)),0,1)</f>
        <v>0</v>
      </c>
      <c r="BB305" s="22">
        <f>IF(ISERROR(SEARCH("TIROIDITE",Tabella1[[#This Row],[Patologia Tiroidea]],1)),0,1)</f>
        <v>0</v>
      </c>
      <c r="BC305" s="22">
        <f>IF(ISERROR(SEARCH("HASHIMOTO",Tabella1[[#This Row],[Patologia Tiroidea]],1)),0,1)</f>
        <v>0</v>
      </c>
      <c r="BD305" s="22">
        <f>IF(ISERROR(SEARCH("BASEDOW",Tabella1[[#This Row],[Patologia Tiroidea]],1)),0,1)</f>
        <v>0</v>
      </c>
      <c r="BE305" s="22">
        <f>IF(ISERROR(SEARCH("NOD",Tabella1[[#This Row],[Patologia Tiroidea]],1)),0,1)</f>
        <v>0</v>
      </c>
      <c r="BF305" s="22">
        <f>IF(ISERROR(SEARCH("GOZ",Tabella1[[#This Row],[Patologia Tiroidea]],1)),0,1)</f>
        <v>0</v>
      </c>
      <c r="BG305" s="11" t="s">
        <v>8</v>
      </c>
      <c r="BH305" s="18">
        <f>IF(Tabella1[[#This Row],[Obesità]]="no",0,1)</f>
        <v>0</v>
      </c>
      <c r="BI305" s="11" t="s">
        <v>25</v>
      </c>
      <c r="BJ305" s="22">
        <f>IF(ISERROR(SEARCH("nega",Tabella1[[#This Row],[Reflusso gastroesofageo]],1)),1,0)</f>
        <v>0</v>
      </c>
      <c r="BK305" s="11" t="s">
        <v>195</v>
      </c>
      <c r="BL305" s="18">
        <f>IF(ISERROR(SEARCH("NDD",Tabella1[[#This Row],[Patologia respiratoria]],1)),0,1)</f>
        <v>0</v>
      </c>
      <c r="BM305" s="18">
        <f>IF(ISERROR(SEARCH("asma",Tabella1[[#This Row],[Patologia respiratoria]],1)),0,1)</f>
        <v>0</v>
      </c>
      <c r="BN305" s="18">
        <f>IF(ISERROR(SEARCH("BPCO",Tabella1[[#This Row],[Patologia respiratoria]],1)),0,1)</f>
        <v>0</v>
      </c>
      <c r="BO305" s="18">
        <f>IF(ISERROR(SEARCH("BRONCOPOLMONITE",Tabella1[[#This Row],[Patologia respiratoria]],1)),0,1)</f>
        <v>0</v>
      </c>
      <c r="BP305" s="18">
        <f>IF(ISERROR(SEARCH("ASMA, OSAS",Tabella1[[#This Row],[Patologia respiratoria]],1)),0,1)</f>
        <v>0</v>
      </c>
      <c r="BQ305" s="18">
        <f>IF(ISERROR(SEARCH("OSAS e BPCO",Tabella1[[#This Row],[Patologia respiratoria]],1)),0,1)</f>
        <v>0</v>
      </c>
      <c r="BR305" s="18">
        <f>IF(ISERROR(SEARCH("OSAS",Tabella1[[#This Row],[Patologia respiratoria]],1)),0,1)</f>
        <v>0</v>
      </c>
      <c r="BS305" s="11"/>
      <c r="BT305" s="11" t="s">
        <v>3481</v>
      </c>
      <c r="BU305" s="11" t="s">
        <v>195</v>
      </c>
      <c r="BV305" s="18">
        <f>IF(ISERROR(SEARCH("ndd",Tabella1[[#This Row],[O2 terapia]],1)),0,1)</f>
        <v>0</v>
      </c>
      <c r="BW305" s="17">
        <v>0</v>
      </c>
      <c r="BX305" s="11"/>
      <c r="BY305" s="11" t="s">
        <v>3467</v>
      </c>
      <c r="BZ305" s="17">
        <v>1</v>
      </c>
      <c r="CA305" s="11" t="s">
        <v>195</v>
      </c>
      <c r="CB305" s="17">
        <v>0</v>
      </c>
      <c r="CC305" s="11" t="s">
        <v>516</v>
      </c>
      <c r="CD305" s="17">
        <v>1</v>
      </c>
      <c r="CE305" s="11" t="s">
        <v>195</v>
      </c>
      <c r="CF305" s="18">
        <v>0</v>
      </c>
      <c r="CG305" s="11" t="s">
        <v>3482</v>
      </c>
      <c r="CH305" s="17">
        <v>1</v>
      </c>
      <c r="CI305" s="11" t="s">
        <v>195</v>
      </c>
      <c r="CJ305" s="18">
        <v>0</v>
      </c>
      <c r="CK305" s="11" t="s">
        <v>2585</v>
      </c>
      <c r="CL305" s="17">
        <v>1</v>
      </c>
      <c r="CM305" s="11" t="s">
        <v>516</v>
      </c>
      <c r="CN305" s="17">
        <v>1</v>
      </c>
      <c r="CO305" s="11" t="s">
        <v>195</v>
      </c>
      <c r="CP305" s="18">
        <v>0</v>
      </c>
      <c r="CQ305" s="11" t="s">
        <v>85</v>
      </c>
      <c r="CR305" s="11" t="s">
        <v>2587</v>
      </c>
      <c r="CS305" s="11" t="s">
        <v>71</v>
      </c>
      <c r="CT305" s="11" t="s">
        <v>262</v>
      </c>
      <c r="CU305" s="11" t="s">
        <v>3483</v>
      </c>
      <c r="CV305" s="12" t="s">
        <v>3453</v>
      </c>
    </row>
    <row r="306" spans="1:100" ht="85.5">
      <c r="A306" s="1">
        <f t="shared" si="4"/>
        <v>305</v>
      </c>
      <c r="B306" s="5">
        <v>1834</v>
      </c>
      <c r="C306" s="6">
        <v>45715</v>
      </c>
      <c r="D306" s="7" t="s">
        <v>3484</v>
      </c>
      <c r="E306" s="6">
        <v>26622</v>
      </c>
      <c r="F306" s="29">
        <f ca="1">_xlfn.DAYS(NOW(),Tabella1[[#This Row],[Data di Nascita]])/365.25</f>
        <v>52.706365503080079</v>
      </c>
      <c r="G306" s="7" t="s">
        <v>3485</v>
      </c>
      <c r="H306" s="7" t="s">
        <v>3486</v>
      </c>
      <c r="I306" s="7" t="s">
        <v>3453</v>
      </c>
      <c r="J306" s="7" t="s">
        <v>211</v>
      </c>
      <c r="K306" s="7" t="s">
        <v>3487</v>
      </c>
      <c r="L306" s="17">
        <f>IF(ISERROR(SEARCH("EX",Tabella1[[#This Row],[Attività lavorativa]],1)),0,1)</f>
        <v>0</v>
      </c>
      <c r="M306" s="17"/>
      <c r="N306" s="17">
        <v>1</v>
      </c>
      <c r="O306" s="17"/>
      <c r="P306" s="17"/>
      <c r="Q306" s="17"/>
      <c r="R306" s="17"/>
      <c r="S306" s="17"/>
      <c r="T306" s="17">
        <f>IF(ISERROR(SEARCH("NDD",Tabella1[[#This Row],[Attività lavorativa]],1)),0,1)</f>
        <v>0</v>
      </c>
      <c r="U306" s="7" t="s">
        <v>8</v>
      </c>
      <c r="V306" s="22"/>
      <c r="W306" s="22">
        <f>IF(ISERROR(SEARCH("ex",Tabella1[[#This Row],[Fumo]],1)),0,1)</f>
        <v>0</v>
      </c>
      <c r="X306" s="22">
        <f>IF(ISERROR(SEARCH("no",Tabella1[[#This Row],[Fumo]],1)),0,1)</f>
        <v>1</v>
      </c>
      <c r="Y306" s="7" t="s">
        <v>3473</v>
      </c>
      <c r="Z306" s="17">
        <f>IF(ISERROR(SEARCH("NDD",Tabella1[[#This Row],[Bevitore alcolici]],1)),0,1)</f>
        <v>0</v>
      </c>
      <c r="AA306" s="17">
        <f>IF(ISERROR(SEARCH("raro",Tabella1[[#This Row],[Bevitore alcolici]],1)),0,1)</f>
        <v>0</v>
      </c>
      <c r="AB306" s="17">
        <f>IF(ISERROR(SEARCH("saltuariamente",Tabella1[[#This Row],[Bevitore alcolici]],1)),0,1)</f>
        <v>0</v>
      </c>
      <c r="AC306" s="17">
        <f>IF(ISERROR(SEARCH("nega",Tabella1[[#This Row],[Bevitore alcolici]],1)),0,1)</f>
        <v>0</v>
      </c>
      <c r="AD306" s="17">
        <f>IF(ISERROR(SEARCH("potus",Tabella1[[#This Row],[Bevitore alcolici]],1)),0,1)</f>
        <v>1</v>
      </c>
      <c r="AE306" s="7" t="s">
        <v>5698</v>
      </c>
      <c r="AF306" s="17"/>
      <c r="AG306" s="18">
        <v>1</v>
      </c>
      <c r="AH306" s="18"/>
      <c r="AI306" s="18"/>
      <c r="AJ306" s="18"/>
      <c r="AK306" s="7" t="s">
        <v>195</v>
      </c>
      <c r="AL306" s="17">
        <f>IF(ISERROR(SEARCH("si",Tabella1[[#This Row],[Patente di guida]],1)),0,1)</f>
        <v>0</v>
      </c>
      <c r="AM306" s="7" t="s">
        <v>195</v>
      </c>
      <c r="AN306" s="17">
        <f>IF(ISERROR(SEARCH("no",Tabella1[[#This Row],[Ipertensione]],1)),0,1)</f>
        <v>1</v>
      </c>
      <c r="AO306" s="7" t="s">
        <v>382</v>
      </c>
      <c r="AP306" s="18">
        <f>IF(ISERROR(SEARCH("NO",Tabella1[[#This Row],[Cardiopatia ischemica]],1)),1,0)</f>
        <v>0</v>
      </c>
      <c r="AQ306" s="17">
        <f>IF(ISERROR(SEARCH("sconosciuto",Tabella1[[#This Row],[Cardiopatia ischemica]],1)),0,1)</f>
        <v>0</v>
      </c>
      <c r="AR306" s="7" t="s">
        <v>25</v>
      </c>
      <c r="AS306" s="22">
        <f>IF(ISERROR(SEARCH("nega",Tabella1[[#This Row],[Artimie]],1)),0,1)</f>
        <v>1</v>
      </c>
      <c r="AT306" s="7" t="s">
        <v>25</v>
      </c>
      <c r="AU306" s="22">
        <f>IF(ISERROR(SEARCH("nega",Tabella1[[#This Row],[Ipercolesterolemia]],1)),0,1)</f>
        <v>1</v>
      </c>
      <c r="AV306" s="22">
        <f>IF(ISERROR(SEARCH("boh",Tabella1[[#This Row],[Ipercolesterolemia]],1)),0,1)</f>
        <v>0</v>
      </c>
      <c r="AW306" s="7" t="s">
        <v>195</v>
      </c>
      <c r="AX306" s="22">
        <f>IF(ISERROR(SEARCH("Intolleranza",Tabella1[[#This Row],[Diabete]],1)),0,1)</f>
        <v>0</v>
      </c>
      <c r="AY306" s="22">
        <f>IF(ISERROR(SEARCH("si",Tabella1[[#This Row],[Diabete]],1)),0,1)</f>
        <v>0</v>
      </c>
      <c r="AZ306" s="7" t="s">
        <v>195</v>
      </c>
      <c r="BA306" s="17">
        <f>IF(ISERROR(SEARCH("NDD",Tabella1[[#This Row],[Patologia Tiroidea]],1)),0,1)</f>
        <v>0</v>
      </c>
      <c r="BB306" s="22">
        <f>IF(ISERROR(SEARCH("TIROIDITE",Tabella1[[#This Row],[Patologia Tiroidea]],1)),0,1)</f>
        <v>0</v>
      </c>
      <c r="BC306" s="22">
        <f>IF(ISERROR(SEARCH("HASHIMOTO",Tabella1[[#This Row],[Patologia Tiroidea]],1)),0,1)</f>
        <v>0</v>
      </c>
      <c r="BD306" s="22">
        <f>IF(ISERROR(SEARCH("BASEDOW",Tabella1[[#This Row],[Patologia Tiroidea]],1)),0,1)</f>
        <v>0</v>
      </c>
      <c r="BE306" s="22">
        <f>IF(ISERROR(SEARCH("NOD",Tabella1[[#This Row],[Patologia Tiroidea]],1)),0,1)</f>
        <v>0</v>
      </c>
      <c r="BF306" s="22">
        <f>IF(ISERROR(SEARCH("GOZ",Tabella1[[#This Row],[Patologia Tiroidea]],1)),0,1)</f>
        <v>0</v>
      </c>
      <c r="BG306" s="7" t="s">
        <v>8</v>
      </c>
      <c r="BH306" s="17">
        <f>IF(Tabella1[[#This Row],[Obesità]]="no",0,1)</f>
        <v>0</v>
      </c>
      <c r="BI306" s="7" t="s">
        <v>516</v>
      </c>
      <c r="BJ306" s="22">
        <f>IF(ISERROR(SEARCH("nega",Tabella1[[#This Row],[Reflusso gastroesofageo]],1)),1,0)</f>
        <v>1</v>
      </c>
      <c r="BK306" s="7" t="s">
        <v>195</v>
      </c>
      <c r="BL306" s="17">
        <f>IF(ISERROR(SEARCH("NDD",Tabella1[[#This Row],[Patologia respiratoria]],1)),0,1)</f>
        <v>0</v>
      </c>
      <c r="BM306" s="17">
        <f>IF(ISERROR(SEARCH("asma",Tabella1[[#This Row],[Patologia respiratoria]],1)),0,1)</f>
        <v>0</v>
      </c>
      <c r="BN306" s="17">
        <f>IF(ISERROR(SEARCH("BPCO",Tabella1[[#This Row],[Patologia respiratoria]],1)),0,1)</f>
        <v>0</v>
      </c>
      <c r="BO306" s="17">
        <f>IF(ISERROR(SEARCH("BRONCOPOLMONITE",Tabella1[[#This Row],[Patologia respiratoria]],1)),0,1)</f>
        <v>0</v>
      </c>
      <c r="BP306" s="17">
        <f>IF(ISERROR(SEARCH("ASMA, OSAS",Tabella1[[#This Row],[Patologia respiratoria]],1)),0,1)</f>
        <v>0</v>
      </c>
      <c r="BQ306" s="17">
        <f>IF(ISERROR(SEARCH("OSAS e BPCO",Tabella1[[#This Row],[Patologia respiratoria]],1)),0,1)</f>
        <v>0</v>
      </c>
      <c r="BR306" s="17">
        <f>IF(ISERROR(SEARCH("OSAS",Tabella1[[#This Row],[Patologia respiratoria]],1)),0,1)</f>
        <v>0</v>
      </c>
      <c r="BS306" s="7" t="s">
        <v>3488</v>
      </c>
      <c r="BT306" s="7" t="s">
        <v>3489</v>
      </c>
      <c r="BU306" s="7" t="s">
        <v>195</v>
      </c>
      <c r="BV306" s="17">
        <f>IF(ISERROR(SEARCH("ndd",Tabella1[[#This Row],[O2 terapia]],1)),0,1)</f>
        <v>0</v>
      </c>
      <c r="BW306" s="17">
        <v>0</v>
      </c>
      <c r="BX306" s="7"/>
      <c r="BY306" s="7" t="s">
        <v>195</v>
      </c>
      <c r="BZ306" s="18">
        <v>0</v>
      </c>
      <c r="CA306" s="7" t="s">
        <v>3490</v>
      </c>
      <c r="CB306" s="17">
        <v>1</v>
      </c>
      <c r="CC306" s="7" t="s">
        <v>516</v>
      </c>
      <c r="CD306" s="17">
        <v>1</v>
      </c>
      <c r="CE306" s="7" t="s">
        <v>195</v>
      </c>
      <c r="CF306" s="18">
        <v>0</v>
      </c>
      <c r="CG306" s="7" t="s">
        <v>516</v>
      </c>
      <c r="CH306" s="17">
        <v>1</v>
      </c>
      <c r="CI306" s="7" t="s">
        <v>516</v>
      </c>
      <c r="CJ306" s="17">
        <v>1</v>
      </c>
      <c r="CK306" s="7" t="s">
        <v>2585</v>
      </c>
      <c r="CL306" s="17">
        <v>1</v>
      </c>
      <c r="CM306" s="7" t="s">
        <v>516</v>
      </c>
      <c r="CN306" s="17">
        <v>1</v>
      </c>
      <c r="CO306" s="7" t="s">
        <v>516</v>
      </c>
      <c r="CP306" s="17">
        <v>1</v>
      </c>
      <c r="CQ306" s="7" t="s">
        <v>69</v>
      </c>
      <c r="CR306" s="7" t="s">
        <v>3026</v>
      </c>
      <c r="CS306" s="7" t="s">
        <v>219</v>
      </c>
      <c r="CT306" s="7" t="s">
        <v>787</v>
      </c>
      <c r="CU306" s="7" t="s">
        <v>3491</v>
      </c>
      <c r="CV306" s="8" t="s">
        <v>3453</v>
      </c>
    </row>
    <row r="307" spans="1:100" ht="42.75">
      <c r="A307" s="1">
        <f t="shared" si="4"/>
        <v>306</v>
      </c>
      <c r="B307" s="9">
        <v>1844</v>
      </c>
      <c r="C307" s="10">
        <v>45719</v>
      </c>
      <c r="D307" s="11" t="s">
        <v>3492</v>
      </c>
      <c r="E307" s="10">
        <v>16448</v>
      </c>
      <c r="F307" s="29">
        <f ca="1">_xlfn.DAYS(NOW(),Tabella1[[#This Row],[Data di Nascita]])/365.25</f>
        <v>80.561259411362087</v>
      </c>
      <c r="G307" s="11" t="s">
        <v>3493</v>
      </c>
      <c r="H307" s="11" t="s">
        <v>3494</v>
      </c>
      <c r="I307" s="11" t="s">
        <v>439</v>
      </c>
      <c r="J307" s="11" t="s">
        <v>3495</v>
      </c>
      <c r="K307" s="11" t="s">
        <v>5626</v>
      </c>
      <c r="L307" s="18">
        <f>IF(ISERROR(SEARCH("EX",Tabella1[[#This Row],[Attività lavorativa]],1)),0,1)</f>
        <v>1</v>
      </c>
      <c r="M307" s="18"/>
      <c r="N307" s="18"/>
      <c r="O307" s="18"/>
      <c r="P307" s="18"/>
      <c r="Q307" s="18"/>
      <c r="R307" s="18"/>
      <c r="S307" s="18"/>
      <c r="T307" s="17">
        <f>IF(ISERROR(SEARCH("NDD",Tabella1[[#This Row],[Attività lavorativa]],1)),0,1)</f>
        <v>0</v>
      </c>
      <c r="U307" s="11" t="s">
        <v>3464</v>
      </c>
      <c r="V307" s="22">
        <v>30</v>
      </c>
      <c r="W307" s="22">
        <f>IF(ISERROR(SEARCH("ex",Tabella1[[#This Row],[Fumo]],1)),0,1)</f>
        <v>1</v>
      </c>
      <c r="X307" s="22">
        <f>IF(ISERROR(SEARCH("no",Tabella1[[#This Row],[Fumo]],1)),0,1)</f>
        <v>0</v>
      </c>
      <c r="Y307" s="11" t="s">
        <v>25</v>
      </c>
      <c r="Z307" s="18">
        <f>IF(ISERROR(SEARCH("NDD",Tabella1[[#This Row],[Bevitore alcolici]],1)),0,1)</f>
        <v>0</v>
      </c>
      <c r="AA307" s="17">
        <f>IF(ISERROR(SEARCH("raro",Tabella1[[#This Row],[Bevitore alcolici]],1)),0,1)</f>
        <v>0</v>
      </c>
      <c r="AB307" s="17">
        <f>IF(ISERROR(SEARCH("saltuariamente",Tabella1[[#This Row],[Bevitore alcolici]],1)),0,1)</f>
        <v>0</v>
      </c>
      <c r="AC307" s="17">
        <f>IF(ISERROR(SEARCH("nega",Tabella1[[#This Row],[Bevitore alcolici]],1)),0,1)</f>
        <v>1</v>
      </c>
      <c r="AD307" s="17">
        <f>IF(ISERROR(SEARCH("potus",Tabella1[[#This Row],[Bevitore alcolici]],1)),0,1)</f>
        <v>0</v>
      </c>
      <c r="AE307" s="11" t="s">
        <v>657</v>
      </c>
      <c r="AF307" s="18"/>
      <c r="AG307" s="18"/>
      <c r="AH307" s="18"/>
      <c r="AI307" s="18"/>
      <c r="AJ307" s="18"/>
      <c r="AK307" s="11" t="s">
        <v>195</v>
      </c>
      <c r="AL307" s="18">
        <f>IF(ISERROR(SEARCH("si",Tabella1[[#This Row],[Patente di guida]],1)),0,1)</f>
        <v>0</v>
      </c>
      <c r="AM307" s="11" t="s">
        <v>28</v>
      </c>
      <c r="AN307" s="18">
        <f>IF(ISERROR(SEARCH("no",Tabella1[[#This Row],[Ipertensione]],1)),0,1)</f>
        <v>0</v>
      </c>
      <c r="AO307" s="11" t="s">
        <v>382</v>
      </c>
      <c r="AP307" s="18">
        <f>IF(ISERROR(SEARCH("NO",Tabella1[[#This Row],[Cardiopatia ischemica]],1)),1,0)</f>
        <v>0</v>
      </c>
      <c r="AQ307" s="17">
        <f>IF(ISERROR(SEARCH("sconosciuto",Tabella1[[#This Row],[Cardiopatia ischemica]],1)),0,1)</f>
        <v>0</v>
      </c>
      <c r="AR307" s="11" t="s">
        <v>25</v>
      </c>
      <c r="AS307" s="22">
        <f>IF(ISERROR(SEARCH("nega",Tabella1[[#This Row],[Artimie]],1)),0,1)</f>
        <v>1</v>
      </c>
      <c r="AT307" s="11" t="s">
        <v>516</v>
      </c>
      <c r="AU307" s="22">
        <f>IF(ISERROR(SEARCH("nega",Tabella1[[#This Row],[Ipercolesterolemia]],1)),0,1)</f>
        <v>0</v>
      </c>
      <c r="AV307" s="22">
        <f>IF(ISERROR(SEARCH("boh",Tabella1[[#This Row],[Ipercolesterolemia]],1)),0,1)</f>
        <v>0</v>
      </c>
      <c r="AW307" s="11" t="s">
        <v>195</v>
      </c>
      <c r="AX307" s="22">
        <f>IF(ISERROR(SEARCH("Intolleranza",Tabella1[[#This Row],[Diabete]],1)),0,1)</f>
        <v>0</v>
      </c>
      <c r="AY307" s="22">
        <f>IF(ISERROR(SEARCH("si",Tabella1[[#This Row],[Diabete]],1)),0,1)</f>
        <v>0</v>
      </c>
      <c r="AZ307" s="11" t="s">
        <v>195</v>
      </c>
      <c r="BA307" s="18">
        <f>IF(ISERROR(SEARCH("NDD",Tabella1[[#This Row],[Patologia Tiroidea]],1)),0,1)</f>
        <v>0</v>
      </c>
      <c r="BB307" s="22">
        <f>IF(ISERROR(SEARCH("TIROIDITE",Tabella1[[#This Row],[Patologia Tiroidea]],1)),0,1)</f>
        <v>0</v>
      </c>
      <c r="BC307" s="22">
        <f>IF(ISERROR(SEARCH("HASHIMOTO",Tabella1[[#This Row],[Patologia Tiroidea]],1)),0,1)</f>
        <v>0</v>
      </c>
      <c r="BD307" s="22">
        <f>IF(ISERROR(SEARCH("BASEDOW",Tabella1[[#This Row],[Patologia Tiroidea]],1)),0,1)</f>
        <v>0</v>
      </c>
      <c r="BE307" s="22">
        <f>IF(ISERROR(SEARCH("NOD",Tabella1[[#This Row],[Patologia Tiroidea]],1)),0,1)</f>
        <v>0</v>
      </c>
      <c r="BF307" s="22">
        <f>IF(ISERROR(SEARCH("GOZ",Tabella1[[#This Row],[Patologia Tiroidea]],1)),0,1)</f>
        <v>0</v>
      </c>
      <c r="BG307" s="11" t="s">
        <v>516</v>
      </c>
      <c r="BH307" s="18">
        <f>IF(Tabella1[[#This Row],[Obesità]]="no",0,1)</f>
        <v>1</v>
      </c>
      <c r="BI307" s="11" t="s">
        <v>25</v>
      </c>
      <c r="BJ307" s="22">
        <f>IF(ISERROR(SEARCH("nega",Tabella1[[#This Row],[Reflusso gastroesofageo]],1)),1,0)</f>
        <v>0</v>
      </c>
      <c r="BK307" s="11" t="s">
        <v>195</v>
      </c>
      <c r="BL307" s="18">
        <f>IF(ISERROR(SEARCH("NDD",Tabella1[[#This Row],[Patologia respiratoria]],1)),0,1)</f>
        <v>0</v>
      </c>
      <c r="BM307" s="18">
        <f>IF(ISERROR(SEARCH("asma",Tabella1[[#This Row],[Patologia respiratoria]],1)),0,1)</f>
        <v>0</v>
      </c>
      <c r="BN307" s="18">
        <f>IF(ISERROR(SEARCH("BPCO",Tabella1[[#This Row],[Patologia respiratoria]],1)),0,1)</f>
        <v>0</v>
      </c>
      <c r="BO307" s="18">
        <f>IF(ISERROR(SEARCH("BRONCOPOLMONITE",Tabella1[[#This Row],[Patologia respiratoria]],1)),0,1)</f>
        <v>0</v>
      </c>
      <c r="BP307" s="18">
        <f>IF(ISERROR(SEARCH("ASMA, OSAS",Tabella1[[#This Row],[Patologia respiratoria]],1)),0,1)</f>
        <v>0</v>
      </c>
      <c r="BQ307" s="18">
        <f>IF(ISERROR(SEARCH("OSAS e BPCO",Tabella1[[#This Row],[Patologia respiratoria]],1)),0,1)</f>
        <v>0</v>
      </c>
      <c r="BR307" s="18">
        <f>IF(ISERROR(SEARCH("OSAS",Tabella1[[#This Row],[Patologia respiratoria]],1)),0,1)</f>
        <v>0</v>
      </c>
      <c r="BS307" s="11"/>
      <c r="BT307" s="11" t="s">
        <v>3496</v>
      </c>
      <c r="BU307" s="11" t="s">
        <v>195</v>
      </c>
      <c r="BV307" s="18">
        <f>IF(ISERROR(SEARCH("ndd",Tabella1[[#This Row],[O2 terapia]],1)),0,1)</f>
        <v>0</v>
      </c>
      <c r="BW307" s="17">
        <v>0</v>
      </c>
      <c r="BX307" s="11"/>
      <c r="BY307" s="11" t="s">
        <v>195</v>
      </c>
      <c r="BZ307" s="18">
        <v>0</v>
      </c>
      <c r="CA307" s="11" t="s">
        <v>516</v>
      </c>
      <c r="CB307" s="17">
        <v>1</v>
      </c>
      <c r="CC307" s="11" t="s">
        <v>516</v>
      </c>
      <c r="CD307" s="17">
        <v>1</v>
      </c>
      <c r="CE307" s="11" t="s">
        <v>195</v>
      </c>
      <c r="CF307" s="18">
        <v>0</v>
      </c>
      <c r="CG307" s="11" t="s">
        <v>516</v>
      </c>
      <c r="CH307" s="17">
        <v>1</v>
      </c>
      <c r="CI307" s="11" t="s">
        <v>2365</v>
      </c>
      <c r="CJ307" s="17">
        <v>1</v>
      </c>
      <c r="CK307" s="11" t="s">
        <v>3497</v>
      </c>
      <c r="CL307" s="17">
        <v>1</v>
      </c>
      <c r="CM307" s="11" t="s">
        <v>516</v>
      </c>
      <c r="CN307" s="17">
        <v>1</v>
      </c>
      <c r="CO307" s="11" t="s">
        <v>516</v>
      </c>
      <c r="CP307" s="17">
        <v>1</v>
      </c>
      <c r="CQ307" s="11" t="s">
        <v>368</v>
      </c>
      <c r="CR307" s="11" t="s">
        <v>3498</v>
      </c>
      <c r="CS307" s="11" t="s">
        <v>105</v>
      </c>
      <c r="CT307" s="11" t="s">
        <v>976</v>
      </c>
      <c r="CU307" s="11" t="s">
        <v>1165</v>
      </c>
      <c r="CV307" s="12" t="s">
        <v>439</v>
      </c>
    </row>
    <row r="308" spans="1:100" ht="42.75">
      <c r="A308" s="1">
        <f t="shared" si="4"/>
        <v>307</v>
      </c>
      <c r="B308" s="5">
        <v>1856</v>
      </c>
      <c r="C308" s="6">
        <v>45723</v>
      </c>
      <c r="D308" s="7" t="s">
        <v>3499</v>
      </c>
      <c r="E308" s="6">
        <v>26483</v>
      </c>
      <c r="F308" s="29">
        <f ca="1">_xlfn.DAYS(NOW(),Tabella1[[#This Row],[Data di Nascita]])/365.25</f>
        <v>53.086926762491444</v>
      </c>
      <c r="G308" s="7" t="s">
        <v>3500</v>
      </c>
      <c r="H308" s="7" t="s">
        <v>3501</v>
      </c>
      <c r="I308" s="7" t="s">
        <v>3453</v>
      </c>
      <c r="J308" s="7" t="s">
        <v>211</v>
      </c>
      <c r="K308" s="7" t="s">
        <v>1252</v>
      </c>
      <c r="L308" s="17">
        <f>IF(ISERROR(SEARCH("EX",Tabella1[[#This Row],[Attività lavorativa]],1)),0,1)</f>
        <v>0</v>
      </c>
      <c r="M308" s="17"/>
      <c r="N308" s="17"/>
      <c r="O308" s="17"/>
      <c r="P308" s="17"/>
      <c r="Q308" s="17"/>
      <c r="R308" s="17"/>
      <c r="S308" s="17">
        <v>1</v>
      </c>
      <c r="T308" s="17">
        <f>IF(ISERROR(SEARCH("NDD",Tabella1[[#This Row],[Attività lavorativa]],1)),0,1)</f>
        <v>0</v>
      </c>
      <c r="U308" s="7" t="s">
        <v>3472</v>
      </c>
      <c r="V308" s="22">
        <v>10</v>
      </c>
      <c r="W308" s="22">
        <f>IF(ISERROR(SEARCH("ex",Tabella1[[#This Row],[Fumo]],1)),0,1)</f>
        <v>1</v>
      </c>
      <c r="X308" s="22">
        <f>IF(ISERROR(SEARCH("no",Tabella1[[#This Row],[Fumo]],1)),0,1)</f>
        <v>0</v>
      </c>
      <c r="Y308" s="7" t="s">
        <v>25</v>
      </c>
      <c r="Z308" s="17">
        <f>IF(ISERROR(SEARCH("NDD",Tabella1[[#This Row],[Bevitore alcolici]],1)),0,1)</f>
        <v>0</v>
      </c>
      <c r="AA308" s="17">
        <f>IF(ISERROR(SEARCH("raro",Tabella1[[#This Row],[Bevitore alcolici]],1)),0,1)</f>
        <v>0</v>
      </c>
      <c r="AB308" s="17">
        <f>IF(ISERROR(SEARCH("saltuariamente",Tabella1[[#This Row],[Bevitore alcolici]],1)),0,1)</f>
        <v>0</v>
      </c>
      <c r="AC308" s="17">
        <f>IF(ISERROR(SEARCH("nega",Tabella1[[#This Row],[Bevitore alcolici]],1)),0,1)</f>
        <v>1</v>
      </c>
      <c r="AD308" s="17">
        <f>IF(ISERROR(SEARCH("potus",Tabella1[[#This Row],[Bevitore alcolici]],1)),0,1)</f>
        <v>0</v>
      </c>
      <c r="AE308" s="7" t="s">
        <v>657</v>
      </c>
      <c r="AF308" s="17"/>
      <c r="AG308" s="17"/>
      <c r="AH308" s="17"/>
      <c r="AI308" s="17"/>
      <c r="AJ308" s="17"/>
      <c r="AK308" s="7" t="s">
        <v>28</v>
      </c>
      <c r="AL308" s="17">
        <f>IF(ISERROR(SEARCH("si",Tabella1[[#This Row],[Patente di guida]],1)),0,1)</f>
        <v>1</v>
      </c>
      <c r="AM308" s="7" t="s">
        <v>28</v>
      </c>
      <c r="AN308" s="17">
        <f>IF(ISERROR(SEARCH("no",Tabella1[[#This Row],[Ipertensione]],1)),0,1)</f>
        <v>0</v>
      </c>
      <c r="AO308" s="7" t="s">
        <v>382</v>
      </c>
      <c r="AP308" s="18">
        <f>IF(ISERROR(SEARCH("NO",Tabella1[[#This Row],[Cardiopatia ischemica]],1)),1,0)</f>
        <v>0</v>
      </c>
      <c r="AQ308" s="17">
        <f>IF(ISERROR(SEARCH("sconosciuto",Tabella1[[#This Row],[Cardiopatia ischemica]],1)),0,1)</f>
        <v>0</v>
      </c>
      <c r="AR308" s="7" t="s">
        <v>25</v>
      </c>
      <c r="AS308" s="22">
        <f>IF(ISERROR(SEARCH("nega",Tabella1[[#This Row],[Artimie]],1)),0,1)</f>
        <v>1</v>
      </c>
      <c r="AT308" s="7" t="s">
        <v>25</v>
      </c>
      <c r="AU308" s="22">
        <f>IF(ISERROR(SEARCH("nega",Tabella1[[#This Row],[Ipercolesterolemia]],1)),0,1)</f>
        <v>1</v>
      </c>
      <c r="AV308" s="22">
        <f>IF(ISERROR(SEARCH("boh",Tabella1[[#This Row],[Ipercolesterolemia]],1)),0,1)</f>
        <v>0</v>
      </c>
      <c r="AW308" s="7" t="s">
        <v>195</v>
      </c>
      <c r="AX308" s="22">
        <f>IF(ISERROR(SEARCH("Intolleranza",Tabella1[[#This Row],[Diabete]],1)),0,1)</f>
        <v>0</v>
      </c>
      <c r="AY308" s="22">
        <f>IF(ISERROR(SEARCH("si",Tabella1[[#This Row],[Diabete]],1)),0,1)</f>
        <v>0</v>
      </c>
      <c r="AZ308" s="7" t="s">
        <v>195</v>
      </c>
      <c r="BA308" s="17">
        <f>IF(ISERROR(SEARCH("NDD",Tabella1[[#This Row],[Patologia Tiroidea]],1)),0,1)</f>
        <v>0</v>
      </c>
      <c r="BB308" s="22">
        <f>IF(ISERROR(SEARCH("TIROIDITE",Tabella1[[#This Row],[Patologia Tiroidea]],1)),0,1)</f>
        <v>0</v>
      </c>
      <c r="BC308" s="22">
        <f>IF(ISERROR(SEARCH("HASHIMOTO",Tabella1[[#This Row],[Patologia Tiroidea]],1)),0,1)</f>
        <v>0</v>
      </c>
      <c r="BD308" s="22">
        <f>IF(ISERROR(SEARCH("BASEDOW",Tabella1[[#This Row],[Patologia Tiroidea]],1)),0,1)</f>
        <v>0</v>
      </c>
      <c r="BE308" s="22">
        <f>IF(ISERROR(SEARCH("NOD",Tabella1[[#This Row],[Patologia Tiroidea]],1)),0,1)</f>
        <v>0</v>
      </c>
      <c r="BF308" s="22">
        <f>IF(ISERROR(SEARCH("GOZ",Tabella1[[#This Row],[Patologia Tiroidea]],1)),0,1)</f>
        <v>0</v>
      </c>
      <c r="BG308" s="7" t="s">
        <v>516</v>
      </c>
      <c r="BH308" s="17">
        <f>IF(Tabella1[[#This Row],[Obesità]]="no",0,1)</f>
        <v>1</v>
      </c>
      <c r="BI308" s="7" t="s">
        <v>516</v>
      </c>
      <c r="BJ308" s="22">
        <f>IF(ISERROR(SEARCH("nega",Tabella1[[#This Row],[Reflusso gastroesofageo]],1)),1,0)</f>
        <v>1</v>
      </c>
      <c r="BK308" s="7" t="s">
        <v>195</v>
      </c>
      <c r="BL308" s="17">
        <f>IF(ISERROR(SEARCH("NDD",Tabella1[[#This Row],[Patologia respiratoria]],1)),0,1)</f>
        <v>0</v>
      </c>
      <c r="BM308" s="17">
        <f>IF(ISERROR(SEARCH("asma",Tabella1[[#This Row],[Patologia respiratoria]],1)),0,1)</f>
        <v>0</v>
      </c>
      <c r="BN308" s="17">
        <f>IF(ISERROR(SEARCH("BPCO",Tabella1[[#This Row],[Patologia respiratoria]],1)),0,1)</f>
        <v>0</v>
      </c>
      <c r="BO308" s="17">
        <f>IF(ISERROR(SEARCH("BRONCOPOLMONITE",Tabella1[[#This Row],[Patologia respiratoria]],1)),0,1)</f>
        <v>0</v>
      </c>
      <c r="BP308" s="17">
        <f>IF(ISERROR(SEARCH("ASMA, OSAS",Tabella1[[#This Row],[Patologia respiratoria]],1)),0,1)</f>
        <v>0</v>
      </c>
      <c r="BQ308" s="17">
        <f>IF(ISERROR(SEARCH("OSAS e BPCO",Tabella1[[#This Row],[Patologia respiratoria]],1)),0,1)</f>
        <v>0</v>
      </c>
      <c r="BR308" s="17">
        <f>IF(ISERROR(SEARCH("OSAS",Tabella1[[#This Row],[Patologia respiratoria]],1)),0,1)</f>
        <v>0</v>
      </c>
      <c r="BS308" s="7"/>
      <c r="BT308" s="7" t="s">
        <v>3502</v>
      </c>
      <c r="BU308" s="7" t="s">
        <v>195</v>
      </c>
      <c r="BV308" s="17">
        <f>IF(ISERROR(SEARCH("ndd",Tabella1[[#This Row],[O2 terapia]],1)),0,1)</f>
        <v>0</v>
      </c>
      <c r="BW308" s="17">
        <v>0</v>
      </c>
      <c r="BX308" s="7"/>
      <c r="BY308" s="7" t="s">
        <v>195</v>
      </c>
      <c r="BZ308" s="18">
        <v>0</v>
      </c>
      <c r="CA308" s="7" t="s">
        <v>195</v>
      </c>
      <c r="CB308" s="17">
        <v>0</v>
      </c>
      <c r="CC308" s="7" t="s">
        <v>516</v>
      </c>
      <c r="CD308" s="17">
        <v>1</v>
      </c>
      <c r="CE308" s="7" t="s">
        <v>195</v>
      </c>
      <c r="CF308" s="18">
        <v>0</v>
      </c>
      <c r="CG308" s="7" t="s">
        <v>195</v>
      </c>
      <c r="CH308" s="17">
        <v>0</v>
      </c>
      <c r="CI308" s="7" t="s">
        <v>194</v>
      </c>
      <c r="CJ308" s="17">
        <v>1</v>
      </c>
      <c r="CK308" s="7" t="s">
        <v>2488</v>
      </c>
      <c r="CL308" s="17">
        <v>1</v>
      </c>
      <c r="CM308" s="7" t="s">
        <v>516</v>
      </c>
      <c r="CN308" s="17">
        <v>1</v>
      </c>
      <c r="CO308" s="7" t="s">
        <v>195</v>
      </c>
      <c r="CP308" s="18">
        <v>0</v>
      </c>
      <c r="CQ308" s="7" t="s">
        <v>368</v>
      </c>
      <c r="CR308" s="7" t="s">
        <v>3503</v>
      </c>
      <c r="CS308" s="7" t="s">
        <v>389</v>
      </c>
      <c r="CT308" s="7" t="s">
        <v>1444</v>
      </c>
      <c r="CU308" s="7" t="s">
        <v>3504</v>
      </c>
      <c r="CV308" s="8" t="s">
        <v>3505</v>
      </c>
    </row>
    <row r="309" spans="1:100" ht="42.75">
      <c r="A309" s="1">
        <f t="shared" si="4"/>
        <v>308</v>
      </c>
      <c r="B309" s="9">
        <v>1862</v>
      </c>
      <c r="C309" s="10">
        <v>45727</v>
      </c>
      <c r="D309" s="11" t="s">
        <v>3506</v>
      </c>
      <c r="E309" s="10">
        <v>27879</v>
      </c>
      <c r="F309" s="29">
        <f ca="1">_xlfn.DAYS(NOW(),Tabella1[[#This Row],[Data di Nascita]])/365.25</f>
        <v>49.264887063655031</v>
      </c>
      <c r="G309" s="11" t="s">
        <v>3507</v>
      </c>
      <c r="H309" s="11" t="s">
        <v>3508</v>
      </c>
      <c r="I309" s="11" t="s">
        <v>3453</v>
      </c>
      <c r="J309" s="11" t="s">
        <v>211</v>
      </c>
      <c r="K309" s="11" t="s">
        <v>3509</v>
      </c>
      <c r="L309" s="18">
        <f>IF(ISERROR(SEARCH("EX",Tabella1[[#This Row],[Attività lavorativa]],1)),0,1)</f>
        <v>0</v>
      </c>
      <c r="M309" s="18"/>
      <c r="N309" s="18"/>
      <c r="O309" s="18"/>
      <c r="P309" s="18"/>
      <c r="Q309" s="18"/>
      <c r="R309" s="18"/>
      <c r="S309" s="18"/>
      <c r="T309" s="17">
        <f>IF(ISERROR(SEARCH("NDD",Tabella1[[#This Row],[Attività lavorativa]],1)),0,1)</f>
        <v>0</v>
      </c>
      <c r="U309" s="11" t="s">
        <v>3510</v>
      </c>
      <c r="V309" s="22">
        <v>15</v>
      </c>
      <c r="W309" s="22">
        <f>IF(ISERROR(SEARCH("ex",Tabella1[[#This Row],[Fumo]],1)),0,1)</f>
        <v>0</v>
      </c>
      <c r="X309" s="22">
        <f>IF(ISERROR(SEARCH("no",Tabella1[[#This Row],[Fumo]],1)),0,1)</f>
        <v>0</v>
      </c>
      <c r="Y309" s="11" t="s">
        <v>25</v>
      </c>
      <c r="Z309" s="18">
        <f>IF(ISERROR(SEARCH("NDD",Tabella1[[#This Row],[Bevitore alcolici]],1)),0,1)</f>
        <v>0</v>
      </c>
      <c r="AA309" s="17">
        <f>IF(ISERROR(SEARCH("raro",Tabella1[[#This Row],[Bevitore alcolici]],1)),0,1)</f>
        <v>0</v>
      </c>
      <c r="AB309" s="17">
        <f>IF(ISERROR(SEARCH("saltuariamente",Tabella1[[#This Row],[Bevitore alcolici]],1)),0,1)</f>
        <v>0</v>
      </c>
      <c r="AC309" s="17">
        <f>IF(ISERROR(SEARCH("nega",Tabella1[[#This Row],[Bevitore alcolici]],1)),0,1)</f>
        <v>1</v>
      </c>
      <c r="AD309" s="17">
        <f>IF(ISERROR(SEARCH("potus",Tabella1[[#This Row],[Bevitore alcolici]],1)),0,1)</f>
        <v>0</v>
      </c>
      <c r="AE309" s="11" t="s">
        <v>3331</v>
      </c>
      <c r="AF309" s="18"/>
      <c r="AG309" s="18">
        <v>1</v>
      </c>
      <c r="AH309" s="18"/>
      <c r="AI309" s="18"/>
      <c r="AJ309" s="18"/>
      <c r="AK309" s="11" t="s">
        <v>28</v>
      </c>
      <c r="AL309" s="18">
        <f>IF(ISERROR(SEARCH("si",Tabella1[[#This Row],[Patente di guida]],1)),0,1)</f>
        <v>1</v>
      </c>
      <c r="AM309" s="11" t="s">
        <v>195</v>
      </c>
      <c r="AN309" s="18">
        <f>IF(ISERROR(SEARCH("no",Tabella1[[#This Row],[Ipertensione]],1)),0,1)</f>
        <v>1</v>
      </c>
      <c r="AO309" s="11" t="s">
        <v>382</v>
      </c>
      <c r="AP309" s="18">
        <f>IF(ISERROR(SEARCH("NO",Tabella1[[#This Row],[Cardiopatia ischemica]],1)),1,0)</f>
        <v>0</v>
      </c>
      <c r="AQ309" s="17">
        <f>IF(ISERROR(SEARCH("sconosciuto",Tabella1[[#This Row],[Cardiopatia ischemica]],1)),0,1)</f>
        <v>0</v>
      </c>
      <c r="AR309" s="11" t="s">
        <v>25</v>
      </c>
      <c r="AS309" s="22">
        <f>IF(ISERROR(SEARCH("nega",Tabella1[[#This Row],[Artimie]],1)),0,1)</f>
        <v>1</v>
      </c>
      <c r="AT309" s="11" t="s">
        <v>25</v>
      </c>
      <c r="AU309" s="22">
        <f>IF(ISERROR(SEARCH("nega",Tabella1[[#This Row],[Ipercolesterolemia]],1)),0,1)</f>
        <v>1</v>
      </c>
      <c r="AV309" s="22">
        <f>IF(ISERROR(SEARCH("boh",Tabella1[[#This Row],[Ipercolesterolemia]],1)),0,1)</f>
        <v>0</v>
      </c>
      <c r="AW309" s="11" t="s">
        <v>195</v>
      </c>
      <c r="AX309" s="22">
        <f>IF(ISERROR(SEARCH("Intolleranza",Tabella1[[#This Row],[Diabete]],1)),0,1)</f>
        <v>0</v>
      </c>
      <c r="AY309" s="22">
        <f>IF(ISERROR(SEARCH("si",Tabella1[[#This Row],[Diabete]],1)),0,1)</f>
        <v>0</v>
      </c>
      <c r="AZ309" s="11" t="s">
        <v>195</v>
      </c>
      <c r="BA309" s="18">
        <f>IF(ISERROR(SEARCH("NDD",Tabella1[[#This Row],[Patologia Tiroidea]],1)),0,1)</f>
        <v>0</v>
      </c>
      <c r="BB309" s="22">
        <f>IF(ISERROR(SEARCH("TIROIDITE",Tabella1[[#This Row],[Patologia Tiroidea]],1)),0,1)</f>
        <v>0</v>
      </c>
      <c r="BC309" s="22">
        <f>IF(ISERROR(SEARCH("HASHIMOTO",Tabella1[[#This Row],[Patologia Tiroidea]],1)),0,1)</f>
        <v>0</v>
      </c>
      <c r="BD309" s="22">
        <f>IF(ISERROR(SEARCH("BASEDOW",Tabella1[[#This Row],[Patologia Tiroidea]],1)),0,1)</f>
        <v>0</v>
      </c>
      <c r="BE309" s="22">
        <f>IF(ISERROR(SEARCH("NOD",Tabella1[[#This Row],[Patologia Tiroidea]],1)),0,1)</f>
        <v>0</v>
      </c>
      <c r="BF309" s="22">
        <f>IF(ISERROR(SEARCH("GOZ",Tabella1[[#This Row],[Patologia Tiroidea]],1)),0,1)</f>
        <v>0</v>
      </c>
      <c r="BG309" s="11" t="s">
        <v>516</v>
      </c>
      <c r="BH309" s="18">
        <f>IF(Tabella1[[#This Row],[Obesità]]="no",0,1)</f>
        <v>1</v>
      </c>
      <c r="BI309" s="11" t="s">
        <v>25</v>
      </c>
      <c r="BJ309" s="22">
        <f>IF(ISERROR(SEARCH("nega",Tabella1[[#This Row],[Reflusso gastroesofageo]],1)),1,0)</f>
        <v>0</v>
      </c>
      <c r="BK309" s="11" t="s">
        <v>195</v>
      </c>
      <c r="BL309" s="18">
        <f>IF(ISERROR(SEARCH("NDD",Tabella1[[#This Row],[Patologia respiratoria]],1)),0,1)</f>
        <v>0</v>
      </c>
      <c r="BM309" s="18">
        <f>IF(ISERROR(SEARCH("asma",Tabella1[[#This Row],[Patologia respiratoria]],1)),0,1)</f>
        <v>0</v>
      </c>
      <c r="BN309" s="18">
        <f>IF(ISERROR(SEARCH("BPCO",Tabella1[[#This Row],[Patologia respiratoria]],1)),0,1)</f>
        <v>0</v>
      </c>
      <c r="BO309" s="18">
        <f>IF(ISERROR(SEARCH("BRONCOPOLMONITE",Tabella1[[#This Row],[Patologia respiratoria]],1)),0,1)</f>
        <v>0</v>
      </c>
      <c r="BP309" s="18">
        <f>IF(ISERROR(SEARCH("ASMA, OSAS",Tabella1[[#This Row],[Patologia respiratoria]],1)),0,1)</f>
        <v>0</v>
      </c>
      <c r="BQ309" s="18">
        <f>IF(ISERROR(SEARCH("OSAS e BPCO",Tabella1[[#This Row],[Patologia respiratoria]],1)),0,1)</f>
        <v>0</v>
      </c>
      <c r="BR309" s="18">
        <f>IF(ISERROR(SEARCH("OSAS",Tabella1[[#This Row],[Patologia respiratoria]],1)),0,1)</f>
        <v>0</v>
      </c>
      <c r="BS309" s="11"/>
      <c r="BT309" s="11" t="s">
        <v>3511</v>
      </c>
      <c r="BU309" s="11" t="s">
        <v>195</v>
      </c>
      <c r="BV309" s="18">
        <f>IF(ISERROR(SEARCH("ndd",Tabella1[[#This Row],[O2 terapia]],1)),0,1)</f>
        <v>0</v>
      </c>
      <c r="BW309" s="17">
        <v>0</v>
      </c>
      <c r="BX309" s="11"/>
      <c r="BY309" s="11" t="s">
        <v>195</v>
      </c>
      <c r="BZ309" s="18">
        <v>0</v>
      </c>
      <c r="CA309" s="11" t="s">
        <v>3512</v>
      </c>
      <c r="CB309" s="17">
        <v>0</v>
      </c>
      <c r="CC309" s="11" t="s">
        <v>516</v>
      </c>
      <c r="CD309" s="17">
        <v>1</v>
      </c>
      <c r="CE309" s="11" t="s">
        <v>195</v>
      </c>
      <c r="CF309" s="18">
        <v>0</v>
      </c>
      <c r="CG309" s="11" t="s">
        <v>195</v>
      </c>
      <c r="CH309" s="17">
        <v>0</v>
      </c>
      <c r="CI309" s="11" t="s">
        <v>195</v>
      </c>
      <c r="CJ309" s="18">
        <v>0</v>
      </c>
      <c r="CK309" s="11" t="s">
        <v>3513</v>
      </c>
      <c r="CL309" s="17">
        <v>1</v>
      </c>
      <c r="CM309" s="11" t="s">
        <v>195</v>
      </c>
      <c r="CN309" s="17">
        <v>0</v>
      </c>
      <c r="CO309" s="11" t="s">
        <v>195</v>
      </c>
      <c r="CP309" s="18">
        <v>0</v>
      </c>
      <c r="CQ309" s="11" t="s">
        <v>54</v>
      </c>
      <c r="CR309" s="11" t="s">
        <v>3514</v>
      </c>
      <c r="CS309" s="11" t="s">
        <v>219</v>
      </c>
      <c r="CT309" s="11" t="s">
        <v>2207</v>
      </c>
      <c r="CU309" s="11" t="s">
        <v>2514</v>
      </c>
      <c r="CV309" s="12" t="s">
        <v>3453</v>
      </c>
    </row>
    <row r="310" spans="1:100" ht="242.25">
      <c r="A310" s="1">
        <f t="shared" si="4"/>
        <v>309</v>
      </c>
      <c r="B310" s="5">
        <v>1863</v>
      </c>
      <c r="C310" s="6">
        <v>45728</v>
      </c>
      <c r="D310" s="7" t="s">
        <v>3515</v>
      </c>
      <c r="E310" s="6">
        <v>27201</v>
      </c>
      <c r="F310" s="29">
        <f ca="1">_xlfn.DAYS(NOW(),Tabella1[[#This Row],[Data di Nascita]])/365.25</f>
        <v>51.121149897330596</v>
      </c>
      <c r="G310" s="7" t="s">
        <v>3516</v>
      </c>
      <c r="H310" s="7" t="s">
        <v>3517</v>
      </c>
      <c r="I310" s="7" t="s">
        <v>3518</v>
      </c>
      <c r="J310" s="7" t="s">
        <v>3519</v>
      </c>
      <c r="K310" s="7" t="s">
        <v>5627</v>
      </c>
      <c r="L310" s="17">
        <v>0</v>
      </c>
      <c r="M310" s="17"/>
      <c r="N310" s="17"/>
      <c r="O310" s="17"/>
      <c r="P310" s="17"/>
      <c r="Q310" s="17"/>
      <c r="R310" s="17"/>
      <c r="S310" s="17"/>
      <c r="T310" s="17">
        <f>IF(ISERROR(SEARCH("NDD",Tabella1[[#This Row],[Attività lavorativa]],1)),0,1)</f>
        <v>0</v>
      </c>
      <c r="U310" s="7" t="s">
        <v>3520</v>
      </c>
      <c r="V310" s="22">
        <v>20</v>
      </c>
      <c r="W310" s="22">
        <f>IF(ISERROR(SEARCH("ex",Tabella1[[#This Row],[Fumo]],1)),0,1)</f>
        <v>0</v>
      </c>
      <c r="X310" s="22">
        <f>IF(ISERROR(SEARCH("no",Tabella1[[#This Row],[Fumo]],1)),0,1)</f>
        <v>0</v>
      </c>
      <c r="Y310" s="7" t="s">
        <v>25</v>
      </c>
      <c r="Z310" s="17">
        <f>IF(ISERROR(SEARCH("NDD",Tabella1[[#This Row],[Bevitore alcolici]],1)),0,1)</f>
        <v>0</v>
      </c>
      <c r="AA310" s="17">
        <f>IF(ISERROR(SEARCH("raro",Tabella1[[#This Row],[Bevitore alcolici]],1)),0,1)</f>
        <v>0</v>
      </c>
      <c r="AB310" s="17">
        <f>IF(ISERROR(SEARCH("saltuariamente",Tabella1[[#This Row],[Bevitore alcolici]],1)),0,1)</f>
        <v>0</v>
      </c>
      <c r="AC310" s="17">
        <f>IF(ISERROR(SEARCH("nega",Tabella1[[#This Row],[Bevitore alcolici]],1)),0,1)</f>
        <v>1</v>
      </c>
      <c r="AD310" s="17">
        <f>IF(ISERROR(SEARCH("potus",Tabella1[[#This Row],[Bevitore alcolici]],1)),0,1)</f>
        <v>0</v>
      </c>
      <c r="AE310" s="7" t="s">
        <v>657</v>
      </c>
      <c r="AF310" s="17"/>
      <c r="AG310" s="17"/>
      <c r="AH310" s="17"/>
      <c r="AI310" s="17"/>
      <c r="AJ310" s="17"/>
      <c r="AK310" s="7" t="s">
        <v>28</v>
      </c>
      <c r="AL310" s="17">
        <f>IF(ISERROR(SEARCH("si",Tabella1[[#This Row],[Patente di guida]],1)),0,1)</f>
        <v>1</v>
      </c>
      <c r="AM310" s="7" t="s">
        <v>28</v>
      </c>
      <c r="AN310" s="17">
        <f>IF(ISERROR(SEARCH("no",Tabella1[[#This Row],[Ipertensione]],1)),0,1)</f>
        <v>0</v>
      </c>
      <c r="AO310" s="7" t="s">
        <v>382</v>
      </c>
      <c r="AP310" s="18">
        <f>IF(ISERROR(SEARCH("NO",Tabella1[[#This Row],[Cardiopatia ischemica]],1)),1,0)</f>
        <v>0</v>
      </c>
      <c r="AQ310" s="17">
        <f>IF(ISERROR(SEARCH("sconosciuto",Tabella1[[#This Row],[Cardiopatia ischemica]],1)),0,1)</f>
        <v>0</v>
      </c>
      <c r="AR310" s="7" t="s">
        <v>25</v>
      </c>
      <c r="AS310" s="22">
        <f>IF(ISERROR(SEARCH("nega",Tabella1[[#This Row],[Artimie]],1)),0,1)</f>
        <v>1</v>
      </c>
      <c r="AT310" s="7" t="s">
        <v>516</v>
      </c>
      <c r="AU310" s="22">
        <f>IF(ISERROR(SEARCH("nega",Tabella1[[#This Row],[Ipercolesterolemia]],1)),0,1)</f>
        <v>0</v>
      </c>
      <c r="AV310" s="22">
        <f>IF(ISERROR(SEARCH("boh",Tabella1[[#This Row],[Ipercolesterolemia]],1)),0,1)</f>
        <v>0</v>
      </c>
      <c r="AW310" s="7" t="s">
        <v>195</v>
      </c>
      <c r="AX310" s="22">
        <f>IF(ISERROR(SEARCH("Intolleranza",Tabella1[[#This Row],[Diabete]],1)),0,1)</f>
        <v>0</v>
      </c>
      <c r="AY310" s="22">
        <f>IF(ISERROR(SEARCH("si",Tabella1[[#This Row],[Diabete]],1)),0,1)</f>
        <v>0</v>
      </c>
      <c r="AZ310" s="7" t="s">
        <v>195</v>
      </c>
      <c r="BA310" s="17">
        <f>IF(ISERROR(SEARCH("NDD",Tabella1[[#This Row],[Patologia Tiroidea]],1)),0,1)</f>
        <v>0</v>
      </c>
      <c r="BB310" s="22">
        <f>IF(ISERROR(SEARCH("TIROIDITE",Tabella1[[#This Row],[Patologia Tiroidea]],1)),0,1)</f>
        <v>0</v>
      </c>
      <c r="BC310" s="22">
        <f>IF(ISERROR(SEARCH("HASHIMOTO",Tabella1[[#This Row],[Patologia Tiroidea]],1)),0,1)</f>
        <v>0</v>
      </c>
      <c r="BD310" s="22">
        <f>IF(ISERROR(SEARCH("BASEDOW",Tabella1[[#This Row],[Patologia Tiroidea]],1)),0,1)</f>
        <v>0</v>
      </c>
      <c r="BE310" s="22">
        <f>IF(ISERROR(SEARCH("NOD",Tabella1[[#This Row],[Patologia Tiroidea]],1)),0,1)</f>
        <v>0</v>
      </c>
      <c r="BF310" s="22">
        <f>IF(ISERROR(SEARCH("GOZ",Tabella1[[#This Row],[Patologia Tiroidea]],1)),0,1)</f>
        <v>0</v>
      </c>
      <c r="BG310" s="7" t="s">
        <v>516</v>
      </c>
      <c r="BH310" s="17">
        <f>IF(Tabella1[[#This Row],[Obesità]]="no",0,1)</f>
        <v>1</v>
      </c>
      <c r="BI310" s="7" t="s">
        <v>516</v>
      </c>
      <c r="BJ310" s="22">
        <f>IF(ISERROR(SEARCH("nega",Tabella1[[#This Row],[Reflusso gastroesofageo]],1)),1,0)</f>
        <v>1</v>
      </c>
      <c r="BK310" s="7" t="s">
        <v>195</v>
      </c>
      <c r="BL310" s="17">
        <f>IF(ISERROR(SEARCH("NDD",Tabella1[[#This Row],[Patologia respiratoria]],1)),0,1)</f>
        <v>0</v>
      </c>
      <c r="BM310" s="17">
        <f>IF(ISERROR(SEARCH("asma",Tabella1[[#This Row],[Patologia respiratoria]],1)),0,1)</f>
        <v>0</v>
      </c>
      <c r="BN310" s="17">
        <f>IF(ISERROR(SEARCH("BPCO",Tabella1[[#This Row],[Patologia respiratoria]],1)),0,1)</f>
        <v>0</v>
      </c>
      <c r="BO310" s="17">
        <f>IF(ISERROR(SEARCH("BRONCOPOLMONITE",Tabella1[[#This Row],[Patologia respiratoria]],1)),0,1)</f>
        <v>0</v>
      </c>
      <c r="BP310" s="17">
        <f>IF(ISERROR(SEARCH("ASMA, OSAS",Tabella1[[#This Row],[Patologia respiratoria]],1)),0,1)</f>
        <v>0</v>
      </c>
      <c r="BQ310" s="17">
        <f>IF(ISERROR(SEARCH("OSAS e BPCO",Tabella1[[#This Row],[Patologia respiratoria]],1)),0,1)</f>
        <v>0</v>
      </c>
      <c r="BR310" s="17">
        <f>IF(ISERROR(SEARCH("OSAS",Tabella1[[#This Row],[Patologia respiratoria]],1)),0,1)</f>
        <v>0</v>
      </c>
      <c r="BS310" s="7" t="s">
        <v>3521</v>
      </c>
      <c r="BT310" s="7" t="s">
        <v>3522</v>
      </c>
      <c r="BU310" s="7" t="s">
        <v>195</v>
      </c>
      <c r="BV310" s="17">
        <f>IF(ISERROR(SEARCH("ndd",Tabella1[[#This Row],[O2 terapia]],1)),0,1)</f>
        <v>0</v>
      </c>
      <c r="BW310" s="17">
        <v>0</v>
      </c>
      <c r="BX310" s="7"/>
      <c r="BY310" s="7" t="s">
        <v>195</v>
      </c>
      <c r="BZ310" s="18">
        <v>0</v>
      </c>
      <c r="CA310" s="7" t="s">
        <v>195</v>
      </c>
      <c r="CB310" s="17">
        <v>0</v>
      </c>
      <c r="CC310" s="7" t="s">
        <v>516</v>
      </c>
      <c r="CD310" s="17">
        <v>1</v>
      </c>
      <c r="CE310" s="7" t="s">
        <v>195</v>
      </c>
      <c r="CF310" s="18">
        <v>0</v>
      </c>
      <c r="CG310" s="7" t="s">
        <v>195</v>
      </c>
      <c r="CH310" s="17">
        <v>0</v>
      </c>
      <c r="CI310" s="7" t="s">
        <v>516</v>
      </c>
      <c r="CJ310" s="17">
        <v>1</v>
      </c>
      <c r="CK310" s="7" t="s">
        <v>195</v>
      </c>
      <c r="CL310" s="17">
        <v>0</v>
      </c>
      <c r="CM310" s="7" t="s">
        <v>516</v>
      </c>
      <c r="CN310" s="17">
        <v>1</v>
      </c>
      <c r="CO310" s="7" t="s">
        <v>3523</v>
      </c>
      <c r="CP310" s="18">
        <v>0</v>
      </c>
      <c r="CQ310" s="7" t="s">
        <v>54</v>
      </c>
      <c r="CR310" s="7" t="s">
        <v>2491</v>
      </c>
      <c r="CS310" s="7" t="s">
        <v>404</v>
      </c>
      <c r="CT310" s="7" t="s">
        <v>56</v>
      </c>
      <c r="CU310" s="7" t="s">
        <v>3524</v>
      </c>
      <c r="CV310" s="8"/>
    </row>
    <row r="311" spans="1:100" ht="57">
      <c r="A311" s="1">
        <f t="shared" si="4"/>
        <v>310</v>
      </c>
      <c r="B311" s="9">
        <v>1864</v>
      </c>
      <c r="C311" s="10">
        <v>45728</v>
      </c>
      <c r="D311" s="11" t="s">
        <v>3525</v>
      </c>
      <c r="E311" s="10">
        <v>35692</v>
      </c>
      <c r="F311" s="29">
        <f ca="1">_xlfn.DAYS(NOW(),Tabella1[[#This Row],[Data di Nascita]])/365.25</f>
        <v>27.874058863791923</v>
      </c>
      <c r="G311" s="11" t="s">
        <v>3526</v>
      </c>
      <c r="H311" s="11" t="s">
        <v>3527</v>
      </c>
      <c r="I311" s="11" t="s">
        <v>3453</v>
      </c>
      <c r="J311" s="11" t="s">
        <v>211</v>
      </c>
      <c r="K311" s="11" t="s">
        <v>3528</v>
      </c>
      <c r="L311" s="18">
        <f>IF(ISERROR(SEARCH("EX",Tabella1[[#This Row],[Attività lavorativa]],1)),0,1)</f>
        <v>0</v>
      </c>
      <c r="M311" s="18"/>
      <c r="N311" s="18"/>
      <c r="O311" s="18"/>
      <c r="P311" s="18"/>
      <c r="Q311" s="18"/>
      <c r="R311" s="18"/>
      <c r="S311" s="18"/>
      <c r="T311" s="17">
        <f>IF(ISERROR(SEARCH("NDD",Tabella1[[#This Row],[Attività lavorativa]],1)),0,1)</f>
        <v>0</v>
      </c>
      <c r="U311" s="11" t="s">
        <v>3529</v>
      </c>
      <c r="V311" s="22"/>
      <c r="W311" s="22">
        <f>IF(ISERROR(SEARCH("ex",Tabella1[[#This Row],[Fumo]],1)),0,1)</f>
        <v>0</v>
      </c>
      <c r="X311" s="22">
        <f>IF(ISERROR(SEARCH("no",Tabella1[[#This Row],[Fumo]],1)),0,1)</f>
        <v>0</v>
      </c>
      <c r="Y311" s="11" t="s">
        <v>25</v>
      </c>
      <c r="Z311" s="18">
        <f>IF(ISERROR(SEARCH("NDD",Tabella1[[#This Row],[Bevitore alcolici]],1)),0,1)</f>
        <v>0</v>
      </c>
      <c r="AA311" s="17">
        <f>IF(ISERROR(SEARCH("raro",Tabella1[[#This Row],[Bevitore alcolici]],1)),0,1)</f>
        <v>0</v>
      </c>
      <c r="AB311" s="17">
        <f>IF(ISERROR(SEARCH("saltuariamente",Tabella1[[#This Row],[Bevitore alcolici]],1)),0,1)</f>
        <v>0</v>
      </c>
      <c r="AC311" s="17">
        <f>IF(ISERROR(SEARCH("nega",Tabella1[[#This Row],[Bevitore alcolici]],1)),0,1)</f>
        <v>1</v>
      </c>
      <c r="AD311" s="17">
        <f>IF(ISERROR(SEARCH("potus",Tabella1[[#This Row],[Bevitore alcolici]],1)),0,1)</f>
        <v>0</v>
      </c>
      <c r="AE311" s="11" t="s">
        <v>3331</v>
      </c>
      <c r="AF311" s="18"/>
      <c r="AG311" s="18">
        <v>1</v>
      </c>
      <c r="AH311" s="18"/>
      <c r="AI311" s="18"/>
      <c r="AJ311" s="18"/>
      <c r="AK311" s="11" t="s">
        <v>28</v>
      </c>
      <c r="AL311" s="18">
        <f>IF(ISERROR(SEARCH("si",Tabella1[[#This Row],[Patente di guida]],1)),0,1)</f>
        <v>1</v>
      </c>
      <c r="AM311" s="11" t="s">
        <v>195</v>
      </c>
      <c r="AN311" s="18">
        <f>IF(ISERROR(SEARCH("no",Tabella1[[#This Row],[Ipertensione]],1)),0,1)</f>
        <v>1</v>
      </c>
      <c r="AO311" s="11" t="s">
        <v>382</v>
      </c>
      <c r="AP311" s="18">
        <f>IF(ISERROR(SEARCH("NO",Tabella1[[#This Row],[Cardiopatia ischemica]],1)),1,0)</f>
        <v>0</v>
      </c>
      <c r="AQ311" s="17">
        <f>IF(ISERROR(SEARCH("sconosciuto",Tabella1[[#This Row],[Cardiopatia ischemica]],1)),0,1)</f>
        <v>0</v>
      </c>
      <c r="AR311" s="11" t="s">
        <v>25</v>
      </c>
      <c r="AS311" s="22">
        <f>IF(ISERROR(SEARCH("nega",Tabella1[[#This Row],[Artimie]],1)),0,1)</f>
        <v>1</v>
      </c>
      <c r="AT311" s="11" t="s">
        <v>25</v>
      </c>
      <c r="AU311" s="22">
        <f>IF(ISERROR(SEARCH("nega",Tabella1[[#This Row],[Ipercolesterolemia]],1)),0,1)</f>
        <v>1</v>
      </c>
      <c r="AV311" s="22">
        <f>IF(ISERROR(SEARCH("boh",Tabella1[[#This Row],[Ipercolesterolemia]],1)),0,1)</f>
        <v>0</v>
      </c>
      <c r="AW311" s="11" t="s">
        <v>195</v>
      </c>
      <c r="AX311" s="22">
        <f>IF(ISERROR(SEARCH("Intolleranza",Tabella1[[#This Row],[Diabete]],1)),0,1)</f>
        <v>0</v>
      </c>
      <c r="AY311" s="22">
        <f>IF(ISERROR(SEARCH("si",Tabella1[[#This Row],[Diabete]],1)),0,1)</f>
        <v>0</v>
      </c>
      <c r="AZ311" s="11" t="s">
        <v>195</v>
      </c>
      <c r="BA311" s="18">
        <f>IF(ISERROR(SEARCH("NDD",Tabella1[[#This Row],[Patologia Tiroidea]],1)),0,1)</f>
        <v>0</v>
      </c>
      <c r="BB311" s="22">
        <f>IF(ISERROR(SEARCH("TIROIDITE",Tabella1[[#This Row],[Patologia Tiroidea]],1)),0,1)</f>
        <v>0</v>
      </c>
      <c r="BC311" s="22">
        <f>IF(ISERROR(SEARCH("HASHIMOTO",Tabella1[[#This Row],[Patologia Tiroidea]],1)),0,1)</f>
        <v>0</v>
      </c>
      <c r="BD311" s="22">
        <f>IF(ISERROR(SEARCH("BASEDOW",Tabella1[[#This Row],[Patologia Tiroidea]],1)),0,1)</f>
        <v>0</v>
      </c>
      <c r="BE311" s="22">
        <f>IF(ISERROR(SEARCH("NOD",Tabella1[[#This Row],[Patologia Tiroidea]],1)),0,1)</f>
        <v>0</v>
      </c>
      <c r="BF311" s="22">
        <f>IF(ISERROR(SEARCH("GOZ",Tabella1[[#This Row],[Patologia Tiroidea]],1)),0,1)</f>
        <v>0</v>
      </c>
      <c r="BG311" s="11" t="s">
        <v>516</v>
      </c>
      <c r="BH311" s="18">
        <f>IF(Tabella1[[#This Row],[Obesità]]="no",0,1)</f>
        <v>1</v>
      </c>
      <c r="BI311" s="11" t="s">
        <v>516</v>
      </c>
      <c r="BJ311" s="22">
        <f>IF(ISERROR(SEARCH("nega",Tabella1[[#This Row],[Reflusso gastroesofageo]],1)),1,0)</f>
        <v>1</v>
      </c>
      <c r="BK311" s="11" t="s">
        <v>195</v>
      </c>
      <c r="BL311" s="18">
        <f>IF(ISERROR(SEARCH("NDD",Tabella1[[#This Row],[Patologia respiratoria]],1)),0,1)</f>
        <v>0</v>
      </c>
      <c r="BM311" s="18">
        <f>IF(ISERROR(SEARCH("asma",Tabella1[[#This Row],[Patologia respiratoria]],1)),0,1)</f>
        <v>0</v>
      </c>
      <c r="BN311" s="18">
        <f>IF(ISERROR(SEARCH("BPCO",Tabella1[[#This Row],[Patologia respiratoria]],1)),0,1)</f>
        <v>0</v>
      </c>
      <c r="BO311" s="18">
        <f>IF(ISERROR(SEARCH("BRONCOPOLMONITE",Tabella1[[#This Row],[Patologia respiratoria]],1)),0,1)</f>
        <v>0</v>
      </c>
      <c r="BP311" s="18">
        <f>IF(ISERROR(SEARCH("ASMA, OSAS",Tabella1[[#This Row],[Patologia respiratoria]],1)),0,1)</f>
        <v>0</v>
      </c>
      <c r="BQ311" s="18">
        <f>IF(ISERROR(SEARCH("OSAS e BPCO",Tabella1[[#This Row],[Patologia respiratoria]],1)),0,1)</f>
        <v>0</v>
      </c>
      <c r="BR311" s="18">
        <f>IF(ISERROR(SEARCH("OSAS",Tabella1[[#This Row],[Patologia respiratoria]],1)),0,1)</f>
        <v>0</v>
      </c>
      <c r="BS311" s="11"/>
      <c r="BT311" s="11" t="s">
        <v>380</v>
      </c>
      <c r="BU311" s="11" t="s">
        <v>195</v>
      </c>
      <c r="BV311" s="18">
        <f>IF(ISERROR(SEARCH("ndd",Tabella1[[#This Row],[O2 terapia]],1)),0,1)</f>
        <v>0</v>
      </c>
      <c r="BW311" s="17">
        <v>0</v>
      </c>
      <c r="BX311" s="11"/>
      <c r="BY311" s="11" t="s">
        <v>3530</v>
      </c>
      <c r="BZ311" s="17">
        <v>1</v>
      </c>
      <c r="CA311" s="11" t="s">
        <v>516</v>
      </c>
      <c r="CB311" s="17">
        <v>1</v>
      </c>
      <c r="CC311" s="11" t="s">
        <v>516</v>
      </c>
      <c r="CD311" s="17">
        <v>1</v>
      </c>
      <c r="CE311" s="11" t="s">
        <v>195</v>
      </c>
      <c r="CF311" s="18">
        <v>0</v>
      </c>
      <c r="CG311" s="11" t="s">
        <v>516</v>
      </c>
      <c r="CH311" s="17">
        <v>1</v>
      </c>
      <c r="CI311" s="11" t="s">
        <v>516</v>
      </c>
      <c r="CJ311" s="17">
        <v>1</v>
      </c>
      <c r="CK311" s="11" t="s">
        <v>195</v>
      </c>
      <c r="CL311" s="17">
        <v>0</v>
      </c>
      <c r="CM311" s="11" t="s">
        <v>516</v>
      </c>
      <c r="CN311" s="17">
        <v>1</v>
      </c>
      <c r="CO311" s="11" t="s">
        <v>516</v>
      </c>
      <c r="CP311" s="17">
        <v>1</v>
      </c>
      <c r="CQ311" s="11" t="s">
        <v>13</v>
      </c>
      <c r="CR311" s="11" t="s">
        <v>3531</v>
      </c>
      <c r="CS311" s="11" t="s">
        <v>37</v>
      </c>
      <c r="CT311" s="11" t="s">
        <v>736</v>
      </c>
      <c r="CU311" s="11" t="s">
        <v>2653</v>
      </c>
      <c r="CV311" s="12" t="s">
        <v>3453</v>
      </c>
    </row>
    <row r="312" spans="1:100" ht="42.75">
      <c r="A312" s="1">
        <f t="shared" si="4"/>
        <v>311</v>
      </c>
      <c r="B312" s="5">
        <v>1875</v>
      </c>
      <c r="C312" s="6">
        <v>45735</v>
      </c>
      <c r="D312" s="7" t="s">
        <v>3532</v>
      </c>
      <c r="E312" s="6">
        <v>24722</v>
      </c>
      <c r="F312" s="29">
        <f ca="1">_xlfn.DAYS(NOW(),Tabella1[[#This Row],[Data di Nascita]])/365.25</f>
        <v>57.908281998631075</v>
      </c>
      <c r="G312" s="7" t="s">
        <v>3533</v>
      </c>
      <c r="H312" s="7" t="s">
        <v>3534</v>
      </c>
      <c r="I312" s="7" t="s">
        <v>3453</v>
      </c>
      <c r="J312" s="7" t="s">
        <v>211</v>
      </c>
      <c r="K312" s="7" t="s">
        <v>3330</v>
      </c>
      <c r="L312" s="17">
        <f>IF(ISERROR(SEARCH("EX",Tabella1[[#This Row],[Attività lavorativa]],1)),0,1)</f>
        <v>0</v>
      </c>
      <c r="M312" s="17"/>
      <c r="N312" s="17"/>
      <c r="O312" s="17"/>
      <c r="P312" s="17"/>
      <c r="Q312" s="17"/>
      <c r="R312" s="17"/>
      <c r="S312" s="17"/>
      <c r="T312" s="17">
        <f>IF(ISERROR(SEARCH("NDD",Tabella1[[#This Row],[Attività lavorativa]],1)),0,1)</f>
        <v>0</v>
      </c>
      <c r="U312" s="7" t="s">
        <v>3535</v>
      </c>
      <c r="V312" s="22">
        <v>30</v>
      </c>
      <c r="W312" s="22">
        <f>IF(ISERROR(SEARCH("ex",Tabella1[[#This Row],[Fumo]],1)),0,1)</f>
        <v>0</v>
      </c>
      <c r="X312" s="22">
        <f>IF(ISERROR(SEARCH("no",Tabella1[[#This Row],[Fumo]],1)),0,1)</f>
        <v>0</v>
      </c>
      <c r="Y312" s="7" t="s">
        <v>25</v>
      </c>
      <c r="Z312" s="17">
        <f>IF(ISERROR(SEARCH("NDD",Tabella1[[#This Row],[Bevitore alcolici]],1)),0,1)</f>
        <v>0</v>
      </c>
      <c r="AA312" s="17">
        <f>IF(ISERROR(SEARCH("raro",Tabella1[[#This Row],[Bevitore alcolici]],1)),0,1)</f>
        <v>0</v>
      </c>
      <c r="AB312" s="17">
        <f>IF(ISERROR(SEARCH("saltuariamente",Tabella1[[#This Row],[Bevitore alcolici]],1)),0,1)</f>
        <v>0</v>
      </c>
      <c r="AC312" s="17">
        <f>IF(ISERROR(SEARCH("nega",Tabella1[[#This Row],[Bevitore alcolici]],1)),0,1)</f>
        <v>1</v>
      </c>
      <c r="AD312" s="17">
        <f>IF(ISERROR(SEARCH("potus",Tabella1[[#This Row],[Bevitore alcolici]],1)),0,1)</f>
        <v>0</v>
      </c>
      <c r="AE312" s="7" t="s">
        <v>657</v>
      </c>
      <c r="AF312" s="17"/>
      <c r="AG312" s="17"/>
      <c r="AH312" s="17"/>
      <c r="AI312" s="17"/>
      <c r="AJ312" s="17"/>
      <c r="AK312" s="7" t="s">
        <v>28</v>
      </c>
      <c r="AL312" s="17">
        <f>IF(ISERROR(SEARCH("si",Tabella1[[#This Row],[Patente di guida]],1)),0,1)</f>
        <v>1</v>
      </c>
      <c r="AM312" s="7" t="s">
        <v>195</v>
      </c>
      <c r="AN312" s="17">
        <f>IF(ISERROR(SEARCH("no",Tabella1[[#This Row],[Ipertensione]],1)),0,1)</f>
        <v>1</v>
      </c>
      <c r="AO312" s="7" t="s">
        <v>382</v>
      </c>
      <c r="AP312" s="18">
        <f>IF(ISERROR(SEARCH("NO",Tabella1[[#This Row],[Cardiopatia ischemica]],1)),1,0)</f>
        <v>0</v>
      </c>
      <c r="AQ312" s="17">
        <f>IF(ISERROR(SEARCH("sconosciuto",Tabella1[[#This Row],[Cardiopatia ischemica]],1)),0,1)</f>
        <v>0</v>
      </c>
      <c r="AR312" s="7" t="s">
        <v>25</v>
      </c>
      <c r="AS312" s="22">
        <f>IF(ISERROR(SEARCH("nega",Tabella1[[#This Row],[Artimie]],1)),0,1)</f>
        <v>1</v>
      </c>
      <c r="AT312" s="7" t="s">
        <v>25</v>
      </c>
      <c r="AU312" s="22">
        <f>IF(ISERROR(SEARCH("nega",Tabella1[[#This Row],[Ipercolesterolemia]],1)),0,1)</f>
        <v>1</v>
      </c>
      <c r="AV312" s="22">
        <f>IF(ISERROR(SEARCH("boh",Tabella1[[#This Row],[Ipercolesterolemia]],1)),0,1)</f>
        <v>0</v>
      </c>
      <c r="AW312" s="7" t="s">
        <v>195</v>
      </c>
      <c r="AX312" s="22">
        <f>IF(ISERROR(SEARCH("Intolleranza",Tabella1[[#This Row],[Diabete]],1)),0,1)</f>
        <v>0</v>
      </c>
      <c r="AY312" s="22">
        <f>IF(ISERROR(SEARCH("si",Tabella1[[#This Row],[Diabete]],1)),0,1)</f>
        <v>0</v>
      </c>
      <c r="AZ312" s="7" t="s">
        <v>195</v>
      </c>
      <c r="BA312" s="17">
        <f>IF(ISERROR(SEARCH("NDD",Tabella1[[#This Row],[Patologia Tiroidea]],1)),0,1)</f>
        <v>0</v>
      </c>
      <c r="BB312" s="22">
        <f>IF(ISERROR(SEARCH("TIROIDITE",Tabella1[[#This Row],[Patologia Tiroidea]],1)),0,1)</f>
        <v>0</v>
      </c>
      <c r="BC312" s="22">
        <f>IF(ISERROR(SEARCH("HASHIMOTO",Tabella1[[#This Row],[Patologia Tiroidea]],1)),0,1)</f>
        <v>0</v>
      </c>
      <c r="BD312" s="22">
        <f>IF(ISERROR(SEARCH("BASEDOW",Tabella1[[#This Row],[Patologia Tiroidea]],1)),0,1)</f>
        <v>0</v>
      </c>
      <c r="BE312" s="22">
        <f>IF(ISERROR(SEARCH("NOD",Tabella1[[#This Row],[Patologia Tiroidea]],1)),0,1)</f>
        <v>0</v>
      </c>
      <c r="BF312" s="22">
        <f>IF(ISERROR(SEARCH("GOZ",Tabella1[[#This Row],[Patologia Tiroidea]],1)),0,1)</f>
        <v>0</v>
      </c>
      <c r="BG312" s="7" t="s">
        <v>8</v>
      </c>
      <c r="BH312" s="17">
        <f>IF(Tabella1[[#This Row],[Obesità]]="no",0,1)</f>
        <v>0</v>
      </c>
      <c r="BI312" s="7" t="s">
        <v>25</v>
      </c>
      <c r="BJ312" s="22">
        <f>IF(ISERROR(SEARCH("nega",Tabella1[[#This Row],[Reflusso gastroesofageo]],1)),1,0)</f>
        <v>0</v>
      </c>
      <c r="BK312" s="7" t="s">
        <v>195</v>
      </c>
      <c r="BL312" s="17">
        <f>IF(ISERROR(SEARCH("NDD",Tabella1[[#This Row],[Patologia respiratoria]],1)),0,1)</f>
        <v>0</v>
      </c>
      <c r="BM312" s="17">
        <f>IF(ISERROR(SEARCH("asma",Tabella1[[#This Row],[Patologia respiratoria]],1)),0,1)</f>
        <v>0</v>
      </c>
      <c r="BN312" s="17">
        <f>IF(ISERROR(SEARCH("BPCO",Tabella1[[#This Row],[Patologia respiratoria]],1)),0,1)</f>
        <v>0</v>
      </c>
      <c r="BO312" s="17">
        <f>IF(ISERROR(SEARCH("BRONCOPOLMONITE",Tabella1[[#This Row],[Patologia respiratoria]],1)),0,1)</f>
        <v>0</v>
      </c>
      <c r="BP312" s="17">
        <f>IF(ISERROR(SEARCH("ASMA, OSAS",Tabella1[[#This Row],[Patologia respiratoria]],1)),0,1)</f>
        <v>0</v>
      </c>
      <c r="BQ312" s="17">
        <f>IF(ISERROR(SEARCH("OSAS e BPCO",Tabella1[[#This Row],[Patologia respiratoria]],1)),0,1)</f>
        <v>0</v>
      </c>
      <c r="BR312" s="17">
        <f>IF(ISERROR(SEARCH("OSAS",Tabella1[[#This Row],[Patologia respiratoria]],1)),0,1)</f>
        <v>0</v>
      </c>
      <c r="BS312" s="7" t="s">
        <v>3536</v>
      </c>
      <c r="BT312" s="7" t="s">
        <v>380</v>
      </c>
      <c r="BU312" s="7" t="s">
        <v>195</v>
      </c>
      <c r="BV312" s="17">
        <f>IF(ISERROR(SEARCH("ndd",Tabella1[[#This Row],[O2 terapia]],1)),0,1)</f>
        <v>0</v>
      </c>
      <c r="BW312" s="17">
        <v>0</v>
      </c>
      <c r="BX312" s="7"/>
      <c r="BY312" s="7" t="s">
        <v>3537</v>
      </c>
      <c r="BZ312" s="17">
        <v>1</v>
      </c>
      <c r="CA312" s="7" t="s">
        <v>516</v>
      </c>
      <c r="CB312" s="17">
        <v>1</v>
      </c>
      <c r="CC312" s="7" t="s">
        <v>516</v>
      </c>
      <c r="CD312" s="17">
        <v>1</v>
      </c>
      <c r="CE312" s="7" t="s">
        <v>195</v>
      </c>
      <c r="CF312" s="18">
        <v>0</v>
      </c>
      <c r="CG312" s="7" t="s">
        <v>195</v>
      </c>
      <c r="CH312" s="17">
        <v>0</v>
      </c>
      <c r="CI312" s="7" t="s">
        <v>195</v>
      </c>
      <c r="CJ312" s="18">
        <v>0</v>
      </c>
      <c r="CK312" s="7" t="s">
        <v>2543</v>
      </c>
      <c r="CL312" s="17">
        <v>1</v>
      </c>
      <c r="CM312" s="7" t="s">
        <v>3448</v>
      </c>
      <c r="CN312" s="17">
        <v>1</v>
      </c>
      <c r="CO312" s="7" t="s">
        <v>2365</v>
      </c>
      <c r="CP312" s="17">
        <v>1</v>
      </c>
      <c r="CQ312" s="7" t="s">
        <v>69</v>
      </c>
      <c r="CR312" s="7" t="s">
        <v>2357</v>
      </c>
      <c r="CS312" s="7" t="s">
        <v>37</v>
      </c>
      <c r="CT312" s="7" t="s">
        <v>1444</v>
      </c>
      <c r="CU312" s="7" t="s">
        <v>3538</v>
      </c>
      <c r="CV312" s="8" t="s">
        <v>3453</v>
      </c>
    </row>
    <row r="313" spans="1:100" ht="50.45" customHeight="1">
      <c r="A313" s="1">
        <f t="shared" si="4"/>
        <v>312</v>
      </c>
      <c r="B313" s="9">
        <v>1878</v>
      </c>
      <c r="C313" s="10">
        <v>45735</v>
      </c>
      <c r="D313" s="11" t="s">
        <v>3539</v>
      </c>
      <c r="E313" s="10">
        <v>22109</v>
      </c>
      <c r="F313" s="29">
        <f ca="1">_xlfn.DAYS(NOW(),Tabella1[[#This Row],[Data di Nascita]])/365.25</f>
        <v>65.062286105407253</v>
      </c>
      <c r="G313" s="11" t="s">
        <v>3540</v>
      </c>
      <c r="H313" s="11" t="s">
        <v>3541</v>
      </c>
      <c r="I313" s="11" t="s">
        <v>3453</v>
      </c>
      <c r="J313" s="11" t="s">
        <v>3454</v>
      </c>
      <c r="K313" s="11" t="s">
        <v>3542</v>
      </c>
      <c r="L313" s="18">
        <f>IF(ISERROR(SEARCH("EX",Tabella1[[#This Row],[Attività lavorativa]],1)),0,1)</f>
        <v>0</v>
      </c>
      <c r="M313" s="18"/>
      <c r="N313" s="18"/>
      <c r="O313" s="18"/>
      <c r="P313" s="18"/>
      <c r="Q313" s="18"/>
      <c r="R313" s="18"/>
      <c r="S313" s="18"/>
      <c r="T313" s="17">
        <f>IF(ISERROR(SEARCH("NDD",Tabella1[[#This Row],[Attività lavorativa]],1)),0,1)</f>
        <v>0</v>
      </c>
      <c r="U313" s="11" t="s">
        <v>3543</v>
      </c>
      <c r="V313" s="22">
        <v>100</v>
      </c>
      <c r="W313" s="22">
        <f>IF(ISERROR(SEARCH("ex",Tabella1[[#This Row],[Fumo]],1)),0,1)</f>
        <v>0</v>
      </c>
      <c r="X313" s="22">
        <f>IF(ISERROR(SEARCH("no",Tabella1[[#This Row],[Fumo]],1)),0,1)</f>
        <v>0</v>
      </c>
      <c r="Y313" s="11" t="s">
        <v>3473</v>
      </c>
      <c r="Z313" s="18">
        <f>IF(ISERROR(SEARCH("NDD",Tabella1[[#This Row],[Bevitore alcolici]],1)),0,1)</f>
        <v>0</v>
      </c>
      <c r="AA313" s="17">
        <f>IF(ISERROR(SEARCH("raro",Tabella1[[#This Row],[Bevitore alcolici]],1)),0,1)</f>
        <v>0</v>
      </c>
      <c r="AB313" s="17">
        <f>IF(ISERROR(SEARCH("saltuariamente",Tabella1[[#This Row],[Bevitore alcolici]],1)),0,1)</f>
        <v>0</v>
      </c>
      <c r="AC313" s="17">
        <f>IF(ISERROR(SEARCH("nega",Tabella1[[#This Row],[Bevitore alcolici]],1)),0,1)</f>
        <v>0</v>
      </c>
      <c r="AD313" s="17">
        <f>IF(ISERROR(SEARCH("potus",Tabella1[[#This Row],[Bevitore alcolici]],1)),0,1)</f>
        <v>1</v>
      </c>
      <c r="AE313" s="11" t="s">
        <v>3544</v>
      </c>
      <c r="AF313" s="18"/>
      <c r="AG313" s="18"/>
      <c r="AH313" s="18">
        <v>1</v>
      </c>
      <c r="AI313" s="18"/>
      <c r="AJ313" s="18"/>
      <c r="AK313" s="11" t="s">
        <v>28</v>
      </c>
      <c r="AL313" s="18">
        <f>IF(ISERROR(SEARCH("si",Tabella1[[#This Row],[Patente di guida]],1)),0,1)</f>
        <v>1</v>
      </c>
      <c r="AM313" s="11" t="s">
        <v>28</v>
      </c>
      <c r="AN313" s="18">
        <f>IF(ISERROR(SEARCH("no",Tabella1[[#This Row],[Ipertensione]],1)),0,1)</f>
        <v>0</v>
      </c>
      <c r="AO313" s="11" t="s">
        <v>516</v>
      </c>
      <c r="AP313" s="18">
        <f>IF(ISERROR(SEARCH("NO",Tabella1[[#This Row],[Cardiopatia ischemica]],1)),1,0)</f>
        <v>1</v>
      </c>
      <c r="AQ313" s="17">
        <f>IF(ISERROR(SEARCH("sconosciuto",Tabella1[[#This Row],[Cardiopatia ischemica]],1)),0,1)</f>
        <v>0</v>
      </c>
      <c r="AR313" s="11" t="s">
        <v>25</v>
      </c>
      <c r="AS313" s="22">
        <f>IF(ISERROR(SEARCH("nega",Tabella1[[#This Row],[Artimie]],1)),0,1)</f>
        <v>1</v>
      </c>
      <c r="AT313" s="11" t="s">
        <v>516</v>
      </c>
      <c r="AU313" s="22">
        <f>IF(ISERROR(SEARCH("nega",Tabella1[[#This Row],[Ipercolesterolemia]],1)),0,1)</f>
        <v>0</v>
      </c>
      <c r="AV313" s="22">
        <f>IF(ISERROR(SEARCH("boh",Tabella1[[#This Row],[Ipercolesterolemia]],1)),0,1)</f>
        <v>0</v>
      </c>
      <c r="AW313" s="11" t="s">
        <v>28</v>
      </c>
      <c r="AX313" s="22">
        <f>IF(ISERROR(SEARCH("Intolleranza",Tabella1[[#This Row],[Diabete]],1)),0,1)</f>
        <v>0</v>
      </c>
      <c r="AY313" s="22">
        <f>IF(ISERROR(SEARCH("si",Tabella1[[#This Row],[Diabete]],1)),0,1)</f>
        <v>1</v>
      </c>
      <c r="AZ313" s="11" t="s">
        <v>195</v>
      </c>
      <c r="BA313" s="18">
        <f>IF(ISERROR(SEARCH("NDD",Tabella1[[#This Row],[Patologia Tiroidea]],1)),0,1)</f>
        <v>0</v>
      </c>
      <c r="BB313" s="22">
        <f>IF(ISERROR(SEARCH("TIROIDITE",Tabella1[[#This Row],[Patologia Tiroidea]],1)),0,1)</f>
        <v>0</v>
      </c>
      <c r="BC313" s="22">
        <f>IF(ISERROR(SEARCH("HASHIMOTO",Tabella1[[#This Row],[Patologia Tiroidea]],1)),0,1)</f>
        <v>0</v>
      </c>
      <c r="BD313" s="22">
        <f>IF(ISERROR(SEARCH("BASEDOW",Tabella1[[#This Row],[Patologia Tiroidea]],1)),0,1)</f>
        <v>0</v>
      </c>
      <c r="BE313" s="22">
        <f>IF(ISERROR(SEARCH("NOD",Tabella1[[#This Row],[Patologia Tiroidea]],1)),0,1)</f>
        <v>0</v>
      </c>
      <c r="BF313" s="22">
        <f>IF(ISERROR(SEARCH("GOZ",Tabella1[[#This Row],[Patologia Tiroidea]],1)),0,1)</f>
        <v>0</v>
      </c>
      <c r="BG313" s="11" t="s">
        <v>516</v>
      </c>
      <c r="BH313" s="18">
        <f>IF(Tabella1[[#This Row],[Obesità]]="no",0,1)</f>
        <v>1</v>
      </c>
      <c r="BI313" s="11" t="s">
        <v>516</v>
      </c>
      <c r="BJ313" s="22">
        <f>IF(ISERROR(SEARCH("nega",Tabella1[[#This Row],[Reflusso gastroesofageo]],1)),1,0)</f>
        <v>1</v>
      </c>
      <c r="BK313" s="11" t="s">
        <v>195</v>
      </c>
      <c r="BL313" s="18">
        <f>IF(ISERROR(SEARCH("NDD",Tabella1[[#This Row],[Patologia respiratoria]],1)),0,1)</f>
        <v>0</v>
      </c>
      <c r="BM313" s="18">
        <f>IF(ISERROR(SEARCH("asma",Tabella1[[#This Row],[Patologia respiratoria]],1)),0,1)</f>
        <v>0</v>
      </c>
      <c r="BN313" s="18">
        <f>IF(ISERROR(SEARCH("BPCO",Tabella1[[#This Row],[Patologia respiratoria]],1)),0,1)</f>
        <v>0</v>
      </c>
      <c r="BO313" s="18">
        <f>IF(ISERROR(SEARCH("BRONCOPOLMONITE",Tabella1[[#This Row],[Patologia respiratoria]],1)),0,1)</f>
        <v>0</v>
      </c>
      <c r="BP313" s="18">
        <f>IF(ISERROR(SEARCH("ASMA, OSAS",Tabella1[[#This Row],[Patologia respiratoria]],1)),0,1)</f>
        <v>0</v>
      </c>
      <c r="BQ313" s="18">
        <f>IF(ISERROR(SEARCH("OSAS e BPCO",Tabella1[[#This Row],[Patologia respiratoria]],1)),0,1)</f>
        <v>0</v>
      </c>
      <c r="BR313" s="18">
        <f>IF(ISERROR(SEARCH("OSAS",Tabella1[[#This Row],[Patologia respiratoria]],1)),0,1)</f>
        <v>0</v>
      </c>
      <c r="BS313" s="11"/>
      <c r="BT313" s="11" t="s">
        <v>3545</v>
      </c>
      <c r="BU313" s="11" t="s">
        <v>3546</v>
      </c>
      <c r="BV313" s="18">
        <f>IF(ISERROR(SEARCH("ndd",Tabella1[[#This Row],[O2 terapia]],1)),0,1)</f>
        <v>0</v>
      </c>
      <c r="BW313" s="17">
        <v>0</v>
      </c>
      <c r="BX313" s="11"/>
      <c r="BY313" s="11" t="s">
        <v>195</v>
      </c>
      <c r="BZ313" s="18">
        <v>0</v>
      </c>
      <c r="CA313" s="11" t="s">
        <v>195</v>
      </c>
      <c r="CB313" s="17">
        <v>0</v>
      </c>
      <c r="CC313" s="11" t="s">
        <v>516</v>
      </c>
      <c r="CD313" s="17">
        <v>1</v>
      </c>
      <c r="CE313" s="11" t="s">
        <v>516</v>
      </c>
      <c r="CF313" s="17">
        <v>1</v>
      </c>
      <c r="CG313" s="11" t="s">
        <v>195</v>
      </c>
      <c r="CH313" s="17">
        <v>0</v>
      </c>
      <c r="CI313" s="11" t="s">
        <v>516</v>
      </c>
      <c r="CJ313" s="17">
        <v>1</v>
      </c>
      <c r="CK313" s="11" t="s">
        <v>2585</v>
      </c>
      <c r="CL313" s="17">
        <v>1</v>
      </c>
      <c r="CM313" s="11" t="s">
        <v>195</v>
      </c>
      <c r="CN313" s="17">
        <v>0</v>
      </c>
      <c r="CO313" s="11" t="s">
        <v>195</v>
      </c>
      <c r="CP313" s="18">
        <v>0</v>
      </c>
      <c r="CQ313" s="11" t="s">
        <v>202</v>
      </c>
      <c r="CR313" s="11" t="s">
        <v>55</v>
      </c>
      <c r="CS313" s="11" t="s">
        <v>71</v>
      </c>
      <c r="CT313" s="11" t="s">
        <v>169</v>
      </c>
      <c r="CU313" s="11" t="s">
        <v>1165</v>
      </c>
      <c r="CV313" s="12" t="s">
        <v>3453</v>
      </c>
    </row>
    <row r="314" spans="1:100" ht="42.75">
      <c r="A314" s="1">
        <f t="shared" si="4"/>
        <v>313</v>
      </c>
      <c r="B314" s="5">
        <v>1882</v>
      </c>
      <c r="C314" s="6">
        <v>45737</v>
      </c>
      <c r="D314" s="7" t="s">
        <v>3547</v>
      </c>
      <c r="E314" s="6">
        <v>20694</v>
      </c>
      <c r="F314" s="29">
        <f ca="1">_xlfn.DAYS(NOW(),Tabella1[[#This Row],[Data di Nascita]])/365.25</f>
        <v>68.936344969199183</v>
      </c>
      <c r="G314" s="7" t="s">
        <v>3548</v>
      </c>
      <c r="H314" s="7" t="s">
        <v>3549</v>
      </c>
      <c r="I314" s="7" t="s">
        <v>3453</v>
      </c>
      <c r="J314" s="7" t="s">
        <v>211</v>
      </c>
      <c r="K314" s="7" t="s">
        <v>345</v>
      </c>
      <c r="L314" s="17">
        <f>IF(ISERROR(SEARCH("EX",Tabella1[[#This Row],[Attività lavorativa]],1)),0,1)</f>
        <v>0</v>
      </c>
      <c r="M314" s="17"/>
      <c r="N314" s="17"/>
      <c r="O314" s="17"/>
      <c r="P314" s="18">
        <v>1</v>
      </c>
      <c r="Q314" s="17"/>
      <c r="R314" s="17"/>
      <c r="S314" s="17"/>
      <c r="T314" s="17">
        <f>IF(ISERROR(SEARCH("NDD",Tabella1[[#This Row],[Attività lavorativa]],1)),0,1)</f>
        <v>0</v>
      </c>
      <c r="U314" s="7" t="s">
        <v>8</v>
      </c>
      <c r="V314" s="22"/>
      <c r="W314" s="22">
        <f>IF(ISERROR(SEARCH("ex",Tabella1[[#This Row],[Fumo]],1)),0,1)</f>
        <v>0</v>
      </c>
      <c r="X314" s="22">
        <f>IF(ISERROR(SEARCH("no",Tabella1[[#This Row],[Fumo]],1)),0,1)</f>
        <v>1</v>
      </c>
      <c r="Y314" s="7" t="s">
        <v>3550</v>
      </c>
      <c r="Z314" s="17">
        <f>IF(ISERROR(SEARCH("NDD",Tabella1[[#This Row],[Bevitore alcolici]],1)),0,1)</f>
        <v>0</v>
      </c>
      <c r="AA314" s="17">
        <f>IF(ISERROR(SEARCH("raro",Tabella1[[#This Row],[Bevitore alcolici]],1)),0,1)</f>
        <v>0</v>
      </c>
      <c r="AB314" s="17">
        <f>IF(ISERROR(SEARCH("saltuariamente",Tabella1[[#This Row],[Bevitore alcolici]],1)),0,1)</f>
        <v>0</v>
      </c>
      <c r="AC314" s="17">
        <f>IF(ISERROR(SEARCH("nega",Tabella1[[#This Row],[Bevitore alcolici]],1)),0,1)</f>
        <v>0</v>
      </c>
      <c r="AD314" s="17">
        <f>IF(ISERROR(SEARCH("potus",Tabella1[[#This Row],[Bevitore alcolici]],1)),0,1)</f>
        <v>0</v>
      </c>
      <c r="AE314" s="7" t="s">
        <v>3551</v>
      </c>
      <c r="AF314" s="17"/>
      <c r="AG314" s="18">
        <v>1</v>
      </c>
      <c r="AH314" s="18"/>
      <c r="AI314" s="18"/>
      <c r="AJ314" s="18"/>
      <c r="AK314" s="7" t="s">
        <v>195</v>
      </c>
      <c r="AL314" s="17">
        <f>IF(ISERROR(SEARCH("si",Tabella1[[#This Row],[Patente di guida]],1)),0,1)</f>
        <v>0</v>
      </c>
      <c r="AM314" s="7" t="s">
        <v>28</v>
      </c>
      <c r="AN314" s="17">
        <f>IF(ISERROR(SEARCH("no",Tabella1[[#This Row],[Ipertensione]],1)),0,1)</f>
        <v>0</v>
      </c>
      <c r="AO314" s="7" t="s">
        <v>516</v>
      </c>
      <c r="AP314" s="18">
        <f>IF(ISERROR(SEARCH("NO",Tabella1[[#This Row],[Cardiopatia ischemica]],1)),1,0)</f>
        <v>1</v>
      </c>
      <c r="AQ314" s="17">
        <f>IF(ISERROR(SEARCH("sconosciuto",Tabella1[[#This Row],[Cardiopatia ischemica]],1)),0,1)</f>
        <v>0</v>
      </c>
      <c r="AR314" s="7" t="s">
        <v>25</v>
      </c>
      <c r="AS314" s="22">
        <f>IF(ISERROR(SEARCH("nega",Tabella1[[#This Row],[Artimie]],1)),0,1)</f>
        <v>1</v>
      </c>
      <c r="AT314" s="7" t="s">
        <v>516</v>
      </c>
      <c r="AU314" s="22">
        <f>IF(ISERROR(SEARCH("nega",Tabella1[[#This Row],[Ipercolesterolemia]],1)),0,1)</f>
        <v>0</v>
      </c>
      <c r="AV314" s="22">
        <f>IF(ISERROR(SEARCH("boh",Tabella1[[#This Row],[Ipercolesterolemia]],1)),0,1)</f>
        <v>0</v>
      </c>
      <c r="AW314" s="7" t="s">
        <v>195</v>
      </c>
      <c r="AX314" s="22">
        <f>IF(ISERROR(SEARCH("Intolleranza",Tabella1[[#This Row],[Diabete]],1)),0,1)</f>
        <v>0</v>
      </c>
      <c r="AY314" s="22">
        <f>IF(ISERROR(SEARCH("si",Tabella1[[#This Row],[Diabete]],1)),0,1)</f>
        <v>0</v>
      </c>
      <c r="AZ314" s="7" t="s">
        <v>195</v>
      </c>
      <c r="BA314" s="17">
        <f>IF(ISERROR(SEARCH("NDD",Tabella1[[#This Row],[Patologia Tiroidea]],1)),0,1)</f>
        <v>0</v>
      </c>
      <c r="BB314" s="22">
        <f>IF(ISERROR(SEARCH("TIROIDITE",Tabella1[[#This Row],[Patologia Tiroidea]],1)),0,1)</f>
        <v>0</v>
      </c>
      <c r="BC314" s="22">
        <f>IF(ISERROR(SEARCH("HASHIMOTO",Tabella1[[#This Row],[Patologia Tiroidea]],1)),0,1)</f>
        <v>0</v>
      </c>
      <c r="BD314" s="22">
        <f>IF(ISERROR(SEARCH("BASEDOW",Tabella1[[#This Row],[Patologia Tiroidea]],1)),0,1)</f>
        <v>0</v>
      </c>
      <c r="BE314" s="22">
        <f>IF(ISERROR(SEARCH("NOD",Tabella1[[#This Row],[Patologia Tiroidea]],1)),0,1)</f>
        <v>0</v>
      </c>
      <c r="BF314" s="22">
        <f>IF(ISERROR(SEARCH("GOZ",Tabella1[[#This Row],[Patologia Tiroidea]],1)),0,1)</f>
        <v>0</v>
      </c>
      <c r="BG314" s="7" t="s">
        <v>8</v>
      </c>
      <c r="BH314" s="17">
        <f>IF(Tabella1[[#This Row],[Obesità]]="no",0,1)</f>
        <v>0</v>
      </c>
      <c r="BI314" s="7" t="s">
        <v>516</v>
      </c>
      <c r="BJ314" s="22">
        <f>IF(ISERROR(SEARCH("nega",Tabella1[[#This Row],[Reflusso gastroesofageo]],1)),1,0)</f>
        <v>1</v>
      </c>
      <c r="BK314" s="7" t="s">
        <v>195</v>
      </c>
      <c r="BL314" s="17">
        <f>IF(ISERROR(SEARCH("NDD",Tabella1[[#This Row],[Patologia respiratoria]],1)),0,1)</f>
        <v>0</v>
      </c>
      <c r="BM314" s="17">
        <f>IF(ISERROR(SEARCH("asma",Tabella1[[#This Row],[Patologia respiratoria]],1)),0,1)</f>
        <v>0</v>
      </c>
      <c r="BN314" s="17">
        <f>IF(ISERROR(SEARCH("BPCO",Tabella1[[#This Row],[Patologia respiratoria]],1)),0,1)</f>
        <v>0</v>
      </c>
      <c r="BO314" s="17">
        <f>IF(ISERROR(SEARCH("BRONCOPOLMONITE",Tabella1[[#This Row],[Patologia respiratoria]],1)),0,1)</f>
        <v>0</v>
      </c>
      <c r="BP314" s="17">
        <f>IF(ISERROR(SEARCH("ASMA, OSAS",Tabella1[[#This Row],[Patologia respiratoria]],1)),0,1)</f>
        <v>0</v>
      </c>
      <c r="BQ314" s="17">
        <f>IF(ISERROR(SEARCH("OSAS e BPCO",Tabella1[[#This Row],[Patologia respiratoria]],1)),0,1)</f>
        <v>0</v>
      </c>
      <c r="BR314" s="17">
        <f>IF(ISERROR(SEARCH("OSAS",Tabella1[[#This Row],[Patologia respiratoria]],1)),0,1)</f>
        <v>0</v>
      </c>
      <c r="BS314" s="7" t="s">
        <v>3552</v>
      </c>
      <c r="BT314" s="7" t="s">
        <v>3553</v>
      </c>
      <c r="BU314" s="7" t="s">
        <v>195</v>
      </c>
      <c r="BV314" s="17">
        <f>IF(ISERROR(SEARCH("ndd",Tabella1[[#This Row],[O2 terapia]],1)),0,1)</f>
        <v>0</v>
      </c>
      <c r="BW314" s="17">
        <v>0</v>
      </c>
      <c r="BX314" s="7"/>
      <c r="BY314" s="7" t="s">
        <v>195</v>
      </c>
      <c r="BZ314" s="18">
        <v>0</v>
      </c>
      <c r="CA314" s="7" t="s">
        <v>516</v>
      </c>
      <c r="CB314" s="17">
        <v>1</v>
      </c>
      <c r="CC314" s="7" t="s">
        <v>516</v>
      </c>
      <c r="CD314" s="17">
        <v>1</v>
      </c>
      <c r="CE314" s="7" t="s">
        <v>195</v>
      </c>
      <c r="CF314" s="18">
        <v>0</v>
      </c>
      <c r="CG314" s="7" t="s">
        <v>516</v>
      </c>
      <c r="CH314" s="17">
        <v>1</v>
      </c>
      <c r="CI314" s="7" t="s">
        <v>516</v>
      </c>
      <c r="CJ314" s="17">
        <v>1</v>
      </c>
      <c r="CK314" s="7" t="s">
        <v>3554</v>
      </c>
      <c r="CL314" s="17">
        <v>1</v>
      </c>
      <c r="CM314" s="7" t="s">
        <v>195</v>
      </c>
      <c r="CN314" s="17">
        <v>0</v>
      </c>
      <c r="CO314" s="7" t="s">
        <v>2365</v>
      </c>
      <c r="CP314" s="17">
        <v>1</v>
      </c>
      <c r="CQ314" s="7" t="s">
        <v>85</v>
      </c>
      <c r="CR314" s="7" t="s">
        <v>3372</v>
      </c>
      <c r="CS314" s="7" t="s">
        <v>105</v>
      </c>
      <c r="CT314" s="7" t="s">
        <v>405</v>
      </c>
      <c r="CU314" s="7" t="s">
        <v>2514</v>
      </c>
      <c r="CV314" s="8" t="s">
        <v>3453</v>
      </c>
    </row>
    <row r="315" spans="1:100" ht="42.75">
      <c r="A315" s="1">
        <f t="shared" si="4"/>
        <v>314</v>
      </c>
      <c r="B315" s="9">
        <v>1884</v>
      </c>
      <c r="C315" s="10">
        <v>45737</v>
      </c>
      <c r="D315" s="11" t="s">
        <v>3555</v>
      </c>
      <c r="E315" s="10">
        <v>21511</v>
      </c>
      <c r="F315" s="29">
        <f ca="1">_xlfn.DAYS(NOW(),Tabella1[[#This Row],[Data di Nascita]])/365.25</f>
        <v>66.699520876112246</v>
      </c>
      <c r="G315" s="11" t="s">
        <v>3556</v>
      </c>
      <c r="H315" s="11" t="s">
        <v>3557</v>
      </c>
      <c r="I315" s="11" t="s">
        <v>3453</v>
      </c>
      <c r="J315" s="11" t="s">
        <v>211</v>
      </c>
      <c r="K315" s="11" t="s">
        <v>3558</v>
      </c>
      <c r="L315" s="18">
        <f>IF(ISERROR(SEARCH("EX",Tabella1[[#This Row],[Attività lavorativa]],1)),0,1)</f>
        <v>0</v>
      </c>
      <c r="M315" s="18"/>
      <c r="N315" s="18"/>
      <c r="O315" s="18"/>
      <c r="P315" s="18"/>
      <c r="Q315" s="18">
        <v>1</v>
      </c>
      <c r="R315" s="18"/>
      <c r="S315" s="18"/>
      <c r="T315" s="17">
        <f>IF(ISERROR(SEARCH("NDD",Tabella1[[#This Row],[Attività lavorativa]],1)),0,1)</f>
        <v>0</v>
      </c>
      <c r="U315" s="11" t="s">
        <v>8</v>
      </c>
      <c r="V315" s="22"/>
      <c r="W315" s="22">
        <f>IF(ISERROR(SEARCH("ex",Tabella1[[#This Row],[Fumo]],1)),0,1)</f>
        <v>0</v>
      </c>
      <c r="X315" s="22">
        <f>IF(ISERROR(SEARCH("no",Tabella1[[#This Row],[Fumo]],1)),0,1)</f>
        <v>1</v>
      </c>
      <c r="Y315" s="11" t="s">
        <v>25</v>
      </c>
      <c r="Z315" s="18">
        <f>IF(ISERROR(SEARCH("NDD",Tabella1[[#This Row],[Bevitore alcolici]],1)),0,1)</f>
        <v>0</v>
      </c>
      <c r="AA315" s="17">
        <f>IF(ISERROR(SEARCH("raro",Tabella1[[#This Row],[Bevitore alcolici]],1)),0,1)</f>
        <v>0</v>
      </c>
      <c r="AB315" s="17">
        <f>IF(ISERROR(SEARCH("saltuariamente",Tabella1[[#This Row],[Bevitore alcolici]],1)),0,1)</f>
        <v>0</v>
      </c>
      <c r="AC315" s="17">
        <f>IF(ISERROR(SEARCH("nega",Tabella1[[#This Row],[Bevitore alcolici]],1)),0,1)</f>
        <v>1</v>
      </c>
      <c r="AD315" s="17">
        <f>IF(ISERROR(SEARCH("potus",Tabella1[[#This Row],[Bevitore alcolici]],1)),0,1)</f>
        <v>0</v>
      </c>
      <c r="AE315" s="11" t="s">
        <v>657</v>
      </c>
      <c r="AF315" s="18"/>
      <c r="AG315" s="18"/>
      <c r="AH315" s="18"/>
      <c r="AI315" s="18"/>
      <c r="AJ315" s="18"/>
      <c r="AK315" s="11" t="s">
        <v>28</v>
      </c>
      <c r="AL315" s="18">
        <f>IF(ISERROR(SEARCH("si",Tabella1[[#This Row],[Patente di guida]],1)),0,1)</f>
        <v>1</v>
      </c>
      <c r="AM315" s="11" t="s">
        <v>28</v>
      </c>
      <c r="AN315" s="18">
        <f>IF(ISERROR(SEARCH("no",Tabella1[[#This Row],[Ipertensione]],1)),0,1)</f>
        <v>0</v>
      </c>
      <c r="AO315" s="11" t="s">
        <v>382</v>
      </c>
      <c r="AP315" s="18">
        <f>IF(ISERROR(SEARCH("NO",Tabella1[[#This Row],[Cardiopatia ischemica]],1)),1,0)</f>
        <v>0</v>
      </c>
      <c r="AQ315" s="17">
        <f>IF(ISERROR(SEARCH("sconosciuto",Tabella1[[#This Row],[Cardiopatia ischemica]],1)),0,1)</f>
        <v>0</v>
      </c>
      <c r="AR315" s="11" t="s">
        <v>25</v>
      </c>
      <c r="AS315" s="22">
        <f>IF(ISERROR(SEARCH("nega",Tabella1[[#This Row],[Artimie]],1)),0,1)</f>
        <v>1</v>
      </c>
      <c r="AT315" s="11" t="s">
        <v>25</v>
      </c>
      <c r="AU315" s="22">
        <f>IF(ISERROR(SEARCH("nega",Tabella1[[#This Row],[Ipercolesterolemia]],1)),0,1)</f>
        <v>1</v>
      </c>
      <c r="AV315" s="22">
        <f>IF(ISERROR(SEARCH("boh",Tabella1[[#This Row],[Ipercolesterolemia]],1)),0,1)</f>
        <v>0</v>
      </c>
      <c r="AW315" s="11" t="s">
        <v>195</v>
      </c>
      <c r="AX315" s="22">
        <f>IF(ISERROR(SEARCH("Intolleranza",Tabella1[[#This Row],[Diabete]],1)),0,1)</f>
        <v>0</v>
      </c>
      <c r="AY315" s="22">
        <f>IF(ISERROR(SEARCH("si",Tabella1[[#This Row],[Diabete]],1)),0,1)</f>
        <v>0</v>
      </c>
      <c r="AZ315" s="11" t="s">
        <v>195</v>
      </c>
      <c r="BA315" s="18">
        <f>IF(ISERROR(SEARCH("NDD",Tabella1[[#This Row],[Patologia Tiroidea]],1)),0,1)</f>
        <v>0</v>
      </c>
      <c r="BB315" s="22">
        <f>IF(ISERROR(SEARCH("TIROIDITE",Tabella1[[#This Row],[Patologia Tiroidea]],1)),0,1)</f>
        <v>0</v>
      </c>
      <c r="BC315" s="22">
        <f>IF(ISERROR(SEARCH("HASHIMOTO",Tabella1[[#This Row],[Patologia Tiroidea]],1)),0,1)</f>
        <v>0</v>
      </c>
      <c r="BD315" s="22">
        <f>IF(ISERROR(SEARCH("BASEDOW",Tabella1[[#This Row],[Patologia Tiroidea]],1)),0,1)</f>
        <v>0</v>
      </c>
      <c r="BE315" s="22">
        <f>IF(ISERROR(SEARCH("NOD",Tabella1[[#This Row],[Patologia Tiroidea]],1)),0,1)</f>
        <v>0</v>
      </c>
      <c r="BF315" s="22">
        <f>IF(ISERROR(SEARCH("GOZ",Tabella1[[#This Row],[Patologia Tiroidea]],1)),0,1)</f>
        <v>0</v>
      </c>
      <c r="BG315" s="11" t="s">
        <v>516</v>
      </c>
      <c r="BH315" s="18">
        <f>IF(Tabella1[[#This Row],[Obesità]]="no",0,1)</f>
        <v>1</v>
      </c>
      <c r="BI315" s="11" t="s">
        <v>25</v>
      </c>
      <c r="BJ315" s="22">
        <f>IF(ISERROR(SEARCH("nega",Tabella1[[#This Row],[Reflusso gastroesofageo]],1)),1,0)</f>
        <v>0</v>
      </c>
      <c r="BK315" s="11" t="s">
        <v>195</v>
      </c>
      <c r="BL315" s="18">
        <f>IF(ISERROR(SEARCH("NDD",Tabella1[[#This Row],[Patologia respiratoria]],1)),0,1)</f>
        <v>0</v>
      </c>
      <c r="BM315" s="18">
        <f>IF(ISERROR(SEARCH("asma",Tabella1[[#This Row],[Patologia respiratoria]],1)),0,1)</f>
        <v>0</v>
      </c>
      <c r="BN315" s="18">
        <f>IF(ISERROR(SEARCH("BPCO",Tabella1[[#This Row],[Patologia respiratoria]],1)),0,1)</f>
        <v>0</v>
      </c>
      <c r="BO315" s="18">
        <f>IF(ISERROR(SEARCH("BRONCOPOLMONITE",Tabella1[[#This Row],[Patologia respiratoria]],1)),0,1)</f>
        <v>0</v>
      </c>
      <c r="BP315" s="18">
        <f>IF(ISERROR(SEARCH("ASMA, OSAS",Tabella1[[#This Row],[Patologia respiratoria]],1)),0,1)</f>
        <v>0</v>
      </c>
      <c r="BQ315" s="18">
        <f>IF(ISERROR(SEARCH("OSAS e BPCO",Tabella1[[#This Row],[Patologia respiratoria]],1)),0,1)</f>
        <v>0</v>
      </c>
      <c r="BR315" s="18">
        <f>IF(ISERROR(SEARCH("OSAS",Tabella1[[#This Row],[Patologia respiratoria]],1)),0,1)</f>
        <v>0</v>
      </c>
      <c r="BS315" s="11"/>
      <c r="BT315" s="11" t="s">
        <v>3559</v>
      </c>
      <c r="BU315" s="11" t="s">
        <v>195</v>
      </c>
      <c r="BV315" s="18">
        <f>IF(ISERROR(SEARCH("ndd",Tabella1[[#This Row],[O2 terapia]],1)),0,1)</f>
        <v>0</v>
      </c>
      <c r="BW315" s="17">
        <v>0</v>
      </c>
      <c r="BX315" s="11"/>
      <c r="BY315" s="11" t="s">
        <v>195</v>
      </c>
      <c r="BZ315" s="18">
        <v>0</v>
      </c>
      <c r="CA315" s="11" t="s">
        <v>195</v>
      </c>
      <c r="CB315" s="17">
        <v>0</v>
      </c>
      <c r="CC315" s="11" t="s">
        <v>516</v>
      </c>
      <c r="CD315" s="17">
        <v>1</v>
      </c>
      <c r="CE315" s="11" t="s">
        <v>195</v>
      </c>
      <c r="CF315" s="18">
        <v>0</v>
      </c>
      <c r="CG315" s="11" t="s">
        <v>516</v>
      </c>
      <c r="CH315" s="17">
        <v>1</v>
      </c>
      <c r="CI315" s="11" t="s">
        <v>516</v>
      </c>
      <c r="CJ315" s="17">
        <v>1</v>
      </c>
      <c r="CK315" s="11" t="s">
        <v>2585</v>
      </c>
      <c r="CL315" s="17">
        <v>1</v>
      </c>
      <c r="CM315" s="11" t="s">
        <v>195</v>
      </c>
      <c r="CN315" s="17">
        <v>0</v>
      </c>
      <c r="CO315" s="11" t="s">
        <v>2365</v>
      </c>
      <c r="CP315" s="17">
        <v>1</v>
      </c>
      <c r="CQ315" s="11" t="s">
        <v>202</v>
      </c>
      <c r="CR315" s="11" t="s">
        <v>3348</v>
      </c>
      <c r="CS315" s="11" t="s">
        <v>105</v>
      </c>
      <c r="CT315" s="11" t="s">
        <v>262</v>
      </c>
      <c r="CU315" s="11" t="s">
        <v>1165</v>
      </c>
      <c r="CV315" s="12" t="s">
        <v>3453</v>
      </c>
    </row>
    <row r="316" spans="1:100" ht="256.5">
      <c r="A316" s="1">
        <f t="shared" si="4"/>
        <v>315</v>
      </c>
      <c r="B316" s="5">
        <v>1886</v>
      </c>
      <c r="C316" s="6">
        <v>45740</v>
      </c>
      <c r="D316" s="7" t="s">
        <v>3560</v>
      </c>
      <c r="E316" s="6">
        <v>20938</v>
      </c>
      <c r="F316" s="29">
        <f ca="1">_xlfn.DAYS(NOW(),Tabella1[[#This Row],[Data di Nascita]])/365.25</f>
        <v>68.268309377138948</v>
      </c>
      <c r="G316" s="7" t="s">
        <v>3561</v>
      </c>
      <c r="H316" s="7" t="s">
        <v>3562</v>
      </c>
      <c r="I316" s="7" t="s">
        <v>3453</v>
      </c>
      <c r="J316" s="7" t="s">
        <v>211</v>
      </c>
      <c r="K316" s="7" t="s">
        <v>5628</v>
      </c>
      <c r="L316" s="17">
        <f>IF(ISERROR(SEARCH("EX",Tabella1[[#This Row],[Attività lavorativa]],1)),0,1)</f>
        <v>1</v>
      </c>
      <c r="M316" s="17"/>
      <c r="N316" s="17"/>
      <c r="O316" s="17"/>
      <c r="P316" s="17"/>
      <c r="Q316" s="17"/>
      <c r="R316" s="17">
        <v>1</v>
      </c>
      <c r="S316" s="17"/>
      <c r="T316" s="17">
        <f>IF(ISERROR(SEARCH("NDD",Tabella1[[#This Row],[Attività lavorativa]],1)),0,1)</f>
        <v>0</v>
      </c>
      <c r="U316" s="7" t="s">
        <v>3563</v>
      </c>
      <c r="V316" s="22">
        <v>130</v>
      </c>
      <c r="W316" s="22">
        <f>IF(ISERROR(SEARCH("ex",Tabella1[[#This Row],[Fumo]],1)),0,1)</f>
        <v>1</v>
      </c>
      <c r="X316" s="22">
        <f>IF(ISERROR(SEARCH("no",Tabella1[[#This Row],[Fumo]],1)),0,1)</f>
        <v>0</v>
      </c>
      <c r="Y316" s="7" t="s">
        <v>3564</v>
      </c>
      <c r="Z316" s="17">
        <f>IF(ISERROR(SEARCH("NDD",Tabella1[[#This Row],[Bevitore alcolici]],1)),0,1)</f>
        <v>0</v>
      </c>
      <c r="AA316" s="17">
        <f>IF(ISERROR(SEARCH("raro",Tabella1[[#This Row],[Bevitore alcolici]],1)),0,1)</f>
        <v>0</v>
      </c>
      <c r="AB316" s="17">
        <f>IF(ISERROR(SEARCH("saltuariamente",Tabella1[[#This Row],[Bevitore alcolici]],1)),0,1)</f>
        <v>0</v>
      </c>
      <c r="AC316" s="17">
        <f>IF(ISERROR(SEARCH("nega",Tabella1[[#This Row],[Bevitore alcolici]],1)),0,1)</f>
        <v>0</v>
      </c>
      <c r="AD316" s="17">
        <f>IF(ISERROR(SEARCH("potus",Tabella1[[#This Row],[Bevitore alcolici]],1)),0,1)</f>
        <v>0</v>
      </c>
      <c r="AE316" s="7" t="s">
        <v>657</v>
      </c>
      <c r="AF316" s="17"/>
      <c r="AG316" s="17"/>
      <c r="AH316" s="17"/>
      <c r="AI316" s="17"/>
      <c r="AJ316" s="17"/>
      <c r="AK316" s="7" t="s">
        <v>195</v>
      </c>
      <c r="AL316" s="17">
        <f>IF(ISERROR(SEARCH("si",Tabella1[[#This Row],[Patente di guida]],1)),0,1)</f>
        <v>0</v>
      </c>
      <c r="AM316" s="7" t="s">
        <v>28</v>
      </c>
      <c r="AN316" s="17">
        <f>IF(ISERROR(SEARCH("no",Tabella1[[#This Row],[Ipertensione]],1)),0,1)</f>
        <v>0</v>
      </c>
      <c r="AO316" s="7" t="s">
        <v>3565</v>
      </c>
      <c r="AP316" s="18">
        <f>IF(ISERROR(SEARCH("NO",Tabella1[[#This Row],[Cardiopatia ischemica]],1)),1,0)</f>
        <v>1</v>
      </c>
      <c r="AQ316" s="17">
        <f>IF(ISERROR(SEARCH("sconosciuto",Tabella1[[#This Row],[Cardiopatia ischemica]],1)),0,1)</f>
        <v>0</v>
      </c>
      <c r="AR316" s="7" t="s">
        <v>25</v>
      </c>
      <c r="AS316" s="22">
        <f>IF(ISERROR(SEARCH("nega",Tabella1[[#This Row],[Artimie]],1)),0,1)</f>
        <v>1</v>
      </c>
      <c r="AT316" s="7" t="s">
        <v>516</v>
      </c>
      <c r="AU316" s="22">
        <f>IF(ISERROR(SEARCH("nega",Tabella1[[#This Row],[Ipercolesterolemia]],1)),0,1)</f>
        <v>0</v>
      </c>
      <c r="AV316" s="22">
        <f>IF(ISERROR(SEARCH("boh",Tabella1[[#This Row],[Ipercolesterolemia]],1)),0,1)</f>
        <v>0</v>
      </c>
      <c r="AW316" s="7" t="s">
        <v>28</v>
      </c>
      <c r="AX316" s="22">
        <f>IF(ISERROR(SEARCH("Intolleranza",Tabella1[[#This Row],[Diabete]],1)),0,1)</f>
        <v>0</v>
      </c>
      <c r="AY316" s="22">
        <f>IF(ISERROR(SEARCH("si",Tabella1[[#This Row],[Diabete]],1)),0,1)</f>
        <v>1</v>
      </c>
      <c r="AZ316" s="7" t="s">
        <v>195</v>
      </c>
      <c r="BA316" s="17">
        <f>IF(ISERROR(SEARCH("NDD",Tabella1[[#This Row],[Patologia Tiroidea]],1)),0,1)</f>
        <v>0</v>
      </c>
      <c r="BB316" s="22">
        <f>IF(ISERROR(SEARCH("TIROIDITE",Tabella1[[#This Row],[Patologia Tiroidea]],1)),0,1)</f>
        <v>0</v>
      </c>
      <c r="BC316" s="22">
        <f>IF(ISERROR(SEARCH("HASHIMOTO",Tabella1[[#This Row],[Patologia Tiroidea]],1)),0,1)</f>
        <v>0</v>
      </c>
      <c r="BD316" s="22">
        <f>IF(ISERROR(SEARCH("BASEDOW",Tabella1[[#This Row],[Patologia Tiroidea]],1)),0,1)</f>
        <v>0</v>
      </c>
      <c r="BE316" s="22">
        <f>IF(ISERROR(SEARCH("NOD",Tabella1[[#This Row],[Patologia Tiroidea]],1)),0,1)</f>
        <v>0</v>
      </c>
      <c r="BF316" s="22">
        <f>IF(ISERROR(SEARCH("GOZ",Tabella1[[#This Row],[Patologia Tiroidea]],1)),0,1)</f>
        <v>0</v>
      </c>
      <c r="BG316" s="7" t="s">
        <v>516</v>
      </c>
      <c r="BH316" s="17">
        <f>IF(Tabella1[[#This Row],[Obesità]]="no",0,1)</f>
        <v>1</v>
      </c>
      <c r="BI316" s="7" t="s">
        <v>25</v>
      </c>
      <c r="BJ316" s="22">
        <f>IF(ISERROR(SEARCH("nega",Tabella1[[#This Row],[Reflusso gastroesofageo]],1)),1,0)</f>
        <v>0</v>
      </c>
      <c r="BK316" s="7" t="s">
        <v>195</v>
      </c>
      <c r="BL316" s="17">
        <f>IF(ISERROR(SEARCH("NDD",Tabella1[[#This Row],[Patologia respiratoria]],1)),0,1)</f>
        <v>0</v>
      </c>
      <c r="BM316" s="17">
        <f>IF(ISERROR(SEARCH("asma",Tabella1[[#This Row],[Patologia respiratoria]],1)),0,1)</f>
        <v>0</v>
      </c>
      <c r="BN316" s="17">
        <f>IF(ISERROR(SEARCH("BPCO",Tabella1[[#This Row],[Patologia respiratoria]],1)),0,1)</f>
        <v>0</v>
      </c>
      <c r="BO316" s="17">
        <f>IF(ISERROR(SEARCH("BRONCOPOLMONITE",Tabella1[[#This Row],[Patologia respiratoria]],1)),0,1)</f>
        <v>0</v>
      </c>
      <c r="BP316" s="17">
        <f>IF(ISERROR(SEARCH("ASMA, OSAS",Tabella1[[#This Row],[Patologia respiratoria]],1)),0,1)</f>
        <v>0</v>
      </c>
      <c r="BQ316" s="17">
        <f>IF(ISERROR(SEARCH("OSAS e BPCO",Tabella1[[#This Row],[Patologia respiratoria]],1)),0,1)</f>
        <v>0</v>
      </c>
      <c r="BR316" s="17">
        <f>IF(ISERROR(SEARCH("OSAS",Tabella1[[#This Row],[Patologia respiratoria]],1)),0,1)</f>
        <v>0</v>
      </c>
      <c r="BS316" s="7"/>
      <c r="BT316" s="7" t="s">
        <v>3566</v>
      </c>
      <c r="BU316" s="7" t="s">
        <v>195</v>
      </c>
      <c r="BV316" s="17">
        <f>IF(ISERROR(SEARCH("ndd",Tabella1[[#This Row],[O2 terapia]],1)),0,1)</f>
        <v>0</v>
      </c>
      <c r="BW316" s="17">
        <v>0</v>
      </c>
      <c r="BX316" s="7"/>
      <c r="BY316" s="7" t="s">
        <v>516</v>
      </c>
      <c r="BZ316" s="17">
        <v>1</v>
      </c>
      <c r="CA316" s="7" t="s">
        <v>195</v>
      </c>
      <c r="CB316" s="17">
        <v>0</v>
      </c>
      <c r="CC316" s="7" t="s">
        <v>516</v>
      </c>
      <c r="CD316" s="17">
        <v>1</v>
      </c>
      <c r="CE316" s="7" t="s">
        <v>195</v>
      </c>
      <c r="CF316" s="18">
        <v>0</v>
      </c>
      <c r="CG316" s="7" t="s">
        <v>195</v>
      </c>
      <c r="CH316" s="17">
        <v>0</v>
      </c>
      <c r="CI316" s="7" t="s">
        <v>195</v>
      </c>
      <c r="CJ316" s="18">
        <v>0</v>
      </c>
      <c r="CK316" s="7" t="s">
        <v>2488</v>
      </c>
      <c r="CL316" s="17">
        <v>1</v>
      </c>
      <c r="CM316" s="7" t="s">
        <v>516</v>
      </c>
      <c r="CN316" s="17">
        <v>1</v>
      </c>
      <c r="CO316" s="7" t="s">
        <v>195</v>
      </c>
      <c r="CP316" s="18">
        <v>0</v>
      </c>
      <c r="CQ316" s="7" t="s">
        <v>1272</v>
      </c>
      <c r="CR316" s="7"/>
      <c r="CS316" s="7" t="s">
        <v>37</v>
      </c>
      <c r="CT316" s="7" t="s">
        <v>525</v>
      </c>
      <c r="CU316" s="7" t="s">
        <v>3567</v>
      </c>
      <c r="CV316" s="8" t="s">
        <v>3453</v>
      </c>
    </row>
    <row r="317" spans="1:100" ht="42.75">
      <c r="A317" s="1">
        <f t="shared" si="4"/>
        <v>316</v>
      </c>
      <c r="B317" s="9">
        <v>1888</v>
      </c>
      <c r="C317" s="10">
        <v>45741</v>
      </c>
      <c r="D317" s="11" t="s">
        <v>3568</v>
      </c>
      <c r="E317" s="10">
        <v>23985</v>
      </c>
      <c r="F317" s="29">
        <f ca="1">_xlfn.DAYS(NOW(),Tabella1[[#This Row],[Data di Nascita]])/365.25</f>
        <v>59.926078028747433</v>
      </c>
      <c r="G317" s="11" t="s">
        <v>3569</v>
      </c>
      <c r="H317" s="11" t="s">
        <v>3570</v>
      </c>
      <c r="I317" s="11" t="s">
        <v>3571</v>
      </c>
      <c r="J317" s="11" t="s">
        <v>3572</v>
      </c>
      <c r="K317" s="11" t="s">
        <v>5629</v>
      </c>
      <c r="L317" s="18">
        <f>IF(ISERROR(SEARCH("EX",Tabella1[[#This Row],[Attività lavorativa]],1)),0,1)</f>
        <v>1</v>
      </c>
      <c r="M317" s="18"/>
      <c r="N317" s="18"/>
      <c r="O317" s="18"/>
      <c r="P317" s="18">
        <v>1</v>
      </c>
      <c r="Q317" s="18"/>
      <c r="R317" s="18"/>
      <c r="S317" s="18"/>
      <c r="T317" s="17">
        <f>IF(ISERROR(SEARCH("NDD",Tabella1[[#This Row],[Attività lavorativa]],1)),0,1)</f>
        <v>0</v>
      </c>
      <c r="U317" s="11" t="s">
        <v>3573</v>
      </c>
      <c r="V317" s="22">
        <v>40</v>
      </c>
      <c r="W317" s="22">
        <f>IF(ISERROR(SEARCH("ex",Tabella1[[#This Row],[Fumo]],1)),0,1)</f>
        <v>0</v>
      </c>
      <c r="X317" s="22">
        <f>IF(ISERROR(SEARCH("no",Tabella1[[#This Row],[Fumo]],1)),0,1)</f>
        <v>0</v>
      </c>
      <c r="Y317" s="11" t="s">
        <v>25</v>
      </c>
      <c r="Z317" s="18">
        <f>IF(ISERROR(SEARCH("NDD",Tabella1[[#This Row],[Bevitore alcolici]],1)),0,1)</f>
        <v>0</v>
      </c>
      <c r="AA317" s="17">
        <f>IF(ISERROR(SEARCH("raro",Tabella1[[#This Row],[Bevitore alcolici]],1)),0,1)</f>
        <v>0</v>
      </c>
      <c r="AB317" s="17">
        <f>IF(ISERROR(SEARCH("saltuariamente",Tabella1[[#This Row],[Bevitore alcolici]],1)),0,1)</f>
        <v>0</v>
      </c>
      <c r="AC317" s="17">
        <f>IF(ISERROR(SEARCH("nega",Tabella1[[#This Row],[Bevitore alcolici]],1)),0,1)</f>
        <v>1</v>
      </c>
      <c r="AD317" s="17">
        <f>IF(ISERROR(SEARCH("potus",Tabella1[[#This Row],[Bevitore alcolici]],1)),0,1)</f>
        <v>0</v>
      </c>
      <c r="AE317" s="11" t="s">
        <v>3574</v>
      </c>
      <c r="AF317" s="18"/>
      <c r="AG317" s="18">
        <v>1</v>
      </c>
      <c r="AH317" s="18">
        <v>1</v>
      </c>
      <c r="AI317" s="18"/>
      <c r="AJ317" s="18"/>
      <c r="AK317" s="11" t="s">
        <v>195</v>
      </c>
      <c r="AL317" s="18">
        <f>IF(ISERROR(SEARCH("si",Tabella1[[#This Row],[Patente di guida]],1)),0,1)</f>
        <v>0</v>
      </c>
      <c r="AM317" s="11" t="s">
        <v>28</v>
      </c>
      <c r="AN317" s="18">
        <f>IF(ISERROR(SEARCH("no",Tabella1[[#This Row],[Ipertensione]],1)),0,1)</f>
        <v>0</v>
      </c>
      <c r="AO317" s="11" t="s">
        <v>382</v>
      </c>
      <c r="AP317" s="18">
        <f>IF(ISERROR(SEARCH("NO",Tabella1[[#This Row],[Cardiopatia ischemica]],1)),1,0)</f>
        <v>0</v>
      </c>
      <c r="AQ317" s="17">
        <f>IF(ISERROR(SEARCH("sconosciuto",Tabella1[[#This Row],[Cardiopatia ischemica]],1)),0,1)</f>
        <v>0</v>
      </c>
      <c r="AR317" s="11" t="s">
        <v>25</v>
      </c>
      <c r="AS317" s="18">
        <f>IF(ISERROR(SEARCH("nega",Tabella1[[#This Row],[Artimie]],1)),0,1)</f>
        <v>1</v>
      </c>
      <c r="AT317" s="11" t="s">
        <v>516</v>
      </c>
      <c r="AU317" s="18">
        <f>IF(ISERROR(SEARCH("nega",Tabella1[[#This Row],[Ipercolesterolemia]],1)),0,1)</f>
        <v>0</v>
      </c>
      <c r="AV317" s="18">
        <f>IF(ISERROR(SEARCH("boh",Tabella1[[#This Row],[Ipercolesterolemia]],1)),0,1)</f>
        <v>0</v>
      </c>
      <c r="AW317" s="11" t="s">
        <v>28</v>
      </c>
      <c r="AX317" s="18">
        <f>IF(ISERROR(SEARCH("Intolleranza",Tabella1[[#This Row],[Diabete]],1)),0,1)</f>
        <v>0</v>
      </c>
      <c r="AY317" s="18">
        <f>IF(ISERROR(SEARCH("si",Tabella1[[#This Row],[Diabete]],1)),0,1)</f>
        <v>1</v>
      </c>
      <c r="AZ317" s="11" t="s">
        <v>195</v>
      </c>
      <c r="BA317" s="18">
        <f>IF(ISERROR(SEARCH("NDD",Tabella1[[#This Row],[Patologia Tiroidea]],1)),0,1)</f>
        <v>0</v>
      </c>
      <c r="BB317" s="18">
        <f>IF(ISERROR(SEARCH("TIROIDITE",Tabella1[[#This Row],[Patologia Tiroidea]],1)),0,1)</f>
        <v>0</v>
      </c>
      <c r="BC317" s="18">
        <f>IF(ISERROR(SEARCH("HASHIMOTO",Tabella1[[#This Row],[Patologia Tiroidea]],1)),0,1)</f>
        <v>0</v>
      </c>
      <c r="BD317" s="18">
        <f>IF(ISERROR(SEARCH("BASEDOW",Tabella1[[#This Row],[Patologia Tiroidea]],1)),0,1)</f>
        <v>0</v>
      </c>
      <c r="BE317" s="18">
        <f>IF(ISERROR(SEARCH("NOD",Tabella1[[#This Row],[Patologia Tiroidea]],1)),0,1)</f>
        <v>0</v>
      </c>
      <c r="BF317" s="18">
        <f>IF(ISERROR(SEARCH("GOZ",Tabella1[[#This Row],[Patologia Tiroidea]],1)),0,1)</f>
        <v>0</v>
      </c>
      <c r="BG317" s="11" t="s">
        <v>516</v>
      </c>
      <c r="BH317" s="18">
        <f>IF(Tabella1[[#This Row],[Obesità]]="no",0,1)</f>
        <v>1</v>
      </c>
      <c r="BI317" s="11" t="s">
        <v>516</v>
      </c>
      <c r="BJ317" s="22">
        <f>IF(ISERROR(SEARCH("nega",Tabella1[[#This Row],[Reflusso gastroesofageo]],1)),1,0)</f>
        <v>1</v>
      </c>
      <c r="BK317" s="11" t="s">
        <v>3575</v>
      </c>
      <c r="BL317" s="18">
        <f>IF(ISERROR(SEARCH("NDD",Tabella1[[#This Row],[Patologia respiratoria]],1)),0,1)</f>
        <v>0</v>
      </c>
      <c r="BM317" s="18">
        <f>IF(ISERROR(SEARCH("asma",Tabella1[[#This Row],[Patologia respiratoria]],1)),0,1)</f>
        <v>0</v>
      </c>
      <c r="BN317" s="18">
        <f>IF(ISERROR(SEARCH("BPCO",Tabella1[[#This Row],[Patologia respiratoria]],1)),0,1)</f>
        <v>1</v>
      </c>
      <c r="BO317" s="18">
        <f>IF(ISERROR(SEARCH("BRONCOPOLMONITE",Tabella1[[#This Row],[Patologia respiratoria]],1)),0,1)</f>
        <v>0</v>
      </c>
      <c r="BP317" s="18">
        <f>IF(ISERROR(SEARCH("ASMA, OSAS",Tabella1[[#This Row],[Patologia respiratoria]],1)),0,1)</f>
        <v>0</v>
      </c>
      <c r="BQ317" s="18">
        <f>IF(ISERROR(SEARCH("OSAS e BPCO",Tabella1[[#This Row],[Patologia respiratoria]],1)),0,1)</f>
        <v>1</v>
      </c>
      <c r="BR317" s="18">
        <f>IF(ISERROR(SEARCH("OSAS",Tabella1[[#This Row],[Patologia respiratoria]],1)),0,1)</f>
        <v>1</v>
      </c>
      <c r="BS317" s="11"/>
      <c r="BT317" s="11" t="s">
        <v>3576</v>
      </c>
      <c r="BU317" s="11" t="s">
        <v>381</v>
      </c>
      <c r="BV317" s="18">
        <f>IF(ISERROR(SEARCH("ndd",Tabella1[[#This Row],[O2 terapia]],1)),0,1)</f>
        <v>0</v>
      </c>
      <c r="BW317" s="17">
        <v>1</v>
      </c>
      <c r="BX317" s="11"/>
      <c r="BY317" s="11" t="s">
        <v>3577</v>
      </c>
      <c r="BZ317" s="17">
        <v>1</v>
      </c>
      <c r="CA317" s="11" t="s">
        <v>2365</v>
      </c>
      <c r="CB317" s="17">
        <v>1</v>
      </c>
      <c r="CC317" s="11" t="s">
        <v>516</v>
      </c>
      <c r="CD317" s="17">
        <v>1</v>
      </c>
      <c r="CE317" s="11" t="s">
        <v>195</v>
      </c>
      <c r="CF317" s="18">
        <v>0</v>
      </c>
      <c r="CG317" s="11" t="s">
        <v>516</v>
      </c>
      <c r="CH317" s="17">
        <v>1</v>
      </c>
      <c r="CI317" s="11" t="s">
        <v>516</v>
      </c>
      <c r="CJ317" s="17">
        <v>1</v>
      </c>
      <c r="CK317" s="11" t="s">
        <v>3578</v>
      </c>
      <c r="CL317" s="17">
        <v>1</v>
      </c>
      <c r="CM317" s="11" t="s">
        <v>516</v>
      </c>
      <c r="CN317" s="17">
        <v>1</v>
      </c>
      <c r="CO317" s="11" t="s">
        <v>516</v>
      </c>
      <c r="CP317" s="17">
        <v>1</v>
      </c>
      <c r="CQ317" s="11" t="s">
        <v>54</v>
      </c>
      <c r="CR317" s="11" t="s">
        <v>3579</v>
      </c>
      <c r="CS317" s="11" t="s">
        <v>3580</v>
      </c>
      <c r="CT317" s="11" t="s">
        <v>262</v>
      </c>
      <c r="CU317" s="11" t="s">
        <v>2514</v>
      </c>
      <c r="CV317" s="12" t="s">
        <v>3571</v>
      </c>
    </row>
    <row r="318" spans="1:100" ht="42.75">
      <c r="A318" s="1">
        <f t="shared" si="4"/>
        <v>317</v>
      </c>
      <c r="B318" s="5">
        <v>1891</v>
      </c>
      <c r="C318" s="6">
        <v>45742</v>
      </c>
      <c r="D318" s="7" t="s">
        <v>3581</v>
      </c>
      <c r="E318" s="6">
        <v>25541</v>
      </c>
      <c r="F318" s="29">
        <f ca="1">_xlfn.DAYS(NOW(),Tabella1[[#This Row],[Data di Nascita]])/365.25</f>
        <v>55.665982203969882</v>
      </c>
      <c r="G318" s="7" t="s">
        <v>3582</v>
      </c>
      <c r="H318" s="7" t="s">
        <v>3583</v>
      </c>
      <c r="I318" s="7" t="s">
        <v>3453</v>
      </c>
      <c r="J318" s="7" t="s">
        <v>211</v>
      </c>
      <c r="K318" s="7" t="s">
        <v>345</v>
      </c>
      <c r="L318" s="17">
        <f>IF(ISERROR(SEARCH("EX",Tabella1[[#This Row],[Attività lavorativa]],1)),0,1)</f>
        <v>0</v>
      </c>
      <c r="M318" s="17"/>
      <c r="N318" s="17"/>
      <c r="O318" s="17"/>
      <c r="P318" s="18">
        <v>1</v>
      </c>
      <c r="Q318" s="17"/>
      <c r="R318" s="17"/>
      <c r="S318" s="17"/>
      <c r="T318" s="17">
        <f>IF(ISERROR(SEARCH("NDD",Tabella1[[#This Row],[Attività lavorativa]],1)),0,1)</f>
        <v>0</v>
      </c>
      <c r="U318" s="7" t="s">
        <v>8</v>
      </c>
      <c r="V318" s="22"/>
      <c r="W318" s="22">
        <f>IF(ISERROR(SEARCH("ex",Tabella1[[#This Row],[Fumo]],1)),0,1)</f>
        <v>0</v>
      </c>
      <c r="X318" s="22">
        <f>IF(ISERROR(SEARCH("no",Tabella1[[#This Row],[Fumo]],1)),0,1)</f>
        <v>1</v>
      </c>
      <c r="Y318" s="7" t="s">
        <v>25</v>
      </c>
      <c r="Z318" s="17">
        <f>IF(ISERROR(SEARCH("NDD",Tabella1[[#This Row],[Bevitore alcolici]],1)),0,1)</f>
        <v>0</v>
      </c>
      <c r="AA318" s="17">
        <f>IF(ISERROR(SEARCH("raro",Tabella1[[#This Row],[Bevitore alcolici]],1)),0,1)</f>
        <v>0</v>
      </c>
      <c r="AB318" s="17">
        <f>IF(ISERROR(SEARCH("saltuariamente",Tabella1[[#This Row],[Bevitore alcolici]],1)),0,1)</f>
        <v>0</v>
      </c>
      <c r="AC318" s="17">
        <f>IF(ISERROR(SEARCH("nega",Tabella1[[#This Row],[Bevitore alcolici]],1)),0,1)</f>
        <v>1</v>
      </c>
      <c r="AD318" s="17">
        <f>IF(ISERROR(SEARCH("potus",Tabella1[[#This Row],[Bevitore alcolici]],1)),0,1)</f>
        <v>0</v>
      </c>
      <c r="AE318" s="7" t="s">
        <v>796</v>
      </c>
      <c r="AF318" s="17"/>
      <c r="AG318" s="18">
        <v>1</v>
      </c>
      <c r="AH318" s="18"/>
      <c r="AI318" s="18"/>
      <c r="AJ318" s="18"/>
      <c r="AK318" s="7" t="s">
        <v>28</v>
      </c>
      <c r="AL318" s="17">
        <f>IF(ISERROR(SEARCH("si",Tabella1[[#This Row],[Patente di guida]],1)),0,1)</f>
        <v>1</v>
      </c>
      <c r="AM318" s="7" t="s">
        <v>195</v>
      </c>
      <c r="AN318" s="17">
        <f>IF(ISERROR(SEARCH("no",Tabella1[[#This Row],[Ipertensione]],1)),0,1)</f>
        <v>1</v>
      </c>
      <c r="AO318" s="7" t="s">
        <v>382</v>
      </c>
      <c r="AP318" s="18">
        <f>IF(ISERROR(SEARCH("NO",Tabella1[[#This Row],[Cardiopatia ischemica]],1)),1,0)</f>
        <v>0</v>
      </c>
      <c r="AQ318" s="17">
        <f>IF(ISERROR(SEARCH("sconosciuto",Tabella1[[#This Row],[Cardiopatia ischemica]],1)),0,1)</f>
        <v>0</v>
      </c>
      <c r="AR318" s="7" t="s">
        <v>25</v>
      </c>
      <c r="AS318" s="22">
        <f>IF(ISERROR(SEARCH("nega",Tabella1[[#This Row],[Artimie]],1)),0,1)</f>
        <v>1</v>
      </c>
      <c r="AT318" s="7" t="s">
        <v>25</v>
      </c>
      <c r="AU318" s="22">
        <f>IF(ISERROR(SEARCH("nega",Tabella1[[#This Row],[Ipercolesterolemia]],1)),0,1)</f>
        <v>1</v>
      </c>
      <c r="AV318" s="22">
        <f>IF(ISERROR(SEARCH("boh",Tabella1[[#This Row],[Ipercolesterolemia]],1)),0,1)</f>
        <v>0</v>
      </c>
      <c r="AW318" s="7" t="s">
        <v>195</v>
      </c>
      <c r="AX318" s="22">
        <f>IF(ISERROR(SEARCH("Intolleranza",Tabella1[[#This Row],[Diabete]],1)),0,1)</f>
        <v>0</v>
      </c>
      <c r="AY318" s="22">
        <f>IF(ISERROR(SEARCH("si",Tabella1[[#This Row],[Diabete]],1)),0,1)</f>
        <v>0</v>
      </c>
      <c r="AZ318" s="7" t="s">
        <v>195</v>
      </c>
      <c r="BA318" s="17">
        <f>IF(ISERROR(SEARCH("NDD",Tabella1[[#This Row],[Patologia Tiroidea]],1)),0,1)</f>
        <v>0</v>
      </c>
      <c r="BB318" s="22">
        <f>IF(ISERROR(SEARCH("TIROIDITE",Tabella1[[#This Row],[Patologia Tiroidea]],1)),0,1)</f>
        <v>0</v>
      </c>
      <c r="BC318" s="22">
        <f>IF(ISERROR(SEARCH("HASHIMOTO",Tabella1[[#This Row],[Patologia Tiroidea]],1)),0,1)</f>
        <v>0</v>
      </c>
      <c r="BD318" s="22">
        <f>IF(ISERROR(SEARCH("BASEDOW",Tabella1[[#This Row],[Patologia Tiroidea]],1)),0,1)</f>
        <v>0</v>
      </c>
      <c r="BE318" s="22">
        <f>IF(ISERROR(SEARCH("NOD",Tabella1[[#This Row],[Patologia Tiroidea]],1)),0,1)</f>
        <v>0</v>
      </c>
      <c r="BF318" s="22">
        <f>IF(ISERROR(SEARCH("GOZ",Tabella1[[#This Row],[Patologia Tiroidea]],1)),0,1)</f>
        <v>0</v>
      </c>
      <c r="BG318" s="7" t="s">
        <v>8</v>
      </c>
      <c r="BH318" s="17">
        <f>IF(Tabella1[[#This Row],[Obesità]]="no",0,1)</f>
        <v>0</v>
      </c>
      <c r="BI318" s="7" t="s">
        <v>25</v>
      </c>
      <c r="BJ318" s="22">
        <f>IF(ISERROR(SEARCH("nega",Tabella1[[#This Row],[Reflusso gastroesofageo]],1)),1,0)</f>
        <v>0</v>
      </c>
      <c r="BK318" s="7" t="s">
        <v>195</v>
      </c>
      <c r="BL318" s="17">
        <f>IF(ISERROR(SEARCH("NDD",Tabella1[[#This Row],[Patologia respiratoria]],1)),0,1)</f>
        <v>0</v>
      </c>
      <c r="BM318" s="17">
        <f>IF(ISERROR(SEARCH("asma",Tabella1[[#This Row],[Patologia respiratoria]],1)),0,1)</f>
        <v>0</v>
      </c>
      <c r="BN318" s="17">
        <f>IF(ISERROR(SEARCH("BPCO",Tabella1[[#This Row],[Patologia respiratoria]],1)),0,1)</f>
        <v>0</v>
      </c>
      <c r="BO318" s="17">
        <f>IF(ISERROR(SEARCH("BRONCOPOLMONITE",Tabella1[[#This Row],[Patologia respiratoria]],1)),0,1)</f>
        <v>0</v>
      </c>
      <c r="BP318" s="17">
        <f>IF(ISERROR(SEARCH("ASMA, OSAS",Tabella1[[#This Row],[Patologia respiratoria]],1)),0,1)</f>
        <v>0</v>
      </c>
      <c r="BQ318" s="17">
        <f>IF(ISERROR(SEARCH("OSAS e BPCO",Tabella1[[#This Row],[Patologia respiratoria]],1)),0,1)</f>
        <v>0</v>
      </c>
      <c r="BR318" s="17">
        <f>IF(ISERROR(SEARCH("OSAS",Tabella1[[#This Row],[Patologia respiratoria]],1)),0,1)</f>
        <v>0</v>
      </c>
      <c r="BS318" s="7"/>
      <c r="BT318" s="7" t="s">
        <v>380</v>
      </c>
      <c r="BU318" s="7" t="s">
        <v>195</v>
      </c>
      <c r="BV318" s="17">
        <f>IF(ISERROR(SEARCH("ndd",Tabella1[[#This Row],[O2 terapia]],1)),0,1)</f>
        <v>0</v>
      </c>
      <c r="BW318" s="17">
        <v>0</v>
      </c>
      <c r="BX318" s="7"/>
      <c r="BY318" s="7" t="s">
        <v>3584</v>
      </c>
      <c r="BZ318" s="17">
        <v>1</v>
      </c>
      <c r="CA318" s="7" t="s">
        <v>195</v>
      </c>
      <c r="CB318" s="17">
        <v>0</v>
      </c>
      <c r="CC318" s="7" t="s">
        <v>195</v>
      </c>
      <c r="CD318" s="18">
        <v>0</v>
      </c>
      <c r="CE318" s="7" t="s">
        <v>195</v>
      </c>
      <c r="CF318" s="18">
        <v>0</v>
      </c>
      <c r="CG318" s="7" t="s">
        <v>516</v>
      </c>
      <c r="CH318" s="17">
        <v>1</v>
      </c>
      <c r="CI318" s="7" t="s">
        <v>516</v>
      </c>
      <c r="CJ318" s="17">
        <v>1</v>
      </c>
      <c r="CK318" s="7" t="s">
        <v>2936</v>
      </c>
      <c r="CL318" s="17">
        <v>1</v>
      </c>
      <c r="CM318" s="7" t="s">
        <v>516</v>
      </c>
      <c r="CN318" s="17">
        <v>1</v>
      </c>
      <c r="CO318" s="7" t="s">
        <v>2365</v>
      </c>
      <c r="CP318" s="17">
        <v>1</v>
      </c>
      <c r="CQ318" s="7" t="s">
        <v>85</v>
      </c>
      <c r="CR318" s="7" t="s">
        <v>3585</v>
      </c>
      <c r="CS318" s="7" t="s">
        <v>219</v>
      </c>
      <c r="CT318" s="7" t="s">
        <v>1181</v>
      </c>
      <c r="CU318" s="7" t="s">
        <v>2514</v>
      </c>
      <c r="CV318" s="8" t="s">
        <v>3453</v>
      </c>
    </row>
    <row r="319" spans="1:100" ht="71.25">
      <c r="A319" s="1">
        <f t="shared" si="4"/>
        <v>318</v>
      </c>
      <c r="B319" s="9">
        <v>1894</v>
      </c>
      <c r="C319" s="10">
        <v>45743</v>
      </c>
      <c r="D319" s="11" t="s">
        <v>3586</v>
      </c>
      <c r="E319" s="10">
        <v>28301</v>
      </c>
      <c r="F319" s="29">
        <f ca="1">_xlfn.DAYS(NOW(),Tabella1[[#This Row],[Data di Nascita]])/365.25</f>
        <v>48.109514031485283</v>
      </c>
      <c r="G319" s="11" t="s">
        <v>3587</v>
      </c>
      <c r="H319" s="11" t="s">
        <v>3588</v>
      </c>
      <c r="I319" s="11" t="s">
        <v>3453</v>
      </c>
      <c r="J319" s="11" t="s">
        <v>211</v>
      </c>
      <c r="K319" s="11" t="s">
        <v>3156</v>
      </c>
      <c r="L319" s="18">
        <f>IF(ISERROR(SEARCH("EX",Tabella1[[#This Row],[Attività lavorativa]],1)),0,1)</f>
        <v>0</v>
      </c>
      <c r="M319" s="18"/>
      <c r="N319" s="18"/>
      <c r="O319" s="18">
        <v>1</v>
      </c>
      <c r="P319" s="18"/>
      <c r="Q319" s="18"/>
      <c r="R319" s="18"/>
      <c r="S319" s="18"/>
      <c r="T319" s="17">
        <f>IF(ISERROR(SEARCH("NDD",Tabella1[[#This Row],[Attività lavorativa]],1)),0,1)</f>
        <v>0</v>
      </c>
      <c r="U319" s="11" t="s">
        <v>3535</v>
      </c>
      <c r="V319" s="22">
        <v>30</v>
      </c>
      <c r="W319" s="22">
        <f>IF(ISERROR(SEARCH("ex",Tabella1[[#This Row],[Fumo]],1)),0,1)</f>
        <v>0</v>
      </c>
      <c r="X319" s="22">
        <f>IF(ISERROR(SEARCH("no",Tabella1[[#This Row],[Fumo]],1)),0,1)</f>
        <v>0</v>
      </c>
      <c r="Y319" s="11" t="s">
        <v>25</v>
      </c>
      <c r="Z319" s="18">
        <f>IF(ISERROR(SEARCH("NDD",Tabella1[[#This Row],[Bevitore alcolici]],1)),0,1)</f>
        <v>0</v>
      </c>
      <c r="AA319" s="17">
        <f>IF(ISERROR(SEARCH("raro",Tabella1[[#This Row],[Bevitore alcolici]],1)),0,1)</f>
        <v>0</v>
      </c>
      <c r="AB319" s="17">
        <f>IF(ISERROR(SEARCH("saltuariamente",Tabella1[[#This Row],[Bevitore alcolici]],1)),0,1)</f>
        <v>0</v>
      </c>
      <c r="AC319" s="17">
        <f>IF(ISERROR(SEARCH("nega",Tabella1[[#This Row],[Bevitore alcolici]],1)),0,1)</f>
        <v>1</v>
      </c>
      <c r="AD319" s="17">
        <f>IF(ISERROR(SEARCH("potus",Tabella1[[#This Row],[Bevitore alcolici]],1)),0,1)</f>
        <v>0</v>
      </c>
      <c r="AE319" s="11" t="s">
        <v>657</v>
      </c>
      <c r="AF319" s="18"/>
      <c r="AG319" s="18"/>
      <c r="AH319" s="18"/>
      <c r="AI319" s="18"/>
      <c r="AJ319" s="18"/>
      <c r="AK319" s="11" t="s">
        <v>28</v>
      </c>
      <c r="AL319" s="18">
        <f>IF(ISERROR(SEARCH("si",Tabella1[[#This Row],[Patente di guida]],1)),0,1)</f>
        <v>1</v>
      </c>
      <c r="AM319" s="11" t="s">
        <v>195</v>
      </c>
      <c r="AN319" s="18">
        <f>IF(ISERROR(SEARCH("no",Tabella1[[#This Row],[Ipertensione]],1)),0,1)</f>
        <v>1</v>
      </c>
      <c r="AO319" s="11" t="s">
        <v>382</v>
      </c>
      <c r="AP319" s="18">
        <f>IF(ISERROR(SEARCH("NO",Tabella1[[#This Row],[Cardiopatia ischemica]],1)),1,0)</f>
        <v>0</v>
      </c>
      <c r="AQ319" s="17">
        <f>IF(ISERROR(SEARCH("sconosciuto",Tabella1[[#This Row],[Cardiopatia ischemica]],1)),0,1)</f>
        <v>0</v>
      </c>
      <c r="AR319" s="11" t="s">
        <v>25</v>
      </c>
      <c r="AS319" s="22">
        <f>IF(ISERROR(SEARCH("nega",Tabella1[[#This Row],[Artimie]],1)),0,1)</f>
        <v>1</v>
      </c>
      <c r="AT319" s="11" t="s">
        <v>25</v>
      </c>
      <c r="AU319" s="22">
        <f>IF(ISERROR(SEARCH("nega",Tabella1[[#This Row],[Ipercolesterolemia]],1)),0,1)</f>
        <v>1</v>
      </c>
      <c r="AV319" s="22">
        <f>IF(ISERROR(SEARCH("boh",Tabella1[[#This Row],[Ipercolesterolemia]],1)),0,1)</f>
        <v>0</v>
      </c>
      <c r="AW319" s="11" t="s">
        <v>195</v>
      </c>
      <c r="AX319" s="22">
        <f>IF(ISERROR(SEARCH("Intolleranza",Tabella1[[#This Row],[Diabete]],1)),0,1)</f>
        <v>0</v>
      </c>
      <c r="AY319" s="22">
        <f>IF(ISERROR(SEARCH("si",Tabella1[[#This Row],[Diabete]],1)),0,1)</f>
        <v>0</v>
      </c>
      <c r="AZ319" s="11" t="s">
        <v>195</v>
      </c>
      <c r="BA319" s="18">
        <f>IF(ISERROR(SEARCH("NDD",Tabella1[[#This Row],[Patologia Tiroidea]],1)),0,1)</f>
        <v>0</v>
      </c>
      <c r="BB319" s="22">
        <f>IF(ISERROR(SEARCH("TIROIDITE",Tabella1[[#This Row],[Patologia Tiroidea]],1)),0,1)</f>
        <v>0</v>
      </c>
      <c r="BC319" s="22">
        <f>IF(ISERROR(SEARCH("HASHIMOTO",Tabella1[[#This Row],[Patologia Tiroidea]],1)),0,1)</f>
        <v>0</v>
      </c>
      <c r="BD319" s="22">
        <f>IF(ISERROR(SEARCH("BASEDOW",Tabella1[[#This Row],[Patologia Tiroidea]],1)),0,1)</f>
        <v>0</v>
      </c>
      <c r="BE319" s="22">
        <f>IF(ISERROR(SEARCH("NOD",Tabella1[[#This Row],[Patologia Tiroidea]],1)),0,1)</f>
        <v>0</v>
      </c>
      <c r="BF319" s="22">
        <f>IF(ISERROR(SEARCH("GOZ",Tabella1[[#This Row],[Patologia Tiroidea]],1)),0,1)</f>
        <v>0</v>
      </c>
      <c r="BG319" s="11" t="s">
        <v>516</v>
      </c>
      <c r="BH319" s="18">
        <f>IF(Tabella1[[#This Row],[Obesità]]="no",0,1)</f>
        <v>1</v>
      </c>
      <c r="BI319" s="11" t="s">
        <v>25</v>
      </c>
      <c r="BJ319" s="22">
        <f>IF(ISERROR(SEARCH("nega",Tabella1[[#This Row],[Reflusso gastroesofageo]],1)),1,0)</f>
        <v>0</v>
      </c>
      <c r="BK319" s="11" t="s">
        <v>195</v>
      </c>
      <c r="BL319" s="18">
        <f>IF(ISERROR(SEARCH("NDD",Tabella1[[#This Row],[Patologia respiratoria]],1)),0,1)</f>
        <v>0</v>
      </c>
      <c r="BM319" s="18">
        <f>IF(ISERROR(SEARCH("asma",Tabella1[[#This Row],[Patologia respiratoria]],1)),0,1)</f>
        <v>0</v>
      </c>
      <c r="BN319" s="18">
        <f>IF(ISERROR(SEARCH("BPCO",Tabella1[[#This Row],[Patologia respiratoria]],1)),0,1)</f>
        <v>0</v>
      </c>
      <c r="BO319" s="18">
        <f>IF(ISERROR(SEARCH("BRONCOPOLMONITE",Tabella1[[#This Row],[Patologia respiratoria]],1)),0,1)</f>
        <v>0</v>
      </c>
      <c r="BP319" s="18">
        <f>IF(ISERROR(SEARCH("ASMA, OSAS",Tabella1[[#This Row],[Patologia respiratoria]],1)),0,1)</f>
        <v>0</v>
      </c>
      <c r="BQ319" s="18">
        <f>IF(ISERROR(SEARCH("OSAS e BPCO",Tabella1[[#This Row],[Patologia respiratoria]],1)),0,1)</f>
        <v>0</v>
      </c>
      <c r="BR319" s="18">
        <f>IF(ISERROR(SEARCH("OSAS",Tabella1[[#This Row],[Patologia respiratoria]],1)),0,1)</f>
        <v>0</v>
      </c>
      <c r="BS319" s="11"/>
      <c r="BT319" s="11" t="s">
        <v>380</v>
      </c>
      <c r="BU319" s="11" t="s">
        <v>195</v>
      </c>
      <c r="BV319" s="18">
        <f>IF(ISERROR(SEARCH("ndd",Tabella1[[#This Row],[O2 terapia]],1)),0,1)</f>
        <v>0</v>
      </c>
      <c r="BW319" s="17">
        <v>0</v>
      </c>
      <c r="BX319" s="11"/>
      <c r="BY319" s="11" t="s">
        <v>3589</v>
      </c>
      <c r="BZ319" s="17">
        <v>1</v>
      </c>
      <c r="CA319" s="11" t="s">
        <v>2365</v>
      </c>
      <c r="CB319" s="17">
        <v>1</v>
      </c>
      <c r="CC319" s="11" t="s">
        <v>516</v>
      </c>
      <c r="CD319" s="17">
        <v>1</v>
      </c>
      <c r="CE319" s="11" t="s">
        <v>195</v>
      </c>
      <c r="CF319" s="18">
        <v>0</v>
      </c>
      <c r="CG319" s="11" t="s">
        <v>516</v>
      </c>
      <c r="CH319" s="17">
        <v>1</v>
      </c>
      <c r="CI319" s="11" t="s">
        <v>195</v>
      </c>
      <c r="CJ319" s="18">
        <v>0</v>
      </c>
      <c r="CK319" s="11" t="s">
        <v>3590</v>
      </c>
      <c r="CL319" s="17">
        <v>1</v>
      </c>
      <c r="CM319" s="11" t="s">
        <v>516</v>
      </c>
      <c r="CN319" s="17">
        <v>1</v>
      </c>
      <c r="CO319" s="11" t="s">
        <v>516</v>
      </c>
      <c r="CP319" s="17">
        <v>1</v>
      </c>
      <c r="CQ319" s="11" t="s">
        <v>69</v>
      </c>
      <c r="CR319" s="11" t="s">
        <v>922</v>
      </c>
      <c r="CS319" s="11" t="s">
        <v>1443</v>
      </c>
      <c r="CT319" s="11" t="s">
        <v>746</v>
      </c>
      <c r="CU319" s="11" t="s">
        <v>1165</v>
      </c>
      <c r="CV319" s="12" t="s">
        <v>3591</v>
      </c>
    </row>
    <row r="320" spans="1:100" ht="71.25">
      <c r="A320" s="1">
        <f t="shared" si="4"/>
        <v>319</v>
      </c>
      <c r="B320" s="5">
        <v>1903</v>
      </c>
      <c r="C320" s="6">
        <v>45747</v>
      </c>
      <c r="D320" s="7" t="s">
        <v>3592</v>
      </c>
      <c r="E320" s="6">
        <v>33352</v>
      </c>
      <c r="F320" s="29">
        <f ca="1">_xlfn.DAYS(NOW(),Tabella1[[#This Row],[Data di Nascita]])/365.25</f>
        <v>34.280629705681044</v>
      </c>
      <c r="G320" s="7" t="s">
        <v>3593</v>
      </c>
      <c r="H320" s="7" t="s">
        <v>3594</v>
      </c>
      <c r="I320" s="7" t="s">
        <v>3595</v>
      </c>
      <c r="J320" s="7" t="s">
        <v>618</v>
      </c>
      <c r="K320" s="7" t="s">
        <v>297</v>
      </c>
      <c r="L320" s="17">
        <f>IF(ISERROR(SEARCH("EX",Tabella1[[#This Row],[Attività lavorativa]],1)),0,1)</f>
        <v>0</v>
      </c>
      <c r="M320" s="17"/>
      <c r="N320" s="17"/>
      <c r="O320" s="17"/>
      <c r="P320" s="17"/>
      <c r="Q320" s="17"/>
      <c r="R320" s="17"/>
      <c r="S320" s="17"/>
      <c r="T320" s="17">
        <f>IF(ISERROR(SEARCH("NDD",Tabella1[[#This Row],[Attività lavorativa]],1)),0,1)</f>
        <v>0</v>
      </c>
      <c r="U320" s="7" t="s">
        <v>3596</v>
      </c>
      <c r="V320" s="22">
        <v>4</v>
      </c>
      <c r="W320" s="22">
        <f>IF(ISERROR(SEARCH("ex",Tabella1[[#This Row],[Fumo]],1)),0,1)</f>
        <v>0</v>
      </c>
      <c r="X320" s="22">
        <f>IF(ISERROR(SEARCH("no",Tabella1[[#This Row],[Fumo]],1)),0,1)</f>
        <v>0</v>
      </c>
      <c r="Y320" s="7" t="s">
        <v>1395</v>
      </c>
      <c r="Z320" s="17">
        <f>IF(ISERROR(SEARCH("NDD",Tabella1[[#This Row],[Bevitore alcolici]],1)),0,1)</f>
        <v>0</v>
      </c>
      <c r="AA320" s="17">
        <f>IF(ISERROR(SEARCH("raro",Tabella1[[#This Row],[Bevitore alcolici]],1)),0,1)</f>
        <v>1</v>
      </c>
      <c r="AB320" s="17">
        <f>IF(ISERROR(SEARCH("saltuariamente",Tabella1[[#This Row],[Bevitore alcolici]],1)),0,1)</f>
        <v>0</v>
      </c>
      <c r="AC320" s="17">
        <f>IF(ISERROR(SEARCH("nega",Tabella1[[#This Row],[Bevitore alcolici]],1)),0,1)</f>
        <v>0</v>
      </c>
      <c r="AD320" s="17">
        <f>IF(ISERROR(SEARCH("potus",Tabella1[[#This Row],[Bevitore alcolici]],1)),0,1)</f>
        <v>0</v>
      </c>
      <c r="AE320" s="7" t="s">
        <v>657</v>
      </c>
      <c r="AF320" s="17"/>
      <c r="AG320" s="17"/>
      <c r="AH320" s="17"/>
      <c r="AI320" s="17"/>
      <c r="AJ320" s="17"/>
      <c r="AK320" s="7" t="s">
        <v>28</v>
      </c>
      <c r="AL320" s="17">
        <f>IF(ISERROR(SEARCH("si",Tabella1[[#This Row],[Patente di guida]],1)),0,1)</f>
        <v>1</v>
      </c>
      <c r="AM320" s="7" t="s">
        <v>8</v>
      </c>
      <c r="AN320" s="17">
        <f>IF(ISERROR(SEARCH("no",Tabella1[[#This Row],[Ipertensione]],1)),0,1)</f>
        <v>1</v>
      </c>
      <c r="AO320" s="7" t="s">
        <v>382</v>
      </c>
      <c r="AP320" s="18">
        <f>IF(ISERROR(SEARCH("NO",Tabella1[[#This Row],[Cardiopatia ischemica]],1)),1,0)</f>
        <v>0</v>
      </c>
      <c r="AQ320" s="17">
        <f>IF(ISERROR(SEARCH("sconosciuto",Tabella1[[#This Row],[Cardiopatia ischemica]],1)),0,1)</f>
        <v>0</v>
      </c>
      <c r="AR320" s="7" t="s">
        <v>25</v>
      </c>
      <c r="AS320" s="22">
        <f>IF(ISERROR(SEARCH("nega",Tabella1[[#This Row],[Artimie]],1)),0,1)</f>
        <v>1</v>
      </c>
      <c r="AT320" s="7" t="s">
        <v>25</v>
      </c>
      <c r="AU320" s="22">
        <f>IF(ISERROR(SEARCH("nega",Tabella1[[#This Row],[Ipercolesterolemia]],1)),0,1)</f>
        <v>1</v>
      </c>
      <c r="AV320" s="22">
        <f>IF(ISERROR(SEARCH("boh",Tabella1[[#This Row],[Ipercolesterolemia]],1)),0,1)</f>
        <v>0</v>
      </c>
      <c r="AW320" s="7" t="s">
        <v>25</v>
      </c>
      <c r="AX320" s="22">
        <f>IF(ISERROR(SEARCH("Intolleranza",Tabella1[[#This Row],[Diabete]],1)),0,1)</f>
        <v>0</v>
      </c>
      <c r="AY320" s="22">
        <f>IF(ISERROR(SEARCH("si",Tabella1[[#This Row],[Diabete]],1)),0,1)</f>
        <v>0</v>
      </c>
      <c r="AZ320" s="7" t="s">
        <v>25</v>
      </c>
      <c r="BA320" s="17">
        <f>IF(ISERROR(SEARCH("NDD",Tabella1[[#This Row],[Patologia Tiroidea]],1)),0,1)</f>
        <v>0</v>
      </c>
      <c r="BB320" s="22">
        <f>IF(ISERROR(SEARCH("TIROIDITE",Tabella1[[#This Row],[Patologia Tiroidea]],1)),0,1)</f>
        <v>0</v>
      </c>
      <c r="BC320" s="22">
        <f>IF(ISERROR(SEARCH("HASHIMOTO",Tabella1[[#This Row],[Patologia Tiroidea]],1)),0,1)</f>
        <v>0</v>
      </c>
      <c r="BD320" s="22">
        <f>IF(ISERROR(SEARCH("BASEDOW",Tabella1[[#This Row],[Patologia Tiroidea]],1)),0,1)</f>
        <v>0</v>
      </c>
      <c r="BE320" s="22">
        <f>IF(ISERROR(SEARCH("NOD",Tabella1[[#This Row],[Patologia Tiroidea]],1)),0,1)</f>
        <v>0</v>
      </c>
      <c r="BF320" s="22">
        <f>IF(ISERROR(SEARCH("GOZ",Tabella1[[#This Row],[Patologia Tiroidea]],1)),0,1)</f>
        <v>0</v>
      </c>
      <c r="BG320" s="7" t="s">
        <v>25</v>
      </c>
      <c r="BH320" s="17">
        <f>IF(Tabella1[[#This Row],[Obesità]]="no",0,1)</f>
        <v>1</v>
      </c>
      <c r="BI320" s="7" t="s">
        <v>28</v>
      </c>
      <c r="BJ320" s="22">
        <f>IF(ISERROR(SEARCH("nega",Tabella1[[#This Row],[Reflusso gastroesofageo]],1)),1,0)</f>
        <v>1</v>
      </c>
      <c r="BK320" s="7" t="s">
        <v>25</v>
      </c>
      <c r="BL320" s="17">
        <f>IF(ISERROR(SEARCH("NDD",Tabella1[[#This Row],[Patologia respiratoria]],1)),0,1)</f>
        <v>0</v>
      </c>
      <c r="BM320" s="17">
        <f>IF(ISERROR(SEARCH("asma",Tabella1[[#This Row],[Patologia respiratoria]],1)),0,1)</f>
        <v>0</v>
      </c>
      <c r="BN320" s="17">
        <f>IF(ISERROR(SEARCH("BPCO",Tabella1[[#This Row],[Patologia respiratoria]],1)),0,1)</f>
        <v>0</v>
      </c>
      <c r="BO320" s="17">
        <f>IF(ISERROR(SEARCH("BRONCOPOLMONITE",Tabella1[[#This Row],[Patologia respiratoria]],1)),0,1)</f>
        <v>0</v>
      </c>
      <c r="BP320" s="17">
        <f>IF(ISERROR(SEARCH("ASMA, OSAS",Tabella1[[#This Row],[Patologia respiratoria]],1)),0,1)</f>
        <v>0</v>
      </c>
      <c r="BQ320" s="17">
        <f>IF(ISERROR(SEARCH("OSAS e BPCO",Tabella1[[#This Row],[Patologia respiratoria]],1)),0,1)</f>
        <v>0</v>
      </c>
      <c r="BR320" s="17">
        <f>IF(ISERROR(SEARCH("OSAS",Tabella1[[#This Row],[Patologia respiratoria]],1)),0,1)</f>
        <v>0</v>
      </c>
      <c r="BS320" s="7" t="s">
        <v>25</v>
      </c>
      <c r="BT320" s="7" t="s">
        <v>3597</v>
      </c>
      <c r="BU320" s="7" t="s">
        <v>8</v>
      </c>
      <c r="BV320" s="17">
        <f>IF(ISERROR(SEARCH("ndd",Tabella1[[#This Row],[O2 terapia]],1)),0,1)</f>
        <v>0</v>
      </c>
      <c r="BW320" s="17">
        <v>0</v>
      </c>
      <c r="BX320" s="7"/>
      <c r="BY320" s="7" t="s">
        <v>8</v>
      </c>
      <c r="BZ320" s="18">
        <v>0</v>
      </c>
      <c r="CA320" s="7" t="s">
        <v>8</v>
      </c>
      <c r="CB320" s="17">
        <v>0</v>
      </c>
      <c r="CC320" s="7" t="s">
        <v>8</v>
      </c>
      <c r="CD320" s="18">
        <v>0</v>
      </c>
      <c r="CE320" s="7" t="s">
        <v>8</v>
      </c>
      <c r="CF320" s="18">
        <v>0</v>
      </c>
      <c r="CG320" s="7" t="s">
        <v>3598</v>
      </c>
      <c r="CH320" s="17">
        <v>1</v>
      </c>
      <c r="CI320" s="7" t="s">
        <v>28</v>
      </c>
      <c r="CJ320" s="17">
        <v>1</v>
      </c>
      <c r="CK320" s="7" t="s">
        <v>8</v>
      </c>
      <c r="CL320" s="17">
        <v>0</v>
      </c>
      <c r="CM320" s="7" t="s">
        <v>28</v>
      </c>
      <c r="CN320" s="17">
        <v>1</v>
      </c>
      <c r="CO320" s="7" t="s">
        <v>3599</v>
      </c>
      <c r="CP320" s="17">
        <v>1</v>
      </c>
      <c r="CQ320" s="7" t="s">
        <v>202</v>
      </c>
      <c r="CR320" s="7" t="s">
        <v>3600</v>
      </c>
      <c r="CS320" s="7" t="s">
        <v>355</v>
      </c>
      <c r="CT320" s="7" t="s">
        <v>664</v>
      </c>
      <c r="CU320" s="7" t="s">
        <v>3426</v>
      </c>
      <c r="CV320" s="8"/>
    </row>
    <row r="321" spans="1:100" ht="42.75">
      <c r="A321" s="1">
        <f t="shared" si="4"/>
        <v>320</v>
      </c>
      <c r="B321" s="9">
        <v>1910</v>
      </c>
      <c r="C321" s="10">
        <v>45750</v>
      </c>
      <c r="D321" s="11" t="s">
        <v>3601</v>
      </c>
      <c r="E321" s="10">
        <v>17145</v>
      </c>
      <c r="F321" s="29">
        <f ca="1">_xlfn.DAYS(NOW(),Tabella1[[#This Row],[Data di Nascita]])/365.25</f>
        <v>78.652977412731005</v>
      </c>
      <c r="G321" s="11" t="s">
        <v>3602</v>
      </c>
      <c r="H321" s="11" t="s">
        <v>3603</v>
      </c>
      <c r="I321" s="11" t="s">
        <v>3453</v>
      </c>
      <c r="J321" s="11" t="s">
        <v>3604</v>
      </c>
      <c r="K321" s="11" t="s">
        <v>5630</v>
      </c>
      <c r="L321" s="18">
        <f>IF(ISERROR(SEARCH("EX",Tabella1[[#This Row],[Attività lavorativa]],1)),0,1)</f>
        <v>1</v>
      </c>
      <c r="M321" s="18"/>
      <c r="N321" s="17">
        <v>1</v>
      </c>
      <c r="O321" s="17"/>
      <c r="P321" s="17"/>
      <c r="Q321" s="17"/>
      <c r="R321" s="17"/>
      <c r="S321" s="17"/>
      <c r="T321" s="17">
        <f>IF(ISERROR(SEARCH("NDD",Tabella1[[#This Row],[Attività lavorativa]],1)),0,1)</f>
        <v>0</v>
      </c>
      <c r="U321" s="11" t="s">
        <v>3605</v>
      </c>
      <c r="V321" s="22">
        <v>50</v>
      </c>
      <c r="W321" s="22">
        <f>IF(ISERROR(SEARCH("ex",Tabella1[[#This Row],[Fumo]],1)),0,1)</f>
        <v>1</v>
      </c>
      <c r="X321" s="22">
        <f>IF(ISERROR(SEARCH("no",Tabella1[[#This Row],[Fumo]],1)),0,1)</f>
        <v>0</v>
      </c>
      <c r="Y321" s="11" t="s">
        <v>25</v>
      </c>
      <c r="Z321" s="18">
        <f>IF(ISERROR(SEARCH("NDD",Tabella1[[#This Row],[Bevitore alcolici]],1)),0,1)</f>
        <v>0</v>
      </c>
      <c r="AA321" s="17">
        <f>IF(ISERROR(SEARCH("raro",Tabella1[[#This Row],[Bevitore alcolici]],1)),0,1)</f>
        <v>0</v>
      </c>
      <c r="AB321" s="17">
        <f>IF(ISERROR(SEARCH("saltuariamente",Tabella1[[#This Row],[Bevitore alcolici]],1)),0,1)</f>
        <v>0</v>
      </c>
      <c r="AC321" s="17">
        <f>IF(ISERROR(SEARCH("nega",Tabella1[[#This Row],[Bevitore alcolici]],1)),0,1)</f>
        <v>1</v>
      </c>
      <c r="AD321" s="17">
        <f>IF(ISERROR(SEARCH("potus",Tabella1[[#This Row],[Bevitore alcolici]],1)),0,1)</f>
        <v>0</v>
      </c>
      <c r="AE321" s="11" t="s">
        <v>5674</v>
      </c>
      <c r="AF321" s="18"/>
      <c r="AG321" s="18"/>
      <c r="AH321" s="18"/>
      <c r="AI321" s="18"/>
      <c r="AJ321" s="18">
        <v>1</v>
      </c>
      <c r="AK321" s="11" t="s">
        <v>28</v>
      </c>
      <c r="AL321" s="18">
        <f>IF(ISERROR(SEARCH("si",Tabella1[[#This Row],[Patente di guida]],1)),0,1)</f>
        <v>1</v>
      </c>
      <c r="AM321" s="11" t="s">
        <v>28</v>
      </c>
      <c r="AN321" s="18">
        <f>IF(ISERROR(SEARCH("no",Tabella1[[#This Row],[Ipertensione]],1)),0,1)</f>
        <v>0</v>
      </c>
      <c r="AO321" s="11" t="s">
        <v>3744</v>
      </c>
      <c r="AP321" s="18">
        <f>IF(ISERROR(SEARCH("NO",Tabella1[[#This Row],[Cardiopatia ischemica]],1)),1,0)</f>
        <v>0</v>
      </c>
      <c r="AQ321" s="17">
        <f>IF(ISERROR(SEARCH("sconosciuto",Tabella1[[#This Row],[Cardiopatia ischemica]],1)),0,1)</f>
        <v>0</v>
      </c>
      <c r="AR321" s="11" t="s">
        <v>25</v>
      </c>
      <c r="AS321" s="22">
        <f>IF(ISERROR(SEARCH("nega",Tabella1[[#This Row],[Artimie]],1)),0,1)</f>
        <v>1</v>
      </c>
      <c r="AT321" s="11" t="s">
        <v>516</v>
      </c>
      <c r="AU321" s="22">
        <f>IF(ISERROR(SEARCH("nega",Tabella1[[#This Row],[Ipercolesterolemia]],1)),0,1)</f>
        <v>0</v>
      </c>
      <c r="AV321" s="22">
        <f>IF(ISERROR(SEARCH("boh",Tabella1[[#This Row],[Ipercolesterolemia]],1)),0,1)</f>
        <v>0</v>
      </c>
      <c r="AW321" s="11" t="s">
        <v>195</v>
      </c>
      <c r="AX321" s="22">
        <f>IF(ISERROR(SEARCH("Intolleranza",Tabella1[[#This Row],[Diabete]],1)),0,1)</f>
        <v>0</v>
      </c>
      <c r="AY321" s="22">
        <f>IF(ISERROR(SEARCH("si",Tabella1[[#This Row],[Diabete]],1)),0,1)</f>
        <v>0</v>
      </c>
      <c r="AZ321" s="11" t="s">
        <v>195</v>
      </c>
      <c r="BA321" s="18">
        <f>IF(ISERROR(SEARCH("NDD",Tabella1[[#This Row],[Patologia Tiroidea]],1)),0,1)</f>
        <v>0</v>
      </c>
      <c r="BB321" s="22">
        <f>IF(ISERROR(SEARCH("TIROIDITE",Tabella1[[#This Row],[Patologia Tiroidea]],1)),0,1)</f>
        <v>0</v>
      </c>
      <c r="BC321" s="22">
        <f>IF(ISERROR(SEARCH("HASHIMOTO",Tabella1[[#This Row],[Patologia Tiroidea]],1)),0,1)</f>
        <v>0</v>
      </c>
      <c r="BD321" s="22">
        <f>IF(ISERROR(SEARCH("BASEDOW",Tabella1[[#This Row],[Patologia Tiroidea]],1)),0,1)</f>
        <v>0</v>
      </c>
      <c r="BE321" s="22">
        <f>IF(ISERROR(SEARCH("NOD",Tabella1[[#This Row],[Patologia Tiroidea]],1)),0,1)</f>
        <v>0</v>
      </c>
      <c r="BF321" s="22">
        <f>IF(ISERROR(SEARCH("GOZ",Tabella1[[#This Row],[Patologia Tiroidea]],1)),0,1)</f>
        <v>0</v>
      </c>
      <c r="BG321" s="11" t="s">
        <v>516</v>
      </c>
      <c r="BH321" s="18">
        <f>IF(Tabella1[[#This Row],[Obesità]]="no",0,1)</f>
        <v>1</v>
      </c>
      <c r="BI321" s="11" t="s">
        <v>25</v>
      </c>
      <c r="BJ321" s="22">
        <f>IF(ISERROR(SEARCH("nega",Tabella1[[#This Row],[Reflusso gastroesofageo]],1)),1,0)</f>
        <v>0</v>
      </c>
      <c r="BK321" s="11" t="s">
        <v>195</v>
      </c>
      <c r="BL321" s="18">
        <f>IF(ISERROR(SEARCH("NDD",Tabella1[[#This Row],[Patologia respiratoria]],1)),0,1)</f>
        <v>0</v>
      </c>
      <c r="BM321" s="18">
        <f>IF(ISERROR(SEARCH("asma",Tabella1[[#This Row],[Patologia respiratoria]],1)),0,1)</f>
        <v>0</v>
      </c>
      <c r="BN321" s="18">
        <f>IF(ISERROR(SEARCH("BPCO",Tabella1[[#This Row],[Patologia respiratoria]],1)),0,1)</f>
        <v>0</v>
      </c>
      <c r="BO321" s="18">
        <f>IF(ISERROR(SEARCH("BRONCOPOLMONITE",Tabella1[[#This Row],[Patologia respiratoria]],1)),0,1)</f>
        <v>0</v>
      </c>
      <c r="BP321" s="18">
        <f>IF(ISERROR(SEARCH("ASMA, OSAS",Tabella1[[#This Row],[Patologia respiratoria]],1)),0,1)</f>
        <v>0</v>
      </c>
      <c r="BQ321" s="18">
        <f>IF(ISERROR(SEARCH("OSAS e BPCO",Tabella1[[#This Row],[Patologia respiratoria]],1)),0,1)</f>
        <v>0</v>
      </c>
      <c r="BR321" s="18">
        <f>IF(ISERROR(SEARCH("OSAS",Tabella1[[#This Row],[Patologia respiratoria]],1)),0,1)</f>
        <v>0</v>
      </c>
      <c r="BS321" s="11"/>
      <c r="BT321" s="11" t="s">
        <v>3606</v>
      </c>
      <c r="BU321" s="11" t="s">
        <v>195</v>
      </c>
      <c r="BV321" s="18">
        <f>IF(ISERROR(SEARCH("ndd",Tabella1[[#This Row],[O2 terapia]],1)),0,1)</f>
        <v>0</v>
      </c>
      <c r="BW321" s="17">
        <v>0</v>
      </c>
      <c r="BX321" s="11"/>
      <c r="BY321" s="11" t="s">
        <v>195</v>
      </c>
      <c r="BZ321" s="18">
        <v>0</v>
      </c>
      <c r="CA321" s="11" t="s">
        <v>195</v>
      </c>
      <c r="CB321" s="17">
        <v>0</v>
      </c>
      <c r="CC321" s="11" t="s">
        <v>516</v>
      </c>
      <c r="CD321" s="17">
        <v>1</v>
      </c>
      <c r="CE321" s="11" t="s">
        <v>195</v>
      </c>
      <c r="CF321" s="18">
        <v>0</v>
      </c>
      <c r="CG321" s="11" t="s">
        <v>195</v>
      </c>
      <c r="CH321" s="17">
        <v>0</v>
      </c>
      <c r="CI321" s="11" t="s">
        <v>195</v>
      </c>
      <c r="CJ321" s="18">
        <v>0</v>
      </c>
      <c r="CK321" s="11" t="s">
        <v>2585</v>
      </c>
      <c r="CL321" s="17">
        <v>1</v>
      </c>
      <c r="CM321" s="11" t="s">
        <v>516</v>
      </c>
      <c r="CN321" s="17">
        <v>1</v>
      </c>
      <c r="CO321" s="11" t="s">
        <v>2365</v>
      </c>
      <c r="CP321" s="17">
        <v>1</v>
      </c>
      <c r="CQ321" s="11" t="s">
        <v>85</v>
      </c>
      <c r="CR321" s="11" t="s">
        <v>2825</v>
      </c>
      <c r="CS321" s="11" t="s">
        <v>105</v>
      </c>
      <c r="CT321" s="11" t="s">
        <v>569</v>
      </c>
      <c r="CU321" s="11" t="s">
        <v>1165</v>
      </c>
      <c r="CV321" s="12" t="s">
        <v>3453</v>
      </c>
    </row>
    <row r="322" spans="1:100" ht="42.75">
      <c r="A322" s="1">
        <f t="shared" si="4"/>
        <v>321</v>
      </c>
      <c r="B322" s="5">
        <v>1912</v>
      </c>
      <c r="C322" s="6">
        <v>45750</v>
      </c>
      <c r="D322" s="7" t="s">
        <v>3607</v>
      </c>
      <c r="E322" s="6">
        <v>20257</v>
      </c>
      <c r="F322" s="29">
        <f ca="1">_xlfn.DAYS(NOW(),Tabella1[[#This Row],[Data di Nascita]])/365.25</f>
        <v>70.132785763175903</v>
      </c>
      <c r="G322" s="7" t="s">
        <v>3608</v>
      </c>
      <c r="H322" s="7" t="s">
        <v>3609</v>
      </c>
      <c r="I322" s="7" t="s">
        <v>3453</v>
      </c>
      <c r="J322" s="7" t="s">
        <v>3610</v>
      </c>
      <c r="K322" s="7" t="s">
        <v>3305</v>
      </c>
      <c r="L322" s="17">
        <f>IF(ISERROR(SEARCH("EX",Tabella1[[#This Row],[Attività lavorativa]],1)),0,1)</f>
        <v>0</v>
      </c>
      <c r="M322" s="17"/>
      <c r="N322" s="17"/>
      <c r="O322" s="17"/>
      <c r="P322" s="17"/>
      <c r="Q322" s="17"/>
      <c r="R322" s="17"/>
      <c r="S322" s="17"/>
      <c r="T322" s="17">
        <f>IF(ISERROR(SEARCH("NDD",Tabella1[[#This Row],[Attività lavorativa]],1)),0,1)</f>
        <v>0</v>
      </c>
      <c r="U322" s="7" t="s">
        <v>3611</v>
      </c>
      <c r="V322" s="22">
        <v>10</v>
      </c>
      <c r="W322" s="22">
        <f>IF(ISERROR(SEARCH("ex",Tabella1[[#This Row],[Fumo]],1)),0,1)</f>
        <v>1</v>
      </c>
      <c r="X322" s="22">
        <f>IF(ISERROR(SEARCH("no",Tabella1[[#This Row],[Fumo]],1)),0,1)</f>
        <v>0</v>
      </c>
      <c r="Y322" s="7" t="s">
        <v>25</v>
      </c>
      <c r="Z322" s="17">
        <f>IF(ISERROR(SEARCH("NDD",Tabella1[[#This Row],[Bevitore alcolici]],1)),0,1)</f>
        <v>0</v>
      </c>
      <c r="AA322" s="17">
        <f>IF(ISERROR(SEARCH("raro",Tabella1[[#This Row],[Bevitore alcolici]],1)),0,1)</f>
        <v>0</v>
      </c>
      <c r="AB322" s="17">
        <f>IF(ISERROR(SEARCH("saltuariamente",Tabella1[[#This Row],[Bevitore alcolici]],1)),0,1)</f>
        <v>0</v>
      </c>
      <c r="AC322" s="17">
        <f>IF(ISERROR(SEARCH("nega",Tabella1[[#This Row],[Bevitore alcolici]],1)),0,1)</f>
        <v>1</v>
      </c>
      <c r="AD322" s="17">
        <f>IF(ISERROR(SEARCH("potus",Tabella1[[#This Row],[Bevitore alcolici]],1)),0,1)</f>
        <v>0</v>
      </c>
      <c r="AE322" s="7" t="s">
        <v>657</v>
      </c>
      <c r="AF322" s="17"/>
      <c r="AG322" s="17"/>
      <c r="AH322" s="17"/>
      <c r="AI322" s="17"/>
      <c r="AJ322" s="17"/>
      <c r="AK322" s="7" t="s">
        <v>195</v>
      </c>
      <c r="AL322" s="17">
        <f>IF(ISERROR(SEARCH("si",Tabella1[[#This Row],[Patente di guida]],1)),0,1)</f>
        <v>0</v>
      </c>
      <c r="AM322" s="7" t="s">
        <v>195</v>
      </c>
      <c r="AN322" s="17">
        <f>IF(ISERROR(SEARCH("no",Tabella1[[#This Row],[Ipertensione]],1)),0,1)</f>
        <v>1</v>
      </c>
      <c r="AO322" s="7" t="s">
        <v>382</v>
      </c>
      <c r="AP322" s="18">
        <f>IF(ISERROR(SEARCH("NO",Tabella1[[#This Row],[Cardiopatia ischemica]],1)),1,0)</f>
        <v>0</v>
      </c>
      <c r="AQ322" s="17">
        <f>IF(ISERROR(SEARCH("sconosciuto",Tabella1[[#This Row],[Cardiopatia ischemica]],1)),0,1)</f>
        <v>0</v>
      </c>
      <c r="AR322" s="7" t="s">
        <v>25</v>
      </c>
      <c r="AS322" s="22">
        <f>IF(ISERROR(SEARCH("nega",Tabella1[[#This Row],[Artimie]],1)),0,1)</f>
        <v>1</v>
      </c>
      <c r="AT322" s="7" t="s">
        <v>516</v>
      </c>
      <c r="AU322" s="22">
        <f>IF(ISERROR(SEARCH("nega",Tabella1[[#This Row],[Ipercolesterolemia]],1)),0,1)</f>
        <v>0</v>
      </c>
      <c r="AV322" s="22">
        <f>IF(ISERROR(SEARCH("boh",Tabella1[[#This Row],[Ipercolesterolemia]],1)),0,1)</f>
        <v>0</v>
      </c>
      <c r="AW322" s="7" t="s">
        <v>195</v>
      </c>
      <c r="AX322" s="22">
        <f>IF(ISERROR(SEARCH("Intolleranza",Tabella1[[#This Row],[Diabete]],1)),0,1)</f>
        <v>0</v>
      </c>
      <c r="AY322" s="22">
        <f>IF(ISERROR(SEARCH("si",Tabella1[[#This Row],[Diabete]],1)),0,1)</f>
        <v>0</v>
      </c>
      <c r="AZ322" s="7" t="s">
        <v>195</v>
      </c>
      <c r="BA322" s="17">
        <f>IF(ISERROR(SEARCH("NDD",Tabella1[[#This Row],[Patologia Tiroidea]],1)),0,1)</f>
        <v>0</v>
      </c>
      <c r="BB322" s="22">
        <f>IF(ISERROR(SEARCH("TIROIDITE",Tabella1[[#This Row],[Patologia Tiroidea]],1)),0,1)</f>
        <v>0</v>
      </c>
      <c r="BC322" s="22">
        <f>IF(ISERROR(SEARCH("HASHIMOTO",Tabella1[[#This Row],[Patologia Tiroidea]],1)),0,1)</f>
        <v>0</v>
      </c>
      <c r="BD322" s="22">
        <f>IF(ISERROR(SEARCH("BASEDOW",Tabella1[[#This Row],[Patologia Tiroidea]],1)),0,1)</f>
        <v>0</v>
      </c>
      <c r="BE322" s="22">
        <f>IF(ISERROR(SEARCH("NOD",Tabella1[[#This Row],[Patologia Tiroidea]],1)),0,1)</f>
        <v>0</v>
      </c>
      <c r="BF322" s="22">
        <f>IF(ISERROR(SEARCH("GOZ",Tabella1[[#This Row],[Patologia Tiroidea]],1)),0,1)</f>
        <v>0</v>
      </c>
      <c r="BG322" s="7" t="s">
        <v>516</v>
      </c>
      <c r="BH322" s="17">
        <f>IF(Tabella1[[#This Row],[Obesità]]="no",0,1)</f>
        <v>1</v>
      </c>
      <c r="BI322" s="7" t="s">
        <v>516</v>
      </c>
      <c r="BJ322" s="22">
        <f>IF(ISERROR(SEARCH("nega",Tabella1[[#This Row],[Reflusso gastroesofageo]],1)),1,0)</f>
        <v>1</v>
      </c>
      <c r="BK322" s="7" t="s">
        <v>195</v>
      </c>
      <c r="BL322" s="17">
        <f>IF(ISERROR(SEARCH("NDD",Tabella1[[#This Row],[Patologia respiratoria]],1)),0,1)</f>
        <v>0</v>
      </c>
      <c r="BM322" s="17">
        <f>IF(ISERROR(SEARCH("asma",Tabella1[[#This Row],[Patologia respiratoria]],1)),0,1)</f>
        <v>0</v>
      </c>
      <c r="BN322" s="17">
        <f>IF(ISERROR(SEARCH("BPCO",Tabella1[[#This Row],[Patologia respiratoria]],1)),0,1)</f>
        <v>0</v>
      </c>
      <c r="BO322" s="17">
        <f>IF(ISERROR(SEARCH("BRONCOPOLMONITE",Tabella1[[#This Row],[Patologia respiratoria]],1)),0,1)</f>
        <v>0</v>
      </c>
      <c r="BP322" s="17">
        <f>IF(ISERROR(SEARCH("ASMA, OSAS",Tabella1[[#This Row],[Patologia respiratoria]],1)),0,1)</f>
        <v>0</v>
      </c>
      <c r="BQ322" s="17">
        <f>IF(ISERROR(SEARCH("OSAS e BPCO",Tabella1[[#This Row],[Patologia respiratoria]],1)),0,1)</f>
        <v>0</v>
      </c>
      <c r="BR322" s="17">
        <f>IF(ISERROR(SEARCH("OSAS",Tabella1[[#This Row],[Patologia respiratoria]],1)),0,1)</f>
        <v>0</v>
      </c>
      <c r="BS322" s="7"/>
      <c r="BT322" s="7" t="s">
        <v>3612</v>
      </c>
      <c r="BU322" s="7" t="s">
        <v>195</v>
      </c>
      <c r="BV322" s="17">
        <f>IF(ISERROR(SEARCH("ndd",Tabella1[[#This Row],[O2 terapia]],1)),0,1)</f>
        <v>0</v>
      </c>
      <c r="BW322" s="17">
        <v>0</v>
      </c>
      <c r="BX322" s="7"/>
      <c r="BY322" s="7" t="s">
        <v>195</v>
      </c>
      <c r="BZ322" s="18">
        <v>0</v>
      </c>
      <c r="CA322" s="7" t="s">
        <v>516</v>
      </c>
      <c r="CB322" s="17">
        <v>1</v>
      </c>
      <c r="CC322" s="7" t="s">
        <v>516</v>
      </c>
      <c r="CD322" s="17">
        <v>1</v>
      </c>
      <c r="CE322" s="7" t="s">
        <v>195</v>
      </c>
      <c r="CF322" s="18">
        <v>0</v>
      </c>
      <c r="CG322" s="7" t="s">
        <v>516</v>
      </c>
      <c r="CH322" s="17">
        <v>1</v>
      </c>
      <c r="CI322" s="7" t="s">
        <v>516</v>
      </c>
      <c r="CJ322" s="17">
        <v>1</v>
      </c>
      <c r="CK322" s="7" t="s">
        <v>3578</v>
      </c>
      <c r="CL322" s="17">
        <v>1</v>
      </c>
      <c r="CM322" s="7" t="s">
        <v>195</v>
      </c>
      <c r="CN322" s="17">
        <v>0</v>
      </c>
      <c r="CO322" s="7" t="s">
        <v>195</v>
      </c>
      <c r="CP322" s="18">
        <v>0</v>
      </c>
      <c r="CQ322" s="7" t="s">
        <v>69</v>
      </c>
      <c r="CR322" s="7" t="s">
        <v>1475</v>
      </c>
      <c r="CS322" s="7" t="s">
        <v>37</v>
      </c>
      <c r="CT322" s="7" t="s">
        <v>184</v>
      </c>
      <c r="CU322" s="7" t="s">
        <v>2514</v>
      </c>
      <c r="CV322" s="8" t="s">
        <v>3453</v>
      </c>
    </row>
    <row r="323" spans="1:100" ht="42.75">
      <c r="A323" s="1">
        <f t="shared" si="4"/>
        <v>322</v>
      </c>
      <c r="B323" s="9">
        <v>1913</v>
      </c>
      <c r="C323" s="10">
        <v>45750</v>
      </c>
      <c r="D323" s="11" t="s">
        <v>3613</v>
      </c>
      <c r="E323" s="10">
        <v>18324</v>
      </c>
      <c r="F323" s="29">
        <f ca="1">_xlfn.DAYS(NOW(),Tabella1[[#This Row],[Data di Nascita]])/365.25</f>
        <v>75.42505133470226</v>
      </c>
      <c r="G323" s="11" t="s">
        <v>3614</v>
      </c>
      <c r="H323" s="11" t="s">
        <v>3615</v>
      </c>
      <c r="I323" s="11" t="s">
        <v>3453</v>
      </c>
      <c r="J323" s="11" t="s">
        <v>3610</v>
      </c>
      <c r="K323" s="11" t="s">
        <v>5631</v>
      </c>
      <c r="L323" s="18">
        <f>IF(ISERROR(SEARCH("EX",Tabella1[[#This Row],[Attività lavorativa]],1)),0,1)</f>
        <v>1</v>
      </c>
      <c r="M323" s="18"/>
      <c r="N323" s="18"/>
      <c r="O323" s="18"/>
      <c r="P323" s="18"/>
      <c r="Q323" s="18">
        <v>1</v>
      </c>
      <c r="R323" s="18"/>
      <c r="S323" s="18"/>
      <c r="T323" s="17">
        <f>IF(ISERROR(SEARCH("NDD",Tabella1[[#This Row],[Attività lavorativa]],1)),0,1)</f>
        <v>0</v>
      </c>
      <c r="U323" s="11" t="s">
        <v>3616</v>
      </c>
      <c r="V323" s="22">
        <v>80</v>
      </c>
      <c r="W323" s="22">
        <f>IF(ISERROR(SEARCH("ex",Tabella1[[#This Row],[Fumo]],1)),0,1)</f>
        <v>1</v>
      </c>
      <c r="X323" s="22">
        <f>IF(ISERROR(SEARCH("no",Tabella1[[#This Row],[Fumo]],1)),0,1)</f>
        <v>0</v>
      </c>
      <c r="Y323" s="11" t="s">
        <v>3617</v>
      </c>
      <c r="Z323" s="18">
        <f>IF(ISERROR(SEARCH("NDD",Tabella1[[#This Row],[Bevitore alcolici]],1)),0,1)</f>
        <v>0</v>
      </c>
      <c r="AA323" s="17">
        <f>IF(ISERROR(SEARCH("raro",Tabella1[[#This Row],[Bevitore alcolici]],1)),0,1)</f>
        <v>0</v>
      </c>
      <c r="AB323" s="17">
        <f>IF(ISERROR(SEARCH("saltuariamente",Tabella1[[#This Row],[Bevitore alcolici]],1)),0,1)</f>
        <v>0</v>
      </c>
      <c r="AC323" s="17">
        <f>IF(ISERROR(SEARCH("nega",Tabella1[[#This Row],[Bevitore alcolici]],1)),0,1)</f>
        <v>0</v>
      </c>
      <c r="AD323" s="17">
        <f>IF(ISERROR(SEARCH("potus",Tabella1[[#This Row],[Bevitore alcolici]],1)),0,1)</f>
        <v>0</v>
      </c>
      <c r="AE323" s="11" t="s">
        <v>3618</v>
      </c>
      <c r="AF323" s="18"/>
      <c r="AG323" s="18">
        <v>1</v>
      </c>
      <c r="AH323" s="18"/>
      <c r="AI323" s="18"/>
      <c r="AJ323" s="18"/>
      <c r="AK323" s="11" t="s">
        <v>28</v>
      </c>
      <c r="AL323" s="18">
        <f>IF(ISERROR(SEARCH("si",Tabella1[[#This Row],[Patente di guida]],1)),0,1)</f>
        <v>1</v>
      </c>
      <c r="AM323" s="11" t="s">
        <v>28</v>
      </c>
      <c r="AN323" s="18">
        <f>IF(ISERROR(SEARCH("no",Tabella1[[#This Row],[Ipertensione]],1)),0,1)</f>
        <v>0</v>
      </c>
      <c r="AO323" s="11" t="s">
        <v>3619</v>
      </c>
      <c r="AP323" s="18">
        <f>IF(ISERROR(SEARCH("NO",Tabella1[[#This Row],[Cardiopatia ischemica]],1)),1,0)</f>
        <v>1</v>
      </c>
      <c r="AQ323" s="17">
        <f>IF(ISERROR(SEARCH("sconosciuto",Tabella1[[#This Row],[Cardiopatia ischemica]],1)),0,1)</f>
        <v>0</v>
      </c>
      <c r="AR323" s="11" t="s">
        <v>25</v>
      </c>
      <c r="AS323" s="22">
        <f>IF(ISERROR(SEARCH("nega",Tabella1[[#This Row],[Artimie]],1)),0,1)</f>
        <v>1</v>
      </c>
      <c r="AT323" s="11" t="s">
        <v>25</v>
      </c>
      <c r="AU323" s="22">
        <f>IF(ISERROR(SEARCH("nega",Tabella1[[#This Row],[Ipercolesterolemia]],1)),0,1)</f>
        <v>1</v>
      </c>
      <c r="AV323" s="22">
        <f>IF(ISERROR(SEARCH("boh",Tabella1[[#This Row],[Ipercolesterolemia]],1)),0,1)</f>
        <v>0</v>
      </c>
      <c r="AW323" s="11" t="s">
        <v>28</v>
      </c>
      <c r="AX323" s="22">
        <f>IF(ISERROR(SEARCH("Intolleranza",Tabella1[[#This Row],[Diabete]],1)),0,1)</f>
        <v>0</v>
      </c>
      <c r="AY323" s="22">
        <f>IF(ISERROR(SEARCH("si",Tabella1[[#This Row],[Diabete]],1)),0,1)</f>
        <v>1</v>
      </c>
      <c r="AZ323" s="11" t="s">
        <v>195</v>
      </c>
      <c r="BA323" s="18">
        <f>IF(ISERROR(SEARCH("NDD",Tabella1[[#This Row],[Patologia Tiroidea]],1)),0,1)</f>
        <v>0</v>
      </c>
      <c r="BB323" s="22">
        <f>IF(ISERROR(SEARCH("TIROIDITE",Tabella1[[#This Row],[Patologia Tiroidea]],1)),0,1)</f>
        <v>0</v>
      </c>
      <c r="BC323" s="22">
        <f>IF(ISERROR(SEARCH("HASHIMOTO",Tabella1[[#This Row],[Patologia Tiroidea]],1)),0,1)</f>
        <v>0</v>
      </c>
      <c r="BD323" s="22">
        <f>IF(ISERROR(SEARCH("BASEDOW",Tabella1[[#This Row],[Patologia Tiroidea]],1)),0,1)</f>
        <v>0</v>
      </c>
      <c r="BE323" s="22">
        <f>IF(ISERROR(SEARCH("NOD",Tabella1[[#This Row],[Patologia Tiroidea]],1)),0,1)</f>
        <v>0</v>
      </c>
      <c r="BF323" s="22">
        <f>IF(ISERROR(SEARCH("GOZ",Tabella1[[#This Row],[Patologia Tiroidea]],1)),0,1)</f>
        <v>0</v>
      </c>
      <c r="BG323" s="11" t="s">
        <v>8</v>
      </c>
      <c r="BH323" s="18">
        <f>IF(Tabella1[[#This Row],[Obesità]]="no",0,1)</f>
        <v>0</v>
      </c>
      <c r="BI323" s="11" t="s">
        <v>516</v>
      </c>
      <c r="BJ323" s="22">
        <f>IF(ISERROR(SEARCH("nega",Tabella1[[#This Row],[Reflusso gastroesofageo]],1)),1,0)</f>
        <v>1</v>
      </c>
      <c r="BK323" s="11" t="s">
        <v>3620</v>
      </c>
      <c r="BL323" s="18">
        <f>IF(ISERROR(SEARCH("NDD",Tabella1[[#This Row],[Patologia respiratoria]],1)),0,1)</f>
        <v>0</v>
      </c>
      <c r="BM323" s="18">
        <f>IF(ISERROR(SEARCH("asma",Tabella1[[#This Row],[Patologia respiratoria]],1)),0,1)</f>
        <v>0</v>
      </c>
      <c r="BN323" s="18">
        <f>IF(ISERROR(SEARCH("BPCO",Tabella1[[#This Row],[Patologia respiratoria]],1)),0,1)</f>
        <v>0</v>
      </c>
      <c r="BO323" s="18">
        <f>IF(ISERROR(SEARCH("BRONCOPOLMONITE",Tabella1[[#This Row],[Patologia respiratoria]],1)),0,1)</f>
        <v>0</v>
      </c>
      <c r="BP323" s="18">
        <f>IF(ISERROR(SEARCH("ASMA, OSAS",Tabella1[[#This Row],[Patologia respiratoria]],1)),0,1)</f>
        <v>0</v>
      </c>
      <c r="BQ323" s="18">
        <f>IF(ISERROR(SEARCH("OSAS e BPCO",Tabella1[[#This Row],[Patologia respiratoria]],1)),0,1)</f>
        <v>0</v>
      </c>
      <c r="BR323" s="18">
        <f>IF(ISERROR(SEARCH("OSAS",Tabella1[[#This Row],[Patologia respiratoria]],1)),0,1)</f>
        <v>0</v>
      </c>
      <c r="BS323" s="11"/>
      <c r="BT323" s="11" t="s">
        <v>3621</v>
      </c>
      <c r="BU323" s="11" t="s">
        <v>195</v>
      </c>
      <c r="BV323" s="18">
        <f>IF(ISERROR(SEARCH("ndd",Tabella1[[#This Row],[O2 terapia]],1)),0,1)</f>
        <v>0</v>
      </c>
      <c r="BW323" s="17">
        <v>0</v>
      </c>
      <c r="BX323" s="11"/>
      <c r="BY323" s="11" t="s">
        <v>3622</v>
      </c>
      <c r="BZ323" s="17">
        <v>1</v>
      </c>
      <c r="CA323" s="11" t="s">
        <v>195</v>
      </c>
      <c r="CB323" s="17">
        <v>0</v>
      </c>
      <c r="CC323" s="11" t="s">
        <v>195</v>
      </c>
      <c r="CD323" s="18">
        <v>0</v>
      </c>
      <c r="CE323" s="11" t="s">
        <v>516</v>
      </c>
      <c r="CF323" s="17">
        <v>1</v>
      </c>
      <c r="CG323" s="11" t="s">
        <v>516</v>
      </c>
      <c r="CH323" s="17">
        <v>1</v>
      </c>
      <c r="CI323" s="11" t="s">
        <v>516</v>
      </c>
      <c r="CJ323" s="17">
        <v>1</v>
      </c>
      <c r="CK323" s="11" t="s">
        <v>2585</v>
      </c>
      <c r="CL323" s="17">
        <v>1</v>
      </c>
      <c r="CM323" s="11" t="s">
        <v>195</v>
      </c>
      <c r="CN323" s="17">
        <v>0</v>
      </c>
      <c r="CO323" s="11" t="s">
        <v>195</v>
      </c>
      <c r="CP323" s="18">
        <v>0</v>
      </c>
      <c r="CQ323" s="11" t="s">
        <v>202</v>
      </c>
      <c r="CR323" s="11" t="s">
        <v>3623</v>
      </c>
      <c r="CS323" s="11" t="s">
        <v>389</v>
      </c>
      <c r="CT323" s="11" t="s">
        <v>122</v>
      </c>
      <c r="CU323" s="11" t="s">
        <v>1165</v>
      </c>
      <c r="CV323" s="12" t="s">
        <v>3453</v>
      </c>
    </row>
    <row r="324" spans="1:100" ht="128.25">
      <c r="A324" s="1">
        <f t="shared" si="4"/>
        <v>323</v>
      </c>
      <c r="B324" s="5">
        <v>1914</v>
      </c>
      <c r="C324" s="6">
        <v>45751</v>
      </c>
      <c r="D324" s="7" t="s">
        <v>3624</v>
      </c>
      <c r="E324" s="6">
        <v>19468</v>
      </c>
      <c r="F324" s="29">
        <f ca="1">_xlfn.DAYS(NOW(),Tabella1[[#This Row],[Data di Nascita]])/365.25</f>
        <v>72.292950034223139</v>
      </c>
      <c r="G324" s="7" t="s">
        <v>3625</v>
      </c>
      <c r="H324" s="7" t="s">
        <v>3626</v>
      </c>
      <c r="I324" s="7" t="s">
        <v>3571</v>
      </c>
      <c r="J324" s="7" t="s">
        <v>211</v>
      </c>
      <c r="K324" s="7" t="s">
        <v>79</v>
      </c>
      <c r="L324" s="17">
        <f>IF(ISERROR(SEARCH("EX",Tabella1[[#This Row],[Attività lavorativa]],1)),0,1)</f>
        <v>0</v>
      </c>
      <c r="M324" s="17"/>
      <c r="N324" s="17"/>
      <c r="O324" s="17"/>
      <c r="P324" s="18">
        <v>1</v>
      </c>
      <c r="Q324" s="17"/>
      <c r="R324" s="17"/>
      <c r="S324" s="17"/>
      <c r="T324" s="17">
        <f>IF(ISERROR(SEARCH("NDD",Tabella1[[#This Row],[Attività lavorativa]],1)),0,1)</f>
        <v>0</v>
      </c>
      <c r="U324" s="7" t="s">
        <v>3627</v>
      </c>
      <c r="V324" s="22">
        <v>50</v>
      </c>
      <c r="W324" s="22">
        <f>IF(ISERROR(SEARCH("ex",Tabella1[[#This Row],[Fumo]],1)),0,1)</f>
        <v>0</v>
      </c>
      <c r="X324" s="22">
        <f>IF(ISERROR(SEARCH("no",Tabella1[[#This Row],[Fumo]],1)),0,1)</f>
        <v>0</v>
      </c>
      <c r="Y324" s="7" t="s">
        <v>25</v>
      </c>
      <c r="Z324" s="17">
        <f>IF(ISERROR(SEARCH("NDD",Tabella1[[#This Row],[Bevitore alcolici]],1)),0,1)</f>
        <v>0</v>
      </c>
      <c r="AA324" s="17">
        <f>IF(ISERROR(SEARCH("raro",Tabella1[[#This Row],[Bevitore alcolici]],1)),0,1)</f>
        <v>0</v>
      </c>
      <c r="AB324" s="17">
        <f>IF(ISERROR(SEARCH("saltuariamente",Tabella1[[#This Row],[Bevitore alcolici]],1)),0,1)</f>
        <v>0</v>
      </c>
      <c r="AC324" s="17">
        <f>IF(ISERROR(SEARCH("nega",Tabella1[[#This Row],[Bevitore alcolici]],1)),0,1)</f>
        <v>1</v>
      </c>
      <c r="AD324" s="17">
        <f>IF(ISERROR(SEARCH("potus",Tabella1[[#This Row],[Bevitore alcolici]],1)),0,1)</f>
        <v>0</v>
      </c>
      <c r="AE324" s="7" t="s">
        <v>3628</v>
      </c>
      <c r="AF324" s="17"/>
      <c r="AG324" s="17"/>
      <c r="AH324" s="18">
        <v>1</v>
      </c>
      <c r="AI324" s="18"/>
      <c r="AJ324" s="18"/>
      <c r="AK324" s="7" t="s">
        <v>195</v>
      </c>
      <c r="AL324" s="17">
        <f>IF(ISERROR(SEARCH("si",Tabella1[[#This Row],[Patente di guida]],1)),0,1)</f>
        <v>0</v>
      </c>
      <c r="AM324" s="7" t="s">
        <v>195</v>
      </c>
      <c r="AN324" s="17">
        <f>IF(ISERROR(SEARCH("no",Tabella1[[#This Row],[Ipertensione]],1)),0,1)</f>
        <v>1</v>
      </c>
      <c r="AO324" s="7" t="s">
        <v>3746</v>
      </c>
      <c r="AP324" s="18">
        <f>IF(ISERROR(SEARCH("NO",Tabella1[[#This Row],[Cardiopatia ischemica]],1)),1,0)</f>
        <v>0</v>
      </c>
      <c r="AQ324" s="17">
        <f>IF(ISERROR(SEARCH("sconosciuto",Tabella1[[#This Row],[Cardiopatia ischemica]],1)),0,1)</f>
        <v>0</v>
      </c>
      <c r="AR324" s="7" t="s">
        <v>25</v>
      </c>
      <c r="AS324" s="22">
        <f>IF(ISERROR(SEARCH("nega",Tabella1[[#This Row],[Artimie]],1)),0,1)</f>
        <v>1</v>
      </c>
      <c r="AT324" s="7" t="s">
        <v>25</v>
      </c>
      <c r="AU324" s="22">
        <f>IF(ISERROR(SEARCH("nega",Tabella1[[#This Row],[Ipercolesterolemia]],1)),0,1)</f>
        <v>1</v>
      </c>
      <c r="AV324" s="22">
        <f>IF(ISERROR(SEARCH("boh",Tabella1[[#This Row],[Ipercolesterolemia]],1)),0,1)</f>
        <v>0</v>
      </c>
      <c r="AW324" s="7" t="s">
        <v>195</v>
      </c>
      <c r="AX324" s="22">
        <f>IF(ISERROR(SEARCH("Intolleranza",Tabella1[[#This Row],[Diabete]],1)),0,1)</f>
        <v>0</v>
      </c>
      <c r="AY324" s="22">
        <f>IF(ISERROR(SEARCH("si",Tabella1[[#This Row],[Diabete]],1)),0,1)</f>
        <v>0</v>
      </c>
      <c r="AZ324" s="7" t="s">
        <v>195</v>
      </c>
      <c r="BA324" s="17">
        <f>IF(ISERROR(SEARCH("NDD",Tabella1[[#This Row],[Patologia Tiroidea]],1)),0,1)</f>
        <v>0</v>
      </c>
      <c r="BB324" s="22">
        <f>IF(ISERROR(SEARCH("TIROIDITE",Tabella1[[#This Row],[Patologia Tiroidea]],1)),0,1)</f>
        <v>0</v>
      </c>
      <c r="BC324" s="22">
        <f>IF(ISERROR(SEARCH("HASHIMOTO",Tabella1[[#This Row],[Patologia Tiroidea]],1)),0,1)</f>
        <v>0</v>
      </c>
      <c r="BD324" s="22">
        <f>IF(ISERROR(SEARCH("BASEDOW",Tabella1[[#This Row],[Patologia Tiroidea]],1)),0,1)</f>
        <v>0</v>
      </c>
      <c r="BE324" s="22">
        <f>IF(ISERROR(SEARCH("NOD",Tabella1[[#This Row],[Patologia Tiroidea]],1)),0,1)</f>
        <v>0</v>
      </c>
      <c r="BF324" s="22">
        <f>IF(ISERROR(SEARCH("GOZ",Tabella1[[#This Row],[Patologia Tiroidea]],1)),0,1)</f>
        <v>0</v>
      </c>
      <c r="BG324" s="7" t="s">
        <v>8</v>
      </c>
      <c r="BH324" s="17">
        <f>IF(Tabella1[[#This Row],[Obesità]]="no",0,1)</f>
        <v>0</v>
      </c>
      <c r="BI324" s="7" t="s">
        <v>25</v>
      </c>
      <c r="BJ324" s="22">
        <f>IF(ISERROR(SEARCH("nega",Tabella1[[#This Row],[Reflusso gastroesofageo]],1)),1,0)</f>
        <v>0</v>
      </c>
      <c r="BK324" s="7" t="s">
        <v>195</v>
      </c>
      <c r="BL324" s="17">
        <f>IF(ISERROR(SEARCH("NDD",Tabella1[[#This Row],[Patologia respiratoria]],1)),0,1)</f>
        <v>0</v>
      </c>
      <c r="BM324" s="17">
        <f>IF(ISERROR(SEARCH("asma",Tabella1[[#This Row],[Patologia respiratoria]],1)),0,1)</f>
        <v>0</v>
      </c>
      <c r="BN324" s="17">
        <f>IF(ISERROR(SEARCH("BPCO",Tabella1[[#This Row],[Patologia respiratoria]],1)),0,1)</f>
        <v>0</v>
      </c>
      <c r="BO324" s="17">
        <f>IF(ISERROR(SEARCH("BRONCOPOLMONITE",Tabella1[[#This Row],[Patologia respiratoria]],1)),0,1)</f>
        <v>0</v>
      </c>
      <c r="BP324" s="17">
        <f>IF(ISERROR(SEARCH("ASMA, OSAS",Tabella1[[#This Row],[Patologia respiratoria]],1)),0,1)</f>
        <v>0</v>
      </c>
      <c r="BQ324" s="17">
        <f>IF(ISERROR(SEARCH("OSAS e BPCO",Tabella1[[#This Row],[Patologia respiratoria]],1)),0,1)</f>
        <v>0</v>
      </c>
      <c r="BR324" s="17">
        <f>IF(ISERROR(SEARCH("OSAS",Tabella1[[#This Row],[Patologia respiratoria]],1)),0,1)</f>
        <v>0</v>
      </c>
      <c r="BS324" s="7" t="s">
        <v>3629</v>
      </c>
      <c r="BT324" s="7" t="s">
        <v>380</v>
      </c>
      <c r="BU324" s="7" t="s">
        <v>195</v>
      </c>
      <c r="BV324" s="17">
        <f>IF(ISERROR(SEARCH("ndd",Tabella1[[#This Row],[O2 terapia]],1)),0,1)</f>
        <v>0</v>
      </c>
      <c r="BW324" s="17">
        <v>0</v>
      </c>
      <c r="BX324" s="7"/>
      <c r="BY324" s="7" t="s">
        <v>195</v>
      </c>
      <c r="BZ324" s="18">
        <v>0</v>
      </c>
      <c r="CA324" s="7" t="s">
        <v>195</v>
      </c>
      <c r="CB324" s="17">
        <v>0</v>
      </c>
      <c r="CC324" s="7" t="s">
        <v>516</v>
      </c>
      <c r="CD324" s="17">
        <v>1</v>
      </c>
      <c r="CE324" s="7" t="s">
        <v>195</v>
      </c>
      <c r="CF324" s="18">
        <v>0</v>
      </c>
      <c r="CG324" s="7" t="s">
        <v>3630</v>
      </c>
      <c r="CH324" s="17">
        <v>1</v>
      </c>
      <c r="CI324" s="7" t="s">
        <v>195</v>
      </c>
      <c r="CJ324" s="18">
        <v>0</v>
      </c>
      <c r="CK324" s="7" t="s">
        <v>3578</v>
      </c>
      <c r="CL324" s="17">
        <v>1</v>
      </c>
      <c r="CM324" s="7" t="s">
        <v>195</v>
      </c>
      <c r="CN324" s="17">
        <v>0</v>
      </c>
      <c r="CO324" s="7" t="s">
        <v>195</v>
      </c>
      <c r="CP324" s="18">
        <v>0</v>
      </c>
      <c r="CQ324" s="7" t="s">
        <v>202</v>
      </c>
      <c r="CR324" s="7" t="s">
        <v>3111</v>
      </c>
      <c r="CS324" s="7" t="s">
        <v>184</v>
      </c>
      <c r="CT324" s="7" t="s">
        <v>746</v>
      </c>
      <c r="CU324" s="7" t="s">
        <v>2514</v>
      </c>
      <c r="CV324" s="8" t="s">
        <v>3571</v>
      </c>
    </row>
    <row r="325" spans="1:100" ht="42.75">
      <c r="A325" s="1">
        <f t="shared" si="4"/>
        <v>324</v>
      </c>
      <c r="B325" s="13">
        <v>1918</v>
      </c>
      <c r="C325" s="14">
        <v>45754</v>
      </c>
      <c r="D325" s="15" t="s">
        <v>3631</v>
      </c>
      <c r="E325" s="14">
        <v>19163</v>
      </c>
      <c r="F325" s="30">
        <f ca="1">_xlfn.DAYS(NOW(),Tabella1[[#This Row],[Data di Nascita]])/365.25</f>
        <v>73.12799452429843</v>
      </c>
      <c r="G325" s="15" t="s">
        <v>3632</v>
      </c>
      <c r="H325" s="15" t="s">
        <v>3633</v>
      </c>
      <c r="I325" s="15" t="s">
        <v>3453</v>
      </c>
      <c r="J325" s="15" t="s">
        <v>211</v>
      </c>
      <c r="K325" s="15" t="s">
        <v>5632</v>
      </c>
      <c r="L325" s="19">
        <f>IF(ISERROR(SEARCH("EX",Tabella1[[#This Row],[Attività lavorativa]],1)),0,1)</f>
        <v>1</v>
      </c>
      <c r="M325" s="19"/>
      <c r="N325" s="19"/>
      <c r="O325" s="19"/>
      <c r="P325" s="19"/>
      <c r="Q325" s="19"/>
      <c r="R325" s="19"/>
      <c r="S325" s="19"/>
      <c r="T325" s="17">
        <f>IF(ISERROR(SEARCH("NDD",Tabella1[[#This Row],[Attività lavorativa]],1)),0,1)</f>
        <v>0</v>
      </c>
      <c r="U325" s="15" t="s">
        <v>3634</v>
      </c>
      <c r="V325" s="23">
        <v>80</v>
      </c>
      <c r="W325" s="22">
        <f>IF(ISERROR(SEARCH("ex",Tabella1[[#This Row],[Fumo]],1)),0,1)</f>
        <v>0</v>
      </c>
      <c r="X325" s="22">
        <f>IF(ISERROR(SEARCH("no",Tabella1[[#This Row],[Fumo]],1)),0,1)</f>
        <v>0</v>
      </c>
      <c r="Y325" s="15" t="s">
        <v>3635</v>
      </c>
      <c r="Z325" s="19">
        <f>IF(ISERROR(SEARCH("NDD",Tabella1[[#This Row],[Bevitore alcolici]],1)),0,1)</f>
        <v>0</v>
      </c>
      <c r="AA325" s="17">
        <f>IF(ISERROR(SEARCH("raro",Tabella1[[#This Row],[Bevitore alcolici]],1)),0,1)</f>
        <v>0</v>
      </c>
      <c r="AB325" s="27">
        <f>IF(ISERROR(SEARCH("saltuariamente",Tabella1[[#This Row],[Bevitore alcolici]],1)),0,1)</f>
        <v>0</v>
      </c>
      <c r="AC325" s="27">
        <f>IF(ISERROR(SEARCH("nega",Tabella1[[#This Row],[Bevitore alcolici]],1)),0,1)</f>
        <v>0</v>
      </c>
      <c r="AD325" s="27">
        <f>IF(ISERROR(SEARCH("potus",Tabella1[[#This Row],[Bevitore alcolici]],1)),0,1)</f>
        <v>0</v>
      </c>
      <c r="AE325" s="15" t="s">
        <v>657</v>
      </c>
      <c r="AF325" s="19"/>
      <c r="AG325" s="19"/>
      <c r="AH325" s="19"/>
      <c r="AI325" s="19"/>
      <c r="AJ325" s="19"/>
      <c r="AK325" s="15" t="s">
        <v>195</v>
      </c>
      <c r="AL325" s="19">
        <f>IF(ISERROR(SEARCH("si",Tabella1[[#This Row],[Patente di guida]],1)),0,1)</f>
        <v>0</v>
      </c>
      <c r="AM325" s="15" t="s">
        <v>28</v>
      </c>
      <c r="AN325" s="19">
        <f>IF(ISERROR(SEARCH("no",Tabella1[[#This Row],[Ipertensione]],1)),0,1)</f>
        <v>0</v>
      </c>
      <c r="AO325" s="15" t="s">
        <v>516</v>
      </c>
      <c r="AP325" s="18">
        <f>IF(ISERROR(SEARCH("NO",Tabella1[[#This Row],[Cardiopatia ischemica]],1)),1,0)</f>
        <v>1</v>
      </c>
      <c r="AQ325" s="17">
        <f>IF(ISERROR(SEARCH("sconosciuto",Tabella1[[#This Row],[Cardiopatia ischemica]],1)),0,1)</f>
        <v>0</v>
      </c>
      <c r="AR325" s="15" t="s">
        <v>516</v>
      </c>
      <c r="AS325" s="23">
        <f>IF(ISERROR(SEARCH("nega",Tabella1[[#This Row],[Artimie]],1)),0,1)</f>
        <v>0</v>
      </c>
      <c r="AT325" s="15" t="s">
        <v>516</v>
      </c>
      <c r="AU325" s="23">
        <f>IF(ISERROR(SEARCH("nega",Tabella1[[#This Row],[Ipercolesterolemia]],1)),0,1)</f>
        <v>0</v>
      </c>
      <c r="AV325" s="23">
        <f>IF(ISERROR(SEARCH("boh",Tabella1[[#This Row],[Ipercolesterolemia]],1)),0,1)</f>
        <v>0</v>
      </c>
      <c r="AW325" s="15" t="s">
        <v>28</v>
      </c>
      <c r="AX325" s="23">
        <f>IF(ISERROR(SEARCH("Intolleranza",Tabella1[[#This Row],[Diabete]],1)),0,1)</f>
        <v>0</v>
      </c>
      <c r="AY325" s="23">
        <f>IF(ISERROR(SEARCH("si",Tabella1[[#This Row],[Diabete]],1)),0,1)</f>
        <v>1</v>
      </c>
      <c r="AZ325" s="15" t="s">
        <v>195</v>
      </c>
      <c r="BA325" s="19">
        <f>IF(ISERROR(SEARCH("NDD",Tabella1[[#This Row],[Patologia Tiroidea]],1)),0,1)</f>
        <v>0</v>
      </c>
      <c r="BB325" s="23">
        <f>IF(ISERROR(SEARCH("TIROIDITE",Tabella1[[#This Row],[Patologia Tiroidea]],1)),0,1)</f>
        <v>0</v>
      </c>
      <c r="BC325" s="23">
        <f>IF(ISERROR(SEARCH("HASHIMOTO",Tabella1[[#This Row],[Patologia Tiroidea]],1)),0,1)</f>
        <v>0</v>
      </c>
      <c r="BD325" s="23">
        <f>IF(ISERROR(SEARCH("BASEDOW",Tabella1[[#This Row],[Patologia Tiroidea]],1)),0,1)</f>
        <v>0</v>
      </c>
      <c r="BE325" s="23">
        <f>IF(ISERROR(SEARCH("NOD",Tabella1[[#This Row],[Patologia Tiroidea]],1)),0,1)</f>
        <v>0</v>
      </c>
      <c r="BF325" s="23">
        <f>IF(ISERROR(SEARCH("GOZ",Tabella1[[#This Row],[Patologia Tiroidea]],1)),0,1)</f>
        <v>0</v>
      </c>
      <c r="BG325" s="15" t="s">
        <v>516</v>
      </c>
      <c r="BH325" s="19">
        <f>IF(Tabella1[[#This Row],[Obesità]]="no",0,1)</f>
        <v>1</v>
      </c>
      <c r="BI325" s="15" t="s">
        <v>25</v>
      </c>
      <c r="BJ325" s="23">
        <f>IF(ISERROR(SEARCH("nega",Tabella1[[#This Row],[Reflusso gastroesofageo]],1)),1,0)</f>
        <v>0</v>
      </c>
      <c r="BK325" s="15" t="s">
        <v>3636</v>
      </c>
      <c r="BL325" s="19">
        <f>IF(ISERROR(SEARCH("NDD",Tabella1[[#This Row],[Patologia respiratoria]],1)),0,1)</f>
        <v>0</v>
      </c>
      <c r="BM325" s="19">
        <f>IF(ISERROR(SEARCH("asma",Tabella1[[#This Row],[Patologia respiratoria]],1)),0,1)</f>
        <v>0</v>
      </c>
      <c r="BN325" s="19">
        <f>IF(ISERROR(SEARCH("BPCO",Tabella1[[#This Row],[Patologia respiratoria]],1)),0,1)</f>
        <v>0</v>
      </c>
      <c r="BO325" s="19">
        <f>IF(ISERROR(SEARCH("BRONCOPOLMONITE",Tabella1[[#This Row],[Patologia respiratoria]],1)),0,1)</f>
        <v>0</v>
      </c>
      <c r="BP325" s="19">
        <f>IF(ISERROR(SEARCH("ASMA, OSAS",Tabella1[[#This Row],[Patologia respiratoria]],1)),0,1)</f>
        <v>0</v>
      </c>
      <c r="BQ325" s="19">
        <f>IF(ISERROR(SEARCH("OSAS e BPCO",Tabella1[[#This Row],[Patologia respiratoria]],1)),0,1)</f>
        <v>0</v>
      </c>
      <c r="BR325" s="19">
        <f>IF(ISERROR(SEARCH("OSAS",Tabella1[[#This Row],[Patologia respiratoria]],1)),0,1)</f>
        <v>0</v>
      </c>
      <c r="BS325" s="15" t="s">
        <v>3637</v>
      </c>
      <c r="BT325" s="15" t="s">
        <v>3638</v>
      </c>
      <c r="BU325" s="15" t="s">
        <v>195</v>
      </c>
      <c r="BV325" s="19">
        <f>IF(ISERROR(SEARCH("ndd",Tabella1[[#This Row],[O2 terapia]],1)),0,1)</f>
        <v>0</v>
      </c>
      <c r="BW325" s="17">
        <v>0</v>
      </c>
      <c r="BX325" s="15"/>
      <c r="BY325" s="15" t="s">
        <v>3639</v>
      </c>
      <c r="BZ325" s="17">
        <v>1</v>
      </c>
      <c r="CA325" s="15" t="s">
        <v>195</v>
      </c>
      <c r="CB325" s="17">
        <v>0</v>
      </c>
      <c r="CC325" s="15" t="s">
        <v>516</v>
      </c>
      <c r="CD325" s="17">
        <v>1</v>
      </c>
      <c r="CE325" s="15" t="s">
        <v>195</v>
      </c>
      <c r="CF325" s="18">
        <v>0</v>
      </c>
      <c r="CG325" s="15" t="s">
        <v>516</v>
      </c>
      <c r="CH325" s="17">
        <v>1</v>
      </c>
      <c r="CI325" s="15" t="s">
        <v>195</v>
      </c>
      <c r="CJ325" s="18">
        <v>0</v>
      </c>
      <c r="CK325" s="15" t="s">
        <v>3640</v>
      </c>
      <c r="CL325" s="17">
        <v>1</v>
      </c>
      <c r="CM325" s="15" t="s">
        <v>516</v>
      </c>
      <c r="CN325" s="17">
        <v>1</v>
      </c>
      <c r="CO325" s="15" t="s">
        <v>195</v>
      </c>
      <c r="CP325" s="18">
        <v>0</v>
      </c>
      <c r="CQ325" s="15" t="s">
        <v>54</v>
      </c>
      <c r="CR325" s="15" t="s">
        <v>3579</v>
      </c>
      <c r="CS325" s="15" t="s">
        <v>37</v>
      </c>
      <c r="CT325" s="15" t="s">
        <v>554</v>
      </c>
      <c r="CU325" s="15" t="s">
        <v>1165</v>
      </c>
      <c r="CV325" s="16" t="s">
        <v>3453</v>
      </c>
    </row>
    <row r="327" spans="1:100" s="25" customFormat="1" ht="15">
      <c r="A327" s="21">
        <v>324</v>
      </c>
      <c r="B327" s="21">
        <v>1892</v>
      </c>
      <c r="C327" s="21"/>
      <c r="D327" s="21"/>
      <c r="E327" s="21"/>
      <c r="F327" s="55">
        <f ca="1">AVERAGE(Tabella1[ETA''])</f>
        <v>58.347242291344457</v>
      </c>
      <c r="G327" s="21"/>
      <c r="H327" s="21"/>
      <c r="I327" s="21"/>
      <c r="J327" s="21"/>
      <c r="K327" s="21"/>
      <c r="L327" s="21">
        <f>SUM(Tabella1[IN PENSIONE BINARIO])</f>
        <v>71</v>
      </c>
      <c r="M327" s="21">
        <f>SUM(Tabella1[LAVORATORI RISTORAZIONE BINARIO (1=SI)])</f>
        <v>23</v>
      </c>
      <c r="N327" s="21">
        <f>SUM(Tabella1[SETTORE EDILE (1=SI)])</f>
        <v>37</v>
      </c>
      <c r="O327" s="21">
        <f>SUM(Tabella1[LOGISTICA E TRASPORTI (1=SI)])</f>
        <v>24</v>
      </c>
      <c r="P327" s="21">
        <f>SUM(Tabella1[ASSISTENZA PERSONALE/DOMICILIARE E PULIZIE (1=SI)])</f>
        <v>56</v>
      </c>
      <c r="Q327" s="21">
        <f>SUM(Tabella1[ARTIGIANATO (1=SI)])</f>
        <v>10</v>
      </c>
      <c r="R327" s="21">
        <f>SUM(Tabella1[SETTORE PORTUALE (1=SI)])</f>
        <v>11</v>
      </c>
      <c r="S327" s="21">
        <f>SUM(Tabella1[LAVORATORI RISTORAZIONE BINARIO (1=SI)])</f>
        <v>23</v>
      </c>
      <c r="T327" s="21">
        <f>SUM(Tabella1[SETTORE EDILE (1=SI)])</f>
        <v>37</v>
      </c>
      <c r="U327" s="21"/>
      <c r="V327" s="55">
        <f>AVERAGE(Tabella1[P/Y])</f>
        <v>25.966346153846153</v>
      </c>
      <c r="W327" s="21">
        <f>SUM(Tabella1[Ex-fumatori binario])</f>
        <v>80</v>
      </c>
      <c r="X327" s="21">
        <f>SUM(Tabella1[Non fumatore binario])</f>
        <v>157</v>
      </c>
      <c r="Y327" s="21"/>
      <c r="Z327" s="21">
        <f>SUM(Tabella1[NDD binario])</f>
        <v>13</v>
      </c>
      <c r="AA327" s="21">
        <f>SUM(Tabella1[Rari Bevitori Binario])</f>
        <v>8</v>
      </c>
      <c r="AB327" s="21">
        <f>SUM(Tabella1[Saltuari bevitori Binario])</f>
        <v>63</v>
      </c>
      <c r="AC327" s="21">
        <f>SUM(Tabella1[Non bevitori Binario])</f>
        <v>188</v>
      </c>
      <c r="AD327" s="21">
        <f>SUM(Tabella1[Storia di alcolismo/potus binario])</f>
        <v>5</v>
      </c>
      <c r="AE327" s="21"/>
      <c r="AF327" s="21">
        <f>SUM(Tabella1[Allergie NDD])</f>
        <v>4</v>
      </c>
      <c r="AG327" s="21">
        <f>SUM(Tabella1[Allergie a Inalanti])</f>
        <v>85</v>
      </c>
      <c r="AH327" s="21">
        <f>SUM(Tabella1[RAF binario])</f>
        <v>45</v>
      </c>
      <c r="AI327" s="21">
        <f>SUM(Tabella1[Allergie alimentari binario])</f>
        <v>14</v>
      </c>
      <c r="AJ327" s="21">
        <f>SUM(Tabella1[Allergie da contatto binario])</f>
        <v>11</v>
      </c>
      <c r="AK327" s="21"/>
      <c r="AL327" s="21">
        <f>SUM(Tabella1[Patente si (1)/no(0)])</f>
        <v>224</v>
      </c>
      <c r="AM327" s="21"/>
      <c r="AN327" s="21">
        <f>323-(SUM(Tabella1[Ipertensione Binario (no)]))</f>
        <v>171</v>
      </c>
      <c r="AO327" s="21"/>
      <c r="AP327" s="21">
        <f>SUM(Tabella1[IMA Binario no])</f>
        <v>26</v>
      </c>
      <c r="AQ327" s="21">
        <f>SUM(Tabella1[IMA Binario non noto])</f>
        <v>8</v>
      </c>
      <c r="AR327" s="21"/>
      <c r="AS327" s="21">
        <f>322-(SUM(Tabella1[Non Aritmie Binario]))</f>
        <v>28</v>
      </c>
      <c r="AT327" s="21"/>
      <c r="AU327" s="21">
        <f>321-(SUM(Tabella1[[Non Dislipidemia Binario ]]))</f>
        <v>119</v>
      </c>
      <c r="AV327" s="21">
        <f>SUM(Tabella1[Boh dislipidemia binario])</f>
        <v>3</v>
      </c>
      <c r="AW327" s="21"/>
      <c r="AX327" s="21">
        <f>SUM(Tabella1[Intollerazna glucidica])</f>
        <v>5</v>
      </c>
      <c r="AY327" s="21">
        <f>SUM(Tabella1[Diabetici Binario])</f>
        <v>45</v>
      </c>
      <c r="AZ327" s="21"/>
      <c r="BA327" s="21">
        <f>SUM(Tabella1[Tiroide NDD])</f>
        <v>16</v>
      </c>
      <c r="BB327" s="21">
        <f>SUM(Tabella1[TIROIDITI Binario])</f>
        <v>11</v>
      </c>
      <c r="BC327" s="21">
        <f>SUM(Tabella1[HASHIMOTO Binario])</f>
        <v>10</v>
      </c>
      <c r="BD327" s="21">
        <f>SUM(Tabella1[BASEDOW Binario])</f>
        <v>1</v>
      </c>
      <c r="BE327" s="21">
        <f>SUM(Tabella1[NODULI Binario])</f>
        <v>8</v>
      </c>
      <c r="BF327" s="21">
        <f>SUM(Tabella1[GOZZO])</f>
        <v>2</v>
      </c>
      <c r="BG327" s="21"/>
      <c r="BH327" s="21">
        <f>SUM(Tabella1[Obesità 0/1])</f>
        <v>187</v>
      </c>
      <c r="BI327" s="21"/>
      <c r="BJ327" s="21">
        <f>SUM(Tabella1[GERD binario (no=0)])</f>
        <v>173</v>
      </c>
      <c r="BK327" s="21"/>
      <c r="BL327" s="21">
        <f>SUM(Tabella1[NDD patol resp])</f>
        <v>43</v>
      </c>
      <c r="BM327" s="21">
        <f>SUM(Tabella1[ASMA (anche dubbia)])</f>
        <v>32</v>
      </c>
      <c r="BN327" s="21">
        <f>SUM(Tabella1[BPCO])</f>
        <v>9</v>
      </c>
      <c r="BO327" s="21">
        <f>SUM(Tabella1[PREGRESSE BRONCHITI/ BRONCOPOLMONITI/  POLMONITI])</f>
        <v>7</v>
      </c>
      <c r="BP327" s="21">
        <f>SUM(Tabella1[ASMA e OSAS])</f>
        <v>1</v>
      </c>
      <c r="BQ327" s="21">
        <f>SUM(Tabella1[OSAS e BPCO])</f>
        <v>1</v>
      </c>
      <c r="BR327" s="21">
        <f>SUM(Tabella1[OSAS])</f>
        <v>11</v>
      </c>
      <c r="BS327" s="21"/>
      <c r="BT327" s="21"/>
      <c r="BU327" s="21"/>
      <c r="BV327" s="21">
        <f>SUM(Tabella1[o2tp NDD])</f>
        <v>56</v>
      </c>
      <c r="BW327" s="21">
        <f>SUM(Tabella1[O2TP BINARIO (1=SI)])</f>
        <v>7</v>
      </c>
      <c r="BX327" s="21"/>
      <c r="BY327" s="21"/>
      <c r="BZ327" s="21">
        <f>SUM(Tabella1[RIFERITA TOSSE BINARIO (1=SI)])</f>
        <v>139</v>
      </c>
      <c r="CA327" s="21"/>
      <c r="CB327" s="21">
        <f>SUM(Tabella1[AFFANNO BINARIO (1=Si)])</f>
        <v>201</v>
      </c>
      <c r="CC327" s="21"/>
      <c r="CD327" s="21">
        <f>SUM(Tabella1[DISPNEA DA SFORZO  BINARIO (1=SI)])</f>
        <v>223</v>
      </c>
      <c r="CE327" s="21"/>
      <c r="CF327" s="21">
        <f>SUM(Tabella1[DISPNEA A RIPOSO BINARIO (1=SI)])</f>
        <v>38</v>
      </c>
      <c r="CG327" s="21"/>
      <c r="CH327" s="21">
        <f>SUM(Tabella1[RINITE BINARIA (1=SI)])</f>
        <v>130</v>
      </c>
      <c r="CI327" s="21"/>
      <c r="CJ327" s="21">
        <f>SUM(Tabella1[GERD SINTOMI BINARIO (1=SI)])</f>
        <v>98</v>
      </c>
      <c r="CK327" s="21"/>
      <c r="CL327" s="21">
        <f>SUM(Tabella1[NICTURIA BINARIO (1=SI)])</f>
        <v>245</v>
      </c>
      <c r="CM327" s="21"/>
      <c r="CN327" s="21">
        <f>SUM(Tabella1[TURBE DELLA MEMORIA BINARIO (1=SI)])</f>
        <v>189</v>
      </c>
      <c r="CO327" s="21"/>
      <c r="CP327" s="21">
        <f>SUM(Tabella1[CEFALEA MATTUTINA BINARIO (1=SI)])</f>
        <v>145</v>
      </c>
      <c r="CQ327" s="21"/>
      <c r="CR327" s="21"/>
      <c r="CS327" s="21"/>
      <c r="CT327" s="21"/>
      <c r="CU327" s="21"/>
      <c r="CV327" s="21"/>
    </row>
    <row r="328" spans="1:100" s="21" customFormat="1" ht="15">
      <c r="F328" s="55">
        <f ca="1">STDEV(Tabella1[ETA''])</f>
        <v>13.936211769077996</v>
      </c>
      <c r="V328" s="55">
        <f>STDEV(Tabella1[P/Y])</f>
        <v>21.276124103930584</v>
      </c>
    </row>
    <row r="329" spans="1:100" s="57" customFormat="1">
      <c r="F329" s="56"/>
      <c r="V329" s="58" t="s">
        <v>5594</v>
      </c>
    </row>
    <row r="330" spans="1:100" s="57" customFormat="1">
      <c r="F330" s="56"/>
      <c r="V330" s="57">
        <v>156</v>
      </c>
    </row>
    <row r="331" spans="1:100" s="57" customFormat="1">
      <c r="F331" s="56"/>
    </row>
    <row r="332" spans="1:100" s="57" customFormat="1">
      <c r="F332" s="56"/>
    </row>
    <row r="333" spans="1:100" s="57" customFormat="1">
      <c r="F333" s="56"/>
    </row>
    <row r="334" spans="1:100" s="57" customFormat="1">
      <c r="F334" s="56"/>
    </row>
    <row r="335" spans="1:100" s="57" customFormat="1">
      <c r="F335" s="56"/>
    </row>
    <row r="336" spans="1:100" s="57" customFormat="1">
      <c r="F336" s="5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5283-584F-4C89-847E-8FF622790A6C}">
  <dimension ref="A1:BU164"/>
  <sheetViews>
    <sheetView topLeftCell="AX1" zoomScale="80" zoomScaleNormal="80" workbookViewId="0">
      <selection activeCell="AZ163" sqref="AZ163"/>
    </sheetView>
  </sheetViews>
  <sheetFormatPr defaultRowHeight="14.25"/>
  <cols>
    <col min="1" max="1" width="4.875" bestFit="1" customWidth="1"/>
    <col min="2" max="2" width="12.125" bestFit="1" customWidth="1"/>
    <col min="3" max="3" width="32.625" bestFit="1" customWidth="1"/>
    <col min="4" max="4" width="16.125" bestFit="1" customWidth="1"/>
    <col min="5" max="5" width="16.125" customWidth="1"/>
    <col min="6" max="6" width="20.375" bestFit="1" customWidth="1"/>
    <col min="7" max="7" width="34" bestFit="1" customWidth="1"/>
    <col min="8" max="8" width="62.5" customWidth="1"/>
    <col min="9" max="9" width="54" customWidth="1"/>
    <col min="10" max="10" width="27" customWidth="1"/>
    <col min="11" max="12" width="19" bestFit="1" customWidth="1"/>
    <col min="13" max="13" width="18.75" bestFit="1" customWidth="1"/>
    <col min="14" max="14" width="19" bestFit="1" customWidth="1"/>
    <col min="15" max="15" width="18.75" bestFit="1" customWidth="1"/>
    <col min="16" max="17" width="19" bestFit="1" customWidth="1"/>
    <col min="18" max="18" width="22.375" customWidth="1"/>
    <col min="19" max="19" width="18.5" bestFit="1" customWidth="1"/>
    <col min="20" max="20" width="34.125" customWidth="1"/>
    <col min="21" max="23" width="13.5" bestFit="1" customWidth="1"/>
    <col min="24" max="24" width="26.25" bestFit="1" customWidth="1"/>
    <col min="25" max="26" width="13.5" bestFit="1" customWidth="1"/>
    <col min="27" max="29" width="13.5" customWidth="1"/>
    <col min="30" max="30" width="67" customWidth="1"/>
    <col min="31" max="35" width="14.25" bestFit="1" customWidth="1"/>
    <col min="36" max="37" width="11.75" customWidth="1"/>
    <col min="38" max="39" width="31.25" customWidth="1"/>
    <col min="40" max="42" width="25.25" customWidth="1"/>
    <col min="43" max="43" width="79" bestFit="1" customWidth="1"/>
    <col min="44" max="44" width="21.25" bestFit="1" customWidth="1"/>
    <col min="45" max="45" width="57.625" bestFit="1" customWidth="1"/>
    <col min="46" max="46" width="21.25" bestFit="1" customWidth="1"/>
    <col min="47" max="47" width="30.5" bestFit="1" customWidth="1"/>
    <col min="48" max="48" width="36.625" bestFit="1" customWidth="1"/>
    <col min="49" max="49" width="36.625" customWidth="1"/>
    <col min="50" max="50" width="21.25" bestFit="1" customWidth="1"/>
    <col min="51" max="51" width="45.375" bestFit="1" customWidth="1"/>
    <col min="52" max="52" width="42.625" bestFit="1" customWidth="1"/>
    <col min="53" max="53" width="107" bestFit="1" customWidth="1"/>
    <col min="54" max="54" width="79.375" bestFit="1" customWidth="1"/>
    <col min="55" max="55" width="45.375" bestFit="1" customWidth="1"/>
    <col min="56" max="56" width="23.375" bestFit="1" customWidth="1"/>
    <col min="57" max="57" width="9.875" bestFit="1" customWidth="1"/>
    <col min="58" max="58" width="15.125" bestFit="1" customWidth="1"/>
    <col min="59" max="59" width="205.875" bestFit="1" customWidth="1"/>
    <col min="60" max="60" width="214.75" bestFit="1" customWidth="1"/>
  </cols>
  <sheetData>
    <row r="1" spans="1:73" ht="60.75" thickBot="1">
      <c r="A1" s="2" t="s">
        <v>3843</v>
      </c>
      <c r="B1" s="3" t="s">
        <v>3641</v>
      </c>
      <c r="C1" s="3" t="s">
        <v>3642</v>
      </c>
      <c r="D1" s="3" t="s">
        <v>3643</v>
      </c>
      <c r="E1" s="3" t="s">
        <v>3685</v>
      </c>
      <c r="F1" s="3" t="s">
        <v>3644</v>
      </c>
      <c r="G1" s="3" t="s">
        <v>3645</v>
      </c>
      <c r="H1" s="3" t="s">
        <v>3646</v>
      </c>
      <c r="I1" s="3" t="s">
        <v>3647</v>
      </c>
      <c r="J1" s="3" t="s">
        <v>3648</v>
      </c>
      <c r="K1" s="3" t="s">
        <v>5595</v>
      </c>
      <c r="L1" s="3" t="s">
        <v>5633</v>
      </c>
      <c r="M1" s="3" t="s">
        <v>7654</v>
      </c>
      <c r="N1" s="3" t="s">
        <v>5635</v>
      </c>
      <c r="O1" s="3" t="s">
        <v>5638</v>
      </c>
      <c r="P1" s="3" t="s">
        <v>5636</v>
      </c>
      <c r="Q1" s="3" t="s">
        <v>5637</v>
      </c>
      <c r="R1" s="3" t="s">
        <v>5640</v>
      </c>
      <c r="S1" s="3" t="s">
        <v>5639</v>
      </c>
      <c r="T1" s="3" t="s">
        <v>3649</v>
      </c>
      <c r="U1" s="24" t="s">
        <v>3686</v>
      </c>
      <c r="V1" s="24" t="s">
        <v>3691</v>
      </c>
      <c r="W1" s="24" t="s">
        <v>3692</v>
      </c>
      <c r="X1" s="3" t="s">
        <v>3650</v>
      </c>
      <c r="Y1" s="3" t="s">
        <v>5641</v>
      </c>
      <c r="Z1" s="3" t="s">
        <v>3700</v>
      </c>
      <c r="AA1" s="3" t="s">
        <v>3701</v>
      </c>
      <c r="AB1" s="3" t="s">
        <v>3702</v>
      </c>
      <c r="AC1" s="3" t="s">
        <v>3703</v>
      </c>
      <c r="AD1" s="3" t="s">
        <v>6612</v>
      </c>
      <c r="AE1" s="3" t="s">
        <v>5643</v>
      </c>
      <c r="AF1" s="3" t="s">
        <v>5642</v>
      </c>
      <c r="AG1" s="3" t="s">
        <v>5699</v>
      </c>
      <c r="AH1" s="3" t="s">
        <v>5700</v>
      </c>
      <c r="AI1" s="3" t="s">
        <v>5701</v>
      </c>
      <c r="AJ1" s="3" t="s">
        <v>3652</v>
      </c>
      <c r="AK1" s="3" t="s">
        <v>3717</v>
      </c>
      <c r="AL1" s="3" t="s">
        <v>3653</v>
      </c>
      <c r="AM1" s="3" t="s">
        <v>3723</v>
      </c>
      <c r="AN1" s="3" t="s">
        <v>3654</v>
      </c>
      <c r="AO1" s="75" t="s">
        <v>3725</v>
      </c>
      <c r="AP1" s="75" t="s">
        <v>3724</v>
      </c>
      <c r="AQ1" s="3" t="s">
        <v>3655</v>
      </c>
      <c r="AR1" s="77" t="s">
        <v>3750</v>
      </c>
      <c r="AS1" s="3" t="s">
        <v>3656</v>
      </c>
      <c r="AT1" s="77" t="s">
        <v>3757</v>
      </c>
      <c r="AU1" s="77" t="s">
        <v>3758</v>
      </c>
      <c r="AV1" s="3" t="s">
        <v>3657</v>
      </c>
      <c r="AW1" s="77" t="s">
        <v>3761</v>
      </c>
      <c r="AX1" s="77" t="s">
        <v>3762</v>
      </c>
      <c r="AY1" s="3" t="s">
        <v>3658</v>
      </c>
      <c r="AZ1" s="3" t="s">
        <v>3659</v>
      </c>
      <c r="BA1" s="3" t="s">
        <v>3660</v>
      </c>
      <c r="BB1" s="3" t="s">
        <v>3661</v>
      </c>
      <c r="BC1" s="3" t="s">
        <v>3662</v>
      </c>
      <c r="BD1" s="3" t="s">
        <v>3663</v>
      </c>
      <c r="BE1" s="3" t="s">
        <v>3664</v>
      </c>
      <c r="BF1" s="3" t="s">
        <v>3665</v>
      </c>
      <c r="BG1" s="3" t="s">
        <v>2874</v>
      </c>
      <c r="BH1" s="3" t="s">
        <v>3666</v>
      </c>
      <c r="BI1" s="3" t="s">
        <v>3667</v>
      </c>
      <c r="BJ1" s="3" t="s">
        <v>3668</v>
      </c>
      <c r="BK1" s="3" t="s">
        <v>3669</v>
      </c>
      <c r="BL1" s="3" t="s">
        <v>3670</v>
      </c>
      <c r="BM1" s="3" t="s">
        <v>3671</v>
      </c>
      <c r="BN1" s="3" t="s">
        <v>3672</v>
      </c>
      <c r="BO1" s="3" t="s">
        <v>3673</v>
      </c>
      <c r="BP1" s="3" t="s">
        <v>3674</v>
      </c>
      <c r="BQ1" s="3" t="s">
        <v>3675</v>
      </c>
      <c r="BR1" s="3" t="s">
        <v>3676</v>
      </c>
      <c r="BS1" s="3" t="s">
        <v>3677</v>
      </c>
      <c r="BT1" s="3" t="s">
        <v>3678</v>
      </c>
      <c r="BU1" s="4" t="s">
        <v>3679</v>
      </c>
    </row>
    <row r="2" spans="1:73" ht="143.25" thickTop="1">
      <c r="A2" s="5">
        <v>8</v>
      </c>
      <c r="B2" s="6">
        <v>44221</v>
      </c>
      <c r="C2" s="7" t="s">
        <v>5734</v>
      </c>
      <c r="D2" s="6">
        <v>22181</v>
      </c>
      <c r="E2" s="29">
        <f ca="1">_xlfn.DAYS(NOW(),Tabella3[[#This Row],[Data di Nascita]])/365.25</f>
        <v>64.865160848733737</v>
      </c>
      <c r="F2" s="7" t="s">
        <v>5735</v>
      </c>
      <c r="G2" s="7" t="s">
        <v>5736</v>
      </c>
      <c r="H2" s="7" t="s">
        <v>5737</v>
      </c>
      <c r="I2" s="7" t="s">
        <v>5738</v>
      </c>
      <c r="J2" s="7" t="s">
        <v>881</v>
      </c>
      <c r="K2" s="17"/>
      <c r="L2" s="17"/>
      <c r="M2" s="17"/>
      <c r="N2" s="17"/>
      <c r="O2" s="17"/>
      <c r="P2" s="17"/>
      <c r="Q2" s="17"/>
      <c r="R2" s="17"/>
      <c r="S2" s="17"/>
      <c r="T2" s="7" t="s">
        <v>5739</v>
      </c>
      <c r="U2" s="17"/>
      <c r="V2" s="17"/>
      <c r="W2" s="17"/>
      <c r="X2" s="7" t="s">
        <v>8</v>
      </c>
      <c r="Y2" s="17"/>
      <c r="Z2" s="17"/>
      <c r="AA2" s="17"/>
      <c r="AB2" s="17">
        <v>1</v>
      </c>
      <c r="AC2" s="17"/>
      <c r="AD2" s="7" t="s">
        <v>6612</v>
      </c>
      <c r="AE2" s="17"/>
      <c r="AF2" s="17"/>
      <c r="AG2" s="17">
        <v>1</v>
      </c>
      <c r="AH2" s="17"/>
      <c r="AI2" s="17"/>
      <c r="AJ2" s="7" t="s">
        <v>28</v>
      </c>
      <c r="AK2" s="17">
        <v>1</v>
      </c>
      <c r="AL2" s="7" t="s">
        <v>5740</v>
      </c>
      <c r="AM2" s="17">
        <v>1</v>
      </c>
      <c r="AN2" s="7" t="s">
        <v>8</v>
      </c>
      <c r="AO2" s="17">
        <v>1</v>
      </c>
      <c r="AP2" s="17"/>
      <c r="AQ2" s="7" t="s">
        <v>8</v>
      </c>
      <c r="AR2" s="17">
        <v>1</v>
      </c>
      <c r="AS2" s="7" t="s">
        <v>8</v>
      </c>
      <c r="AT2" s="17">
        <v>1</v>
      </c>
      <c r="AU2" s="17"/>
      <c r="AV2" s="7" t="s">
        <v>8</v>
      </c>
      <c r="AW2" s="17"/>
      <c r="AX2" s="17"/>
      <c r="AY2" s="7" t="s">
        <v>5741</v>
      </c>
      <c r="AZ2" s="7" t="s">
        <v>860</v>
      </c>
      <c r="BA2" s="7" t="s">
        <v>28</v>
      </c>
      <c r="BB2" s="7" t="s">
        <v>8</v>
      </c>
      <c r="BC2" s="7" t="s">
        <v>5742</v>
      </c>
      <c r="BD2" s="7" t="s">
        <v>5743</v>
      </c>
      <c r="BE2" s="7"/>
      <c r="BF2" s="7"/>
      <c r="BG2" s="7" t="s">
        <v>8</v>
      </c>
      <c r="BH2" s="7"/>
      <c r="BI2" s="7" t="s">
        <v>8</v>
      </c>
      <c r="BJ2" s="7" t="s">
        <v>8</v>
      </c>
      <c r="BK2" s="7" t="s">
        <v>5744</v>
      </c>
      <c r="BL2" s="7" t="s">
        <v>5745</v>
      </c>
      <c r="BM2" s="7" t="s">
        <v>5746</v>
      </c>
      <c r="BN2" s="7" t="s">
        <v>3896</v>
      </c>
      <c r="BO2" s="7" t="s">
        <v>8</v>
      </c>
      <c r="BP2" s="7" t="s">
        <v>4975</v>
      </c>
      <c r="BQ2" s="7" t="s">
        <v>5747</v>
      </c>
      <c r="BR2" s="7" t="s">
        <v>71</v>
      </c>
      <c r="BS2" s="7" t="s">
        <v>262</v>
      </c>
      <c r="BT2" s="7" t="s">
        <v>5748</v>
      </c>
      <c r="BU2" s="8" t="s">
        <v>5749</v>
      </c>
    </row>
    <row r="3" spans="1:73" ht="409.5">
      <c r="A3" s="9">
        <v>12</v>
      </c>
      <c r="B3" s="10">
        <v>44224</v>
      </c>
      <c r="C3" s="11" t="s">
        <v>5750</v>
      </c>
      <c r="D3" s="10">
        <v>25016</v>
      </c>
      <c r="E3" s="29">
        <f ca="1">_xlfn.DAYS(NOW(),Tabella3[[#This Row],[Data di Nascita]])/365.25</f>
        <v>57.103353867214238</v>
      </c>
      <c r="F3" s="11" t="s">
        <v>5751</v>
      </c>
      <c r="G3" s="11" t="s">
        <v>5752</v>
      </c>
      <c r="H3" s="11" t="s">
        <v>5753</v>
      </c>
      <c r="I3" s="11" t="s">
        <v>5754</v>
      </c>
      <c r="J3" s="11" t="s">
        <v>881</v>
      </c>
      <c r="K3" s="18"/>
      <c r="L3" s="18"/>
      <c r="M3" s="18"/>
      <c r="N3" s="18"/>
      <c r="O3" s="18"/>
      <c r="P3" s="18"/>
      <c r="Q3" s="18"/>
      <c r="R3" s="18"/>
      <c r="S3" s="18"/>
      <c r="T3" s="11" t="s">
        <v>5755</v>
      </c>
      <c r="U3" s="18">
        <v>45</v>
      </c>
      <c r="V3" s="18"/>
      <c r="W3" s="18"/>
      <c r="X3" s="11" t="s">
        <v>7</v>
      </c>
      <c r="Y3" s="18"/>
      <c r="Z3" s="18"/>
      <c r="AA3" s="18"/>
      <c r="AB3" s="18"/>
      <c r="AC3" s="18"/>
      <c r="AD3" s="11" t="s">
        <v>8</v>
      </c>
      <c r="AE3" s="18"/>
      <c r="AF3" s="18"/>
      <c r="AG3" s="18"/>
      <c r="AH3" s="18"/>
      <c r="AI3" s="18"/>
      <c r="AJ3" s="11" t="s">
        <v>7</v>
      </c>
      <c r="AK3" s="17">
        <v>1</v>
      </c>
      <c r="AL3" s="11" t="s">
        <v>7</v>
      </c>
      <c r="AM3" s="17">
        <v>1</v>
      </c>
      <c r="AN3" s="11" t="s">
        <v>8</v>
      </c>
      <c r="AO3" s="17">
        <v>1</v>
      </c>
      <c r="AP3" s="18"/>
      <c r="AQ3" s="11" t="s">
        <v>8</v>
      </c>
      <c r="AR3" s="17">
        <v>1</v>
      </c>
      <c r="AS3" s="11" t="s">
        <v>8</v>
      </c>
      <c r="AT3" s="17">
        <v>1</v>
      </c>
      <c r="AU3" s="18"/>
      <c r="AV3" s="11" t="s">
        <v>5756</v>
      </c>
      <c r="AW3" s="18"/>
      <c r="AX3" s="18">
        <v>1</v>
      </c>
      <c r="AY3" s="11" t="s">
        <v>8</v>
      </c>
      <c r="AZ3" s="11" t="s">
        <v>7</v>
      </c>
      <c r="BA3" s="11" t="s">
        <v>7</v>
      </c>
      <c r="BB3" s="11" t="s">
        <v>8</v>
      </c>
      <c r="BC3" s="11"/>
      <c r="BD3" s="11" t="s">
        <v>5757</v>
      </c>
      <c r="BE3" s="11"/>
      <c r="BF3" s="11" t="s">
        <v>5758</v>
      </c>
      <c r="BG3" s="11" t="s">
        <v>5759</v>
      </c>
      <c r="BH3" s="11"/>
      <c r="BI3" s="11" t="s">
        <v>7</v>
      </c>
      <c r="BJ3" s="11" t="s">
        <v>8</v>
      </c>
      <c r="BK3" s="11" t="s">
        <v>5760</v>
      </c>
      <c r="BL3" s="11" t="s">
        <v>7</v>
      </c>
      <c r="BM3" s="11" t="s">
        <v>5761</v>
      </c>
      <c r="BN3" s="11" t="s">
        <v>8</v>
      </c>
      <c r="BO3" s="11" t="s">
        <v>8</v>
      </c>
      <c r="BP3" s="11" t="s">
        <v>4975</v>
      </c>
      <c r="BQ3" s="11" t="s">
        <v>55</v>
      </c>
      <c r="BR3" s="11" t="s">
        <v>105</v>
      </c>
      <c r="BS3" s="11" t="s">
        <v>122</v>
      </c>
      <c r="BT3" s="11" t="s">
        <v>5762</v>
      </c>
      <c r="BU3" s="12" t="s">
        <v>5763</v>
      </c>
    </row>
    <row r="4" spans="1:73" ht="409.5">
      <c r="A4" s="5">
        <v>15</v>
      </c>
      <c r="B4" s="6">
        <v>44229</v>
      </c>
      <c r="C4" s="7" t="s">
        <v>5764</v>
      </c>
      <c r="D4" s="6">
        <v>25024</v>
      </c>
      <c r="E4" s="29">
        <f ca="1">_xlfn.DAYS(NOW(),Tabella3[[#This Row],[Data di Nascita]])/365.25</f>
        <v>57.081451060917182</v>
      </c>
      <c r="F4" s="7" t="s">
        <v>5765</v>
      </c>
      <c r="G4" s="7" t="s">
        <v>5766</v>
      </c>
      <c r="H4" s="7" t="s">
        <v>439</v>
      </c>
      <c r="I4" s="7" t="s">
        <v>5767</v>
      </c>
      <c r="J4" s="7" t="s">
        <v>5768</v>
      </c>
      <c r="K4" s="17">
        <v>1</v>
      </c>
      <c r="L4" s="17"/>
      <c r="M4" s="17"/>
      <c r="N4" s="17">
        <v>1</v>
      </c>
      <c r="O4" s="17"/>
      <c r="P4" s="17"/>
      <c r="Q4" s="17"/>
      <c r="R4" s="17"/>
      <c r="S4" s="17"/>
      <c r="T4" s="7" t="s">
        <v>5769</v>
      </c>
      <c r="U4" s="17"/>
      <c r="V4" s="17"/>
      <c r="W4" s="17"/>
      <c r="X4" s="7" t="s">
        <v>7</v>
      </c>
      <c r="Y4" s="17"/>
      <c r="Z4" s="17"/>
      <c r="AA4" s="17"/>
      <c r="AB4" s="17"/>
      <c r="AC4" s="17"/>
      <c r="AD4" s="7" t="s">
        <v>5770</v>
      </c>
      <c r="AE4" s="17"/>
      <c r="AF4" s="17">
        <v>1</v>
      </c>
      <c r="AG4" s="17"/>
      <c r="AH4" s="17"/>
      <c r="AI4" s="17"/>
      <c r="AJ4" s="7" t="s">
        <v>7</v>
      </c>
      <c r="AK4" s="17">
        <v>1</v>
      </c>
      <c r="AL4" s="7" t="s">
        <v>7</v>
      </c>
      <c r="AM4" s="17">
        <v>1</v>
      </c>
      <c r="AN4" s="7" t="s">
        <v>8</v>
      </c>
      <c r="AO4" s="17">
        <v>1</v>
      </c>
      <c r="AP4" s="17"/>
      <c r="AQ4" s="7" t="s">
        <v>8</v>
      </c>
      <c r="AR4" s="17">
        <v>1</v>
      </c>
      <c r="AS4" s="7" t="s">
        <v>7</v>
      </c>
      <c r="AT4" s="17"/>
      <c r="AU4" s="17"/>
      <c r="AV4" s="7" t="s">
        <v>5771</v>
      </c>
      <c r="AW4" s="17"/>
      <c r="AX4" s="17">
        <v>1</v>
      </c>
      <c r="AY4" s="7" t="s">
        <v>8</v>
      </c>
      <c r="AZ4" s="7" t="s">
        <v>7</v>
      </c>
      <c r="BA4" s="7" t="s">
        <v>8</v>
      </c>
      <c r="BB4" s="7" t="s">
        <v>8</v>
      </c>
      <c r="BC4" s="7" t="s">
        <v>5772</v>
      </c>
      <c r="BD4" s="7" t="s">
        <v>5773</v>
      </c>
      <c r="BE4" s="7"/>
      <c r="BF4" s="7"/>
      <c r="BG4" s="7" t="s">
        <v>47</v>
      </c>
      <c r="BH4" s="7"/>
      <c r="BI4" s="7" t="s">
        <v>7</v>
      </c>
      <c r="BJ4" s="7" t="s">
        <v>8</v>
      </c>
      <c r="BK4" s="7" t="s">
        <v>8</v>
      </c>
      <c r="BL4" s="7" t="s">
        <v>8</v>
      </c>
      <c r="BM4" s="7" t="s">
        <v>52</v>
      </c>
      <c r="BN4" s="7" t="s">
        <v>7</v>
      </c>
      <c r="BO4" s="7" t="s">
        <v>8</v>
      </c>
      <c r="BP4" s="7" t="s">
        <v>4975</v>
      </c>
      <c r="BQ4" s="7" t="s">
        <v>120</v>
      </c>
      <c r="BR4" s="7" t="s">
        <v>105</v>
      </c>
      <c r="BS4" s="7" t="s">
        <v>1922</v>
      </c>
      <c r="BT4" s="7" t="s">
        <v>5774</v>
      </c>
      <c r="BU4" s="8" t="s">
        <v>5775</v>
      </c>
    </row>
    <row r="5" spans="1:73" ht="409.5">
      <c r="A5" s="9">
        <v>18</v>
      </c>
      <c r="B5" s="10">
        <v>44230</v>
      </c>
      <c r="C5" s="11" t="s">
        <v>5776</v>
      </c>
      <c r="D5" s="10">
        <v>15205</v>
      </c>
      <c r="E5" s="29">
        <f ca="1">_xlfn.DAYS(NOW(),Tabella3[[#This Row],[Data di Nascita]])/365.25</f>
        <v>83.964407939767284</v>
      </c>
      <c r="F5" s="11" t="s">
        <v>5777</v>
      </c>
      <c r="G5" s="11" t="s">
        <v>5778</v>
      </c>
      <c r="H5" s="11" t="s">
        <v>3921</v>
      </c>
      <c r="I5" s="11" t="s">
        <v>5779</v>
      </c>
      <c r="J5" s="11" t="s">
        <v>5780</v>
      </c>
      <c r="K5" s="17">
        <v>1</v>
      </c>
      <c r="L5" s="18"/>
      <c r="M5" s="18"/>
      <c r="N5" s="18"/>
      <c r="O5" s="18">
        <v>1</v>
      </c>
      <c r="P5" s="18"/>
      <c r="Q5" s="18"/>
      <c r="R5" s="18"/>
      <c r="S5" s="18"/>
      <c r="T5" s="11" t="s">
        <v>5781</v>
      </c>
      <c r="U5" s="18">
        <v>7.5</v>
      </c>
      <c r="V5" s="18"/>
      <c r="W5" s="18"/>
      <c r="X5" s="11" t="s">
        <v>25</v>
      </c>
      <c r="Y5" s="18"/>
      <c r="Z5" s="18"/>
      <c r="AA5" s="18"/>
      <c r="AB5" s="18">
        <v>1</v>
      </c>
      <c r="AC5" s="18"/>
      <c r="AD5" s="11" t="s">
        <v>5782</v>
      </c>
      <c r="AE5" s="18"/>
      <c r="AF5" s="18"/>
      <c r="AG5" s="18">
        <v>1</v>
      </c>
      <c r="AH5" s="18"/>
      <c r="AI5" s="18">
        <v>1</v>
      </c>
      <c r="AJ5" s="11" t="s">
        <v>8</v>
      </c>
      <c r="AK5" s="18"/>
      <c r="AL5" s="11" t="s">
        <v>8</v>
      </c>
      <c r="AM5" s="18"/>
      <c r="AN5" s="11" t="s">
        <v>8</v>
      </c>
      <c r="AO5" s="17">
        <v>1</v>
      </c>
      <c r="AP5" s="18"/>
      <c r="AQ5" s="11" t="s">
        <v>8</v>
      </c>
      <c r="AR5" s="17">
        <v>1</v>
      </c>
      <c r="AS5" s="11" t="s">
        <v>7</v>
      </c>
      <c r="AT5" s="18"/>
      <c r="AU5" s="18"/>
      <c r="AV5" s="11" t="s">
        <v>8</v>
      </c>
      <c r="AW5" s="18"/>
      <c r="AX5" s="18"/>
      <c r="AY5" s="11" t="s">
        <v>8</v>
      </c>
      <c r="AZ5" s="11" t="s">
        <v>8</v>
      </c>
      <c r="BA5" s="11" t="s">
        <v>7</v>
      </c>
      <c r="BB5" s="11" t="s">
        <v>8</v>
      </c>
      <c r="BC5" s="11" t="s">
        <v>5783</v>
      </c>
      <c r="BD5" s="11" t="s">
        <v>8</v>
      </c>
      <c r="BE5" s="11"/>
      <c r="BF5" s="11"/>
      <c r="BG5" s="11" t="s">
        <v>5784</v>
      </c>
      <c r="BH5" s="11"/>
      <c r="BI5" s="11" t="s">
        <v>3896</v>
      </c>
      <c r="BJ5" s="11" t="s">
        <v>47</v>
      </c>
      <c r="BK5" s="11" t="s">
        <v>5785</v>
      </c>
      <c r="BL5" s="11" t="s">
        <v>7</v>
      </c>
      <c r="BM5" s="11" t="s">
        <v>82</v>
      </c>
      <c r="BN5" s="11" t="s">
        <v>5786</v>
      </c>
      <c r="BO5" s="11" t="s">
        <v>8</v>
      </c>
      <c r="BP5" s="11" t="s">
        <v>4975</v>
      </c>
      <c r="BQ5" s="11" t="s">
        <v>1272</v>
      </c>
      <c r="BR5" s="11" t="s">
        <v>37</v>
      </c>
      <c r="BS5" s="11" t="s">
        <v>154</v>
      </c>
      <c r="BT5" s="11" t="s">
        <v>5787</v>
      </c>
      <c r="BU5" s="12" t="s">
        <v>5788</v>
      </c>
    </row>
    <row r="6" spans="1:73" ht="409.5">
      <c r="A6" s="5">
        <v>40</v>
      </c>
      <c r="B6" s="6">
        <v>44270</v>
      </c>
      <c r="C6" s="7" t="s">
        <v>5789</v>
      </c>
      <c r="D6" s="6">
        <v>20374</v>
      </c>
      <c r="E6" s="29">
        <f ca="1">_xlfn.DAYS(NOW(),Tabella3[[#This Row],[Data di Nascita]])/365.25</f>
        <v>69.812457221081445</v>
      </c>
      <c r="F6" s="7" t="s">
        <v>5790</v>
      </c>
      <c r="G6" s="7" t="s">
        <v>5791</v>
      </c>
      <c r="H6" s="7" t="s">
        <v>5792</v>
      </c>
      <c r="I6" s="7" t="s">
        <v>5793</v>
      </c>
      <c r="J6" s="7" t="s">
        <v>5794</v>
      </c>
      <c r="K6" s="17">
        <v>1</v>
      </c>
      <c r="L6" s="17">
        <v>1</v>
      </c>
      <c r="M6" s="17"/>
      <c r="N6" s="17"/>
      <c r="O6" s="17"/>
      <c r="P6" s="17"/>
      <c r="Q6" s="17"/>
      <c r="R6" s="17"/>
      <c r="S6" s="17"/>
      <c r="T6" s="7" t="s">
        <v>5795</v>
      </c>
      <c r="U6" s="17"/>
      <c r="V6" s="17"/>
      <c r="W6" s="17">
        <v>1</v>
      </c>
      <c r="X6" s="7" t="s">
        <v>5796</v>
      </c>
      <c r="Y6" s="17"/>
      <c r="Z6" s="17"/>
      <c r="AA6" s="17"/>
      <c r="AB6" s="17"/>
      <c r="AC6" s="17"/>
      <c r="AD6" s="7" t="s">
        <v>5797</v>
      </c>
      <c r="AE6" s="17"/>
      <c r="AF6" s="17"/>
      <c r="AG6" s="17"/>
      <c r="AH6" s="17"/>
      <c r="AI6" s="17"/>
      <c r="AJ6" s="7" t="s">
        <v>8</v>
      </c>
      <c r="AK6" s="17"/>
      <c r="AL6" s="7" t="s">
        <v>516</v>
      </c>
      <c r="AM6" s="17">
        <v>1</v>
      </c>
      <c r="AN6" s="7" t="s">
        <v>5798</v>
      </c>
      <c r="AO6" s="17">
        <v>0</v>
      </c>
      <c r="AP6" s="17"/>
      <c r="AQ6" s="7" t="s">
        <v>25</v>
      </c>
      <c r="AR6" s="17">
        <v>1</v>
      </c>
      <c r="AS6" s="7" t="s">
        <v>25</v>
      </c>
      <c r="AT6" s="17">
        <v>1</v>
      </c>
      <c r="AU6" s="17"/>
      <c r="AV6" s="7" t="s">
        <v>25</v>
      </c>
      <c r="AW6" s="17"/>
      <c r="AX6" s="17"/>
      <c r="AY6" s="7" t="s">
        <v>25</v>
      </c>
      <c r="AZ6" s="7" t="s">
        <v>5799</v>
      </c>
      <c r="BA6" s="7" t="s">
        <v>5800</v>
      </c>
      <c r="BB6" s="7" t="s">
        <v>5801</v>
      </c>
      <c r="BC6" s="7" t="s">
        <v>5802</v>
      </c>
      <c r="BD6" s="7" t="s">
        <v>5803</v>
      </c>
      <c r="BE6" s="7"/>
      <c r="BF6" s="7"/>
      <c r="BG6" s="7" t="s">
        <v>25</v>
      </c>
      <c r="BH6" s="7"/>
      <c r="BI6" s="7" t="s">
        <v>151</v>
      </c>
      <c r="BJ6" s="7" t="s">
        <v>25</v>
      </c>
      <c r="BK6" s="7" t="s">
        <v>25</v>
      </c>
      <c r="BL6" s="7" t="s">
        <v>25</v>
      </c>
      <c r="BM6" s="7" t="s">
        <v>134</v>
      </c>
      <c r="BN6" s="7" t="s">
        <v>25</v>
      </c>
      <c r="BO6" s="7" t="s">
        <v>25</v>
      </c>
      <c r="BP6" s="7" t="s">
        <v>5804</v>
      </c>
      <c r="BQ6" s="7" t="s">
        <v>1827</v>
      </c>
      <c r="BR6" s="7" t="s">
        <v>389</v>
      </c>
      <c r="BS6" s="7" t="s">
        <v>1373</v>
      </c>
      <c r="BT6" s="7" t="s">
        <v>5805</v>
      </c>
      <c r="BU6" s="8" t="s">
        <v>5806</v>
      </c>
    </row>
    <row r="7" spans="1:73" ht="213.75">
      <c r="A7" s="9">
        <v>45</v>
      </c>
      <c r="B7" s="10">
        <v>44274</v>
      </c>
      <c r="C7" s="11" t="s">
        <v>5807</v>
      </c>
      <c r="D7" s="10">
        <v>18680</v>
      </c>
      <c r="E7" s="29">
        <f ca="1">_xlfn.DAYS(NOW(),Tabella3[[#This Row],[Data di Nascita]])/365.25</f>
        <v>74.450376454483234</v>
      </c>
      <c r="F7" s="11" t="s">
        <v>5808</v>
      </c>
      <c r="G7" s="11" t="s">
        <v>5809</v>
      </c>
      <c r="H7" s="11" t="s">
        <v>5810</v>
      </c>
      <c r="I7" s="11" t="s">
        <v>5811</v>
      </c>
      <c r="J7" s="11" t="s">
        <v>2058</v>
      </c>
      <c r="K7" s="17">
        <v>1</v>
      </c>
      <c r="L7" s="18"/>
      <c r="M7" s="18"/>
      <c r="N7" s="18"/>
      <c r="O7" s="18"/>
      <c r="P7" s="18"/>
      <c r="Q7" s="18"/>
      <c r="R7" s="18"/>
      <c r="S7" s="18"/>
      <c r="T7" s="11" t="s">
        <v>5795</v>
      </c>
      <c r="U7" s="18"/>
      <c r="V7" s="18"/>
      <c r="W7" s="18">
        <v>1</v>
      </c>
      <c r="X7" s="11" t="s">
        <v>25</v>
      </c>
      <c r="Y7" s="18"/>
      <c r="Z7" s="18"/>
      <c r="AA7" s="18"/>
      <c r="AB7" s="18"/>
      <c r="AC7" s="18"/>
      <c r="AD7" s="11" t="s">
        <v>5812</v>
      </c>
      <c r="AE7" s="18"/>
      <c r="AF7" s="18"/>
      <c r="AG7" s="18"/>
      <c r="AH7" s="18"/>
      <c r="AI7" s="18"/>
      <c r="AJ7" s="11" t="s">
        <v>7</v>
      </c>
      <c r="AK7" s="17">
        <v>1</v>
      </c>
      <c r="AL7" s="11" t="s">
        <v>7</v>
      </c>
      <c r="AM7" s="17">
        <v>1</v>
      </c>
      <c r="AN7" s="11" t="s">
        <v>25</v>
      </c>
      <c r="AO7" s="17">
        <v>1</v>
      </c>
      <c r="AP7" s="18"/>
      <c r="AQ7" s="11" t="s">
        <v>25</v>
      </c>
      <c r="AR7" s="17">
        <v>1</v>
      </c>
      <c r="AS7" s="11" t="s">
        <v>7</v>
      </c>
      <c r="AT7" s="18"/>
      <c r="AU7" s="18"/>
      <c r="AV7" s="11" t="s">
        <v>5756</v>
      </c>
      <c r="AW7" s="18"/>
      <c r="AX7" s="18">
        <v>1</v>
      </c>
      <c r="AY7" s="11" t="s">
        <v>25</v>
      </c>
      <c r="AZ7" s="11" t="s">
        <v>5813</v>
      </c>
      <c r="BA7" s="11" t="s">
        <v>7</v>
      </c>
      <c r="BB7" s="11" t="s">
        <v>5814</v>
      </c>
      <c r="BC7" s="11" t="s">
        <v>49</v>
      </c>
      <c r="BD7" s="11" t="s">
        <v>5815</v>
      </c>
      <c r="BE7" s="11"/>
      <c r="BF7" s="11"/>
      <c r="BG7" s="11" t="s">
        <v>5816</v>
      </c>
      <c r="BH7" s="11"/>
      <c r="BI7" s="11" t="s">
        <v>5817</v>
      </c>
      <c r="BJ7" s="11" t="s">
        <v>25</v>
      </c>
      <c r="BK7" s="11" t="s">
        <v>25</v>
      </c>
      <c r="BL7" s="11" t="s">
        <v>5818</v>
      </c>
      <c r="BM7" s="11" t="s">
        <v>52</v>
      </c>
      <c r="BN7" s="11" t="s">
        <v>34</v>
      </c>
      <c r="BO7" s="11" t="s">
        <v>25</v>
      </c>
      <c r="BP7" s="11" t="s">
        <v>5804</v>
      </c>
      <c r="BQ7" s="11" t="s">
        <v>279</v>
      </c>
      <c r="BR7" s="11" t="s">
        <v>37</v>
      </c>
      <c r="BS7" s="11" t="s">
        <v>1444</v>
      </c>
      <c r="BT7" s="11" t="s">
        <v>5819</v>
      </c>
      <c r="BU7" s="12" t="s">
        <v>5820</v>
      </c>
    </row>
    <row r="8" spans="1:73" ht="409.5">
      <c r="A8" s="5">
        <v>50</v>
      </c>
      <c r="B8" s="6">
        <v>44285</v>
      </c>
      <c r="C8" s="7" t="s">
        <v>5821</v>
      </c>
      <c r="D8" s="6">
        <v>19398</v>
      </c>
      <c r="E8" s="29">
        <f ca="1">_xlfn.DAYS(NOW(),Tabella3[[#This Row],[Data di Nascita]])/365.25</f>
        <v>72.484599589322386</v>
      </c>
      <c r="F8" s="7" t="s">
        <v>5822</v>
      </c>
      <c r="G8" s="7" t="s">
        <v>5823</v>
      </c>
      <c r="H8" s="7" t="s">
        <v>5824</v>
      </c>
      <c r="I8" s="7" t="s">
        <v>5825</v>
      </c>
      <c r="J8" s="7" t="s">
        <v>5826</v>
      </c>
      <c r="K8" s="17"/>
      <c r="L8" s="17"/>
      <c r="M8" s="17"/>
      <c r="N8" s="17"/>
      <c r="O8" s="17"/>
      <c r="P8" s="17"/>
      <c r="Q8" s="17"/>
      <c r="R8" s="17">
        <v>1</v>
      </c>
      <c r="S8" s="17"/>
      <c r="T8" s="7" t="s">
        <v>5827</v>
      </c>
      <c r="U8" s="17">
        <v>37.5</v>
      </c>
      <c r="V8" s="17">
        <v>1</v>
      </c>
      <c r="W8" s="17"/>
      <c r="X8" s="7" t="s">
        <v>5828</v>
      </c>
      <c r="Y8" s="17"/>
      <c r="Z8" s="17"/>
      <c r="AA8" s="17"/>
      <c r="AB8" s="17"/>
      <c r="AC8" s="17"/>
      <c r="AD8" s="7" t="s">
        <v>5829</v>
      </c>
      <c r="AE8" s="17"/>
      <c r="AF8" s="17"/>
      <c r="AG8" s="17"/>
      <c r="AH8" s="17"/>
      <c r="AI8" s="17"/>
      <c r="AJ8" s="7" t="s">
        <v>4016</v>
      </c>
      <c r="AK8" s="17">
        <v>1</v>
      </c>
      <c r="AL8" s="7" t="s">
        <v>4016</v>
      </c>
      <c r="AM8" s="17">
        <v>1</v>
      </c>
      <c r="AN8" s="7" t="s">
        <v>5830</v>
      </c>
      <c r="AO8" s="17">
        <v>1</v>
      </c>
      <c r="AP8" s="17"/>
      <c r="AQ8" s="7" t="s">
        <v>5831</v>
      </c>
      <c r="AR8" s="17">
        <v>1</v>
      </c>
      <c r="AS8" s="7" t="s">
        <v>5830</v>
      </c>
      <c r="AT8" s="17">
        <v>1</v>
      </c>
      <c r="AU8" s="17"/>
      <c r="AV8" s="7" t="s">
        <v>5830</v>
      </c>
      <c r="AW8" s="17"/>
      <c r="AX8" s="17"/>
      <c r="AY8" s="7" t="s">
        <v>5832</v>
      </c>
      <c r="AZ8" s="7" t="s">
        <v>4016</v>
      </c>
      <c r="BA8" s="7" t="s">
        <v>5833</v>
      </c>
      <c r="BB8" s="7" t="s">
        <v>5834</v>
      </c>
      <c r="BC8" s="7" t="s">
        <v>5835</v>
      </c>
      <c r="BD8" s="7" t="s">
        <v>5836</v>
      </c>
      <c r="BE8" s="7"/>
      <c r="BF8" s="7"/>
      <c r="BG8" s="7" t="s">
        <v>5837</v>
      </c>
      <c r="BH8" s="7"/>
      <c r="BI8" s="7" t="s">
        <v>5838</v>
      </c>
      <c r="BJ8" s="7" t="s">
        <v>5839</v>
      </c>
      <c r="BK8" s="7" t="s">
        <v>4016</v>
      </c>
      <c r="BL8" s="7" t="s">
        <v>4016</v>
      </c>
      <c r="BM8" s="7" t="s">
        <v>5840</v>
      </c>
      <c r="BN8" s="7" t="s">
        <v>4016</v>
      </c>
      <c r="BO8" s="7" t="s">
        <v>4016</v>
      </c>
      <c r="BP8" s="7" t="s">
        <v>5804</v>
      </c>
      <c r="BQ8" s="7" t="s">
        <v>1301</v>
      </c>
      <c r="BR8" s="7" t="s">
        <v>219</v>
      </c>
      <c r="BS8" s="7" t="s">
        <v>122</v>
      </c>
      <c r="BT8" s="7" t="s">
        <v>5841</v>
      </c>
      <c r="BU8" s="8" t="s">
        <v>5842</v>
      </c>
    </row>
    <row r="9" spans="1:73" ht="128.25">
      <c r="A9" s="9">
        <v>53</v>
      </c>
      <c r="B9" s="10">
        <v>44287</v>
      </c>
      <c r="C9" s="11" t="s">
        <v>5843</v>
      </c>
      <c r="D9" s="10">
        <v>27624</v>
      </c>
      <c r="E9" s="29">
        <f ca="1">_xlfn.DAYS(NOW(),Tabella3[[#This Row],[Data di Nascita]])/365.25</f>
        <v>49.963039014373713</v>
      </c>
      <c r="F9" s="11" t="s">
        <v>5844</v>
      </c>
      <c r="G9" s="11" t="s">
        <v>5845</v>
      </c>
      <c r="H9" s="11" t="s">
        <v>5846</v>
      </c>
      <c r="I9" s="11" t="s">
        <v>5847</v>
      </c>
      <c r="J9" s="11" t="s">
        <v>5848</v>
      </c>
      <c r="K9" s="18"/>
      <c r="L9" s="18"/>
      <c r="M9" s="18">
        <v>1</v>
      </c>
      <c r="N9" s="18"/>
      <c r="O9" s="18"/>
      <c r="P9" s="18"/>
      <c r="Q9" s="18"/>
      <c r="R9" s="18"/>
      <c r="S9" s="18"/>
      <c r="T9" s="11" t="s">
        <v>5849</v>
      </c>
      <c r="U9" s="18">
        <v>52.5</v>
      </c>
      <c r="V9" s="18"/>
      <c r="W9" s="18"/>
      <c r="X9" s="11" t="s">
        <v>5850</v>
      </c>
      <c r="Y9" s="18"/>
      <c r="Z9" s="18"/>
      <c r="AA9" s="18"/>
      <c r="AB9" s="18"/>
      <c r="AC9" s="18"/>
      <c r="AD9" s="11" t="s">
        <v>5851</v>
      </c>
      <c r="AE9" s="18"/>
      <c r="AF9" s="18"/>
      <c r="AG9" s="18"/>
      <c r="AH9" s="18"/>
      <c r="AI9" s="18"/>
      <c r="AJ9" s="11" t="s">
        <v>5852</v>
      </c>
      <c r="AK9" s="18"/>
      <c r="AL9" s="11" t="s">
        <v>5853</v>
      </c>
      <c r="AM9" s="17">
        <v>1</v>
      </c>
      <c r="AN9" s="11" t="s">
        <v>5830</v>
      </c>
      <c r="AO9" s="17">
        <v>1</v>
      </c>
      <c r="AP9" s="18"/>
      <c r="AQ9" s="11" t="s">
        <v>5830</v>
      </c>
      <c r="AR9" s="17">
        <v>1</v>
      </c>
      <c r="AS9" s="11" t="s">
        <v>4016</v>
      </c>
      <c r="AT9" s="18"/>
      <c r="AU9" s="18"/>
      <c r="AV9" s="11" t="s">
        <v>5830</v>
      </c>
      <c r="AW9" s="18"/>
      <c r="AX9" s="18"/>
      <c r="AY9" s="11" t="s">
        <v>5854</v>
      </c>
      <c r="AZ9" s="11" t="s">
        <v>2800</v>
      </c>
      <c r="BA9" s="11" t="s">
        <v>316</v>
      </c>
      <c r="BB9" s="11" t="s">
        <v>5855</v>
      </c>
      <c r="BC9" s="11" t="s">
        <v>5856</v>
      </c>
      <c r="BD9" s="11" t="s">
        <v>5857</v>
      </c>
      <c r="BE9" s="11" t="s">
        <v>2800</v>
      </c>
      <c r="BF9" s="11"/>
      <c r="BG9" s="11" t="s">
        <v>5858</v>
      </c>
      <c r="BH9" s="11" t="s">
        <v>5859</v>
      </c>
      <c r="BI9" s="11" t="s">
        <v>5860</v>
      </c>
      <c r="BJ9" s="11" t="s">
        <v>5861</v>
      </c>
      <c r="BK9" s="11" t="s">
        <v>4016</v>
      </c>
      <c r="BL9" s="11" t="s">
        <v>4016</v>
      </c>
      <c r="BM9" s="11" t="s">
        <v>5862</v>
      </c>
      <c r="BN9" s="11" t="s">
        <v>5863</v>
      </c>
      <c r="BO9" s="11" t="s">
        <v>5864</v>
      </c>
      <c r="BP9" s="11" t="s">
        <v>5804</v>
      </c>
      <c r="BQ9" s="11" t="s">
        <v>1571</v>
      </c>
      <c r="BR9" s="11"/>
      <c r="BS9" s="11"/>
      <c r="BT9" s="11"/>
      <c r="BU9" s="12"/>
    </row>
    <row r="10" spans="1:73" ht="409.5">
      <c r="A10" s="5">
        <v>66</v>
      </c>
      <c r="B10" s="6">
        <v>44306</v>
      </c>
      <c r="C10" s="7" t="s">
        <v>5865</v>
      </c>
      <c r="D10" s="6">
        <v>23899</v>
      </c>
      <c r="E10" s="29">
        <f ca="1">_xlfn.DAYS(NOW(),Tabella3[[#This Row],[Data di Nascita]])/365.25</f>
        <v>60.161533196440793</v>
      </c>
      <c r="F10" s="7" t="s">
        <v>5866</v>
      </c>
      <c r="G10" s="7" t="s">
        <v>5867</v>
      </c>
      <c r="H10" s="7" t="s">
        <v>5868</v>
      </c>
      <c r="I10" s="7" t="s">
        <v>5869</v>
      </c>
      <c r="J10" s="7" t="s">
        <v>5870</v>
      </c>
      <c r="K10" s="17"/>
      <c r="L10" s="17"/>
      <c r="M10" s="17"/>
      <c r="N10" s="17"/>
      <c r="O10" s="17"/>
      <c r="P10" s="17"/>
      <c r="Q10" s="17"/>
      <c r="R10" s="17"/>
      <c r="S10" s="17"/>
      <c r="T10" s="7" t="s">
        <v>5871</v>
      </c>
      <c r="U10" s="17">
        <v>80</v>
      </c>
      <c r="V10" s="17"/>
      <c r="W10" s="17"/>
      <c r="X10" s="7" t="s">
        <v>5830</v>
      </c>
      <c r="Y10" s="17"/>
      <c r="Z10" s="17"/>
      <c r="AA10" s="17"/>
      <c r="AB10" s="17">
        <v>1</v>
      </c>
      <c r="AC10" s="17"/>
      <c r="AD10" s="7" t="s">
        <v>5872</v>
      </c>
      <c r="AE10" s="17"/>
      <c r="AF10" s="17">
        <v>1</v>
      </c>
      <c r="AG10" s="17"/>
      <c r="AH10" s="17"/>
      <c r="AI10" s="17"/>
      <c r="AJ10" s="7" t="s">
        <v>4016</v>
      </c>
      <c r="AK10" s="17">
        <v>1</v>
      </c>
      <c r="AL10" s="7" t="s">
        <v>5830</v>
      </c>
      <c r="AM10" s="17"/>
      <c r="AN10" s="7" t="s">
        <v>5830</v>
      </c>
      <c r="AO10" s="17">
        <v>1</v>
      </c>
      <c r="AP10" s="17"/>
      <c r="AQ10" s="7" t="s">
        <v>5830</v>
      </c>
      <c r="AR10" s="17">
        <v>1</v>
      </c>
      <c r="AS10" s="7" t="s">
        <v>4016</v>
      </c>
      <c r="AT10" s="17"/>
      <c r="AU10" s="17"/>
      <c r="AV10" s="7" t="s">
        <v>5830</v>
      </c>
      <c r="AW10" s="17"/>
      <c r="AX10" s="17"/>
      <c r="AY10" s="7" t="s">
        <v>5830</v>
      </c>
      <c r="AZ10" s="7" t="s">
        <v>4016</v>
      </c>
      <c r="BA10" s="7" t="s">
        <v>5830</v>
      </c>
      <c r="BB10" s="7" t="s">
        <v>5873</v>
      </c>
      <c r="BC10" s="7" t="s">
        <v>5874</v>
      </c>
      <c r="BD10" s="7" t="s">
        <v>5875</v>
      </c>
      <c r="BE10" s="7" t="s">
        <v>5876</v>
      </c>
      <c r="BF10" s="7"/>
      <c r="BG10" s="7" t="s">
        <v>5830</v>
      </c>
      <c r="BH10" s="7" t="s">
        <v>5877</v>
      </c>
      <c r="BI10" s="7" t="s">
        <v>4016</v>
      </c>
      <c r="BJ10" s="7" t="s">
        <v>5830</v>
      </c>
      <c r="BK10" s="7" t="s">
        <v>4016</v>
      </c>
      <c r="BL10" s="7" t="s">
        <v>5830</v>
      </c>
      <c r="BM10" s="7" t="s">
        <v>5830</v>
      </c>
      <c r="BN10" s="7" t="s">
        <v>4016</v>
      </c>
      <c r="BO10" s="7" t="s">
        <v>4016</v>
      </c>
      <c r="BP10" s="7" t="s">
        <v>4975</v>
      </c>
      <c r="BQ10" s="7" t="s">
        <v>431</v>
      </c>
      <c r="BR10" s="7" t="s">
        <v>105</v>
      </c>
      <c r="BS10" s="7" t="s">
        <v>787</v>
      </c>
      <c r="BT10" s="7" t="s">
        <v>5878</v>
      </c>
      <c r="BU10" s="8" t="s">
        <v>5879</v>
      </c>
    </row>
    <row r="11" spans="1:73" ht="399">
      <c r="A11" s="9">
        <v>70</v>
      </c>
      <c r="B11" s="10">
        <v>44307</v>
      </c>
      <c r="C11" s="11" t="s">
        <v>5880</v>
      </c>
      <c r="D11" s="10">
        <v>25032</v>
      </c>
      <c r="E11" s="29">
        <f ca="1">_xlfn.DAYS(NOW(),Tabella3[[#This Row],[Data di Nascita]])/365.25</f>
        <v>57.059548254620125</v>
      </c>
      <c r="F11" s="11" t="s">
        <v>5881</v>
      </c>
      <c r="G11" s="11" t="s">
        <v>5882</v>
      </c>
      <c r="H11" s="11" t="s">
        <v>44</v>
      </c>
      <c r="I11" s="11" t="s">
        <v>5883</v>
      </c>
      <c r="J11" s="11" t="s">
        <v>3401</v>
      </c>
      <c r="K11" s="18"/>
      <c r="L11" s="18"/>
      <c r="M11" s="18"/>
      <c r="N11" s="18"/>
      <c r="O11" s="18"/>
      <c r="P11" s="18"/>
      <c r="Q11" s="18"/>
      <c r="R11" s="18">
        <v>1</v>
      </c>
      <c r="S11" s="18"/>
      <c r="T11" s="11" t="s">
        <v>5884</v>
      </c>
      <c r="U11" s="18">
        <v>5</v>
      </c>
      <c r="V11" s="18">
        <v>1</v>
      </c>
      <c r="W11" s="18"/>
      <c r="X11" s="11" t="s">
        <v>272</v>
      </c>
      <c r="Y11" s="18"/>
      <c r="Z11" s="18"/>
      <c r="AA11" s="18">
        <v>1</v>
      </c>
      <c r="AB11" s="18"/>
      <c r="AC11" s="18"/>
      <c r="AD11" s="11" t="s">
        <v>5885</v>
      </c>
      <c r="AE11" s="18"/>
      <c r="AF11" s="18"/>
      <c r="AG11" s="18"/>
      <c r="AH11" s="18"/>
      <c r="AI11" s="18"/>
      <c r="AJ11" s="11" t="s">
        <v>7</v>
      </c>
      <c r="AK11" s="17">
        <v>1</v>
      </c>
      <c r="AL11" s="11" t="s">
        <v>25</v>
      </c>
      <c r="AM11" s="18"/>
      <c r="AN11" s="11" t="s">
        <v>25</v>
      </c>
      <c r="AO11" s="17">
        <v>1</v>
      </c>
      <c r="AP11" s="18"/>
      <c r="AQ11" s="11" t="s">
        <v>25</v>
      </c>
      <c r="AR11" s="17">
        <v>1</v>
      </c>
      <c r="AS11" s="11" t="s">
        <v>25</v>
      </c>
      <c r="AT11" s="17">
        <v>1</v>
      </c>
      <c r="AU11" s="18"/>
      <c r="AV11" s="11" t="s">
        <v>25</v>
      </c>
      <c r="AW11" s="18"/>
      <c r="AX11" s="18"/>
      <c r="AY11" s="11" t="s">
        <v>25</v>
      </c>
      <c r="AZ11" s="11" t="s">
        <v>25</v>
      </c>
      <c r="BA11" s="11" t="s">
        <v>25</v>
      </c>
      <c r="BB11" s="11" t="s">
        <v>25</v>
      </c>
      <c r="BC11" s="11" t="s">
        <v>147</v>
      </c>
      <c r="BD11" s="11" t="s">
        <v>5886</v>
      </c>
      <c r="BE11" s="11" t="s">
        <v>8</v>
      </c>
      <c r="BF11" s="11"/>
      <c r="BG11" s="11" t="s">
        <v>25</v>
      </c>
      <c r="BH11" s="11" t="s">
        <v>5887</v>
      </c>
      <c r="BI11" s="11" t="s">
        <v>25</v>
      </c>
      <c r="BJ11" s="11" t="s">
        <v>25</v>
      </c>
      <c r="BK11" s="11" t="s">
        <v>25</v>
      </c>
      <c r="BL11" s="11" t="s">
        <v>25</v>
      </c>
      <c r="BM11" s="11" t="s">
        <v>33</v>
      </c>
      <c r="BN11" s="11" t="s">
        <v>34</v>
      </c>
      <c r="BO11" s="11" t="s">
        <v>25</v>
      </c>
      <c r="BP11" s="11" t="s">
        <v>5804</v>
      </c>
      <c r="BQ11" s="11" t="s">
        <v>663</v>
      </c>
      <c r="BR11" s="11" t="s">
        <v>3220</v>
      </c>
      <c r="BS11" s="11" t="s">
        <v>1373</v>
      </c>
      <c r="BT11" s="11" t="s">
        <v>5888</v>
      </c>
      <c r="BU11" s="12" t="s">
        <v>5889</v>
      </c>
    </row>
    <row r="12" spans="1:73" ht="384.75">
      <c r="A12" s="5">
        <v>74</v>
      </c>
      <c r="B12" s="6">
        <v>44309</v>
      </c>
      <c r="C12" s="7" t="s">
        <v>5890</v>
      </c>
      <c r="D12" s="6">
        <v>21349</v>
      </c>
      <c r="E12" s="29">
        <f ca="1">_xlfn.DAYS(NOW(),Tabella3[[#This Row],[Data di Nascita]])/365.25</f>
        <v>67.143052703627646</v>
      </c>
      <c r="F12" s="7" t="s">
        <v>5891</v>
      </c>
      <c r="G12" s="7" t="s">
        <v>5892</v>
      </c>
      <c r="H12" s="7" t="s">
        <v>210</v>
      </c>
      <c r="I12" s="7" t="s">
        <v>5893</v>
      </c>
      <c r="J12" s="7" t="s">
        <v>5894</v>
      </c>
      <c r="K12" s="17"/>
      <c r="L12" s="17"/>
      <c r="M12" s="17"/>
      <c r="N12" s="17">
        <v>1</v>
      </c>
      <c r="O12" s="17"/>
      <c r="P12" s="17"/>
      <c r="Q12" s="17"/>
      <c r="R12" s="17"/>
      <c r="S12" s="17"/>
      <c r="T12" s="7" t="s">
        <v>5895</v>
      </c>
      <c r="U12" s="17"/>
      <c r="V12" s="17"/>
      <c r="W12" s="17">
        <v>1</v>
      </c>
      <c r="X12" s="7" t="s">
        <v>5796</v>
      </c>
      <c r="Y12" s="17"/>
      <c r="Z12" s="17"/>
      <c r="AA12" s="17"/>
      <c r="AB12" s="17"/>
      <c r="AC12" s="17"/>
      <c r="AD12" s="7" t="s">
        <v>5797</v>
      </c>
      <c r="AE12" s="17"/>
      <c r="AF12" s="17"/>
      <c r="AG12" s="17"/>
      <c r="AH12" s="17"/>
      <c r="AI12" s="17"/>
      <c r="AJ12" s="7" t="s">
        <v>7</v>
      </c>
      <c r="AK12" s="17">
        <v>1</v>
      </c>
      <c r="AL12" s="7" t="s">
        <v>7</v>
      </c>
      <c r="AM12" s="17">
        <v>1</v>
      </c>
      <c r="AN12" s="7" t="s">
        <v>25</v>
      </c>
      <c r="AO12" s="17">
        <v>1</v>
      </c>
      <c r="AP12" s="17"/>
      <c r="AQ12" s="7" t="s">
        <v>25</v>
      </c>
      <c r="AR12" s="17">
        <v>1</v>
      </c>
      <c r="AS12" s="7" t="s">
        <v>25</v>
      </c>
      <c r="AT12" s="17">
        <v>1</v>
      </c>
      <c r="AU12" s="17"/>
      <c r="AV12" s="7" t="s">
        <v>25</v>
      </c>
      <c r="AW12" s="17"/>
      <c r="AX12" s="17"/>
      <c r="AY12" s="7" t="s">
        <v>25</v>
      </c>
      <c r="AZ12" s="7" t="s">
        <v>8</v>
      </c>
      <c r="BA12" s="7" t="s">
        <v>25</v>
      </c>
      <c r="BB12" s="7" t="s">
        <v>5896</v>
      </c>
      <c r="BC12" s="7" t="s">
        <v>5897</v>
      </c>
      <c r="BD12" s="7" t="s">
        <v>5898</v>
      </c>
      <c r="BE12" s="7" t="s">
        <v>8</v>
      </c>
      <c r="BF12" s="7"/>
      <c r="BG12" s="7" t="s">
        <v>25</v>
      </c>
      <c r="BH12" s="7" t="s">
        <v>5899</v>
      </c>
      <c r="BI12" s="7" t="s">
        <v>5900</v>
      </c>
      <c r="BJ12" s="7" t="s">
        <v>25</v>
      </c>
      <c r="BK12" s="7" t="s">
        <v>25</v>
      </c>
      <c r="BL12" s="7" t="s">
        <v>25</v>
      </c>
      <c r="BM12" s="7" t="s">
        <v>134</v>
      </c>
      <c r="BN12" s="7" t="s">
        <v>34</v>
      </c>
      <c r="BO12" s="7" t="s">
        <v>25</v>
      </c>
      <c r="BP12" s="7" t="s">
        <v>5901</v>
      </c>
      <c r="BQ12" s="7" t="s">
        <v>850</v>
      </c>
      <c r="BR12" s="7" t="s">
        <v>153</v>
      </c>
      <c r="BS12" s="7" t="s">
        <v>234</v>
      </c>
      <c r="BT12" s="7" t="s">
        <v>5902</v>
      </c>
      <c r="BU12" s="8" t="s">
        <v>5903</v>
      </c>
    </row>
    <row r="13" spans="1:73" ht="370.5">
      <c r="A13" s="9">
        <v>77</v>
      </c>
      <c r="B13" s="10">
        <v>44312</v>
      </c>
      <c r="C13" s="11" t="s">
        <v>5904</v>
      </c>
      <c r="D13" s="10">
        <v>15911</v>
      </c>
      <c r="E13" s="29">
        <f ca="1">_xlfn.DAYS(NOW(),Tabella3[[#This Row],[Data di Nascita]])/365.25</f>
        <v>82.031485284052025</v>
      </c>
      <c r="F13" s="11" t="s">
        <v>5905</v>
      </c>
      <c r="G13" s="11" t="s">
        <v>4005</v>
      </c>
      <c r="H13" s="11" t="s">
        <v>5906</v>
      </c>
      <c r="I13" s="11" t="s">
        <v>5907</v>
      </c>
      <c r="J13" s="11" t="s">
        <v>5908</v>
      </c>
      <c r="K13" s="17">
        <v>1</v>
      </c>
      <c r="L13" s="18"/>
      <c r="M13" s="18"/>
      <c r="N13" s="18">
        <v>1</v>
      </c>
      <c r="O13" s="18"/>
      <c r="P13" s="18"/>
      <c r="Q13" s="18"/>
      <c r="R13" s="18"/>
      <c r="S13" s="18"/>
      <c r="T13" s="11" t="s">
        <v>5909</v>
      </c>
      <c r="U13" s="18">
        <v>12.5</v>
      </c>
      <c r="V13" s="18">
        <v>1</v>
      </c>
      <c r="W13" s="18"/>
      <c r="X13" s="11" t="s">
        <v>5910</v>
      </c>
      <c r="Y13" s="18"/>
      <c r="Z13" s="18"/>
      <c r="AA13" s="18">
        <v>1</v>
      </c>
      <c r="AB13" s="18"/>
      <c r="AC13" s="18"/>
      <c r="AD13" s="11" t="s">
        <v>5830</v>
      </c>
      <c r="AE13" s="18"/>
      <c r="AF13" s="18"/>
      <c r="AG13" s="18"/>
      <c r="AH13" s="18"/>
      <c r="AI13" s="18"/>
      <c r="AJ13" s="11" t="s">
        <v>4016</v>
      </c>
      <c r="AK13" s="17">
        <v>1</v>
      </c>
      <c r="AL13" s="11" t="s">
        <v>5830</v>
      </c>
      <c r="AM13" s="18"/>
      <c r="AN13" s="11" t="s">
        <v>5830</v>
      </c>
      <c r="AO13" s="17">
        <v>1</v>
      </c>
      <c r="AP13" s="18"/>
      <c r="AQ13" s="11" t="s">
        <v>5911</v>
      </c>
      <c r="AR13" s="17">
        <v>1</v>
      </c>
      <c r="AS13" s="11" t="s">
        <v>5912</v>
      </c>
      <c r="AT13" s="18"/>
      <c r="AU13" s="18"/>
      <c r="AV13" s="11" t="s">
        <v>5913</v>
      </c>
      <c r="AW13" s="18">
        <v>1</v>
      </c>
      <c r="AX13" s="18"/>
      <c r="AY13" s="11" t="s">
        <v>5914</v>
      </c>
      <c r="AZ13" s="11" t="s">
        <v>5915</v>
      </c>
      <c r="BA13" s="11" t="s">
        <v>5830</v>
      </c>
      <c r="BB13" s="11" t="s">
        <v>5916</v>
      </c>
      <c r="BC13" s="11" t="s">
        <v>5917</v>
      </c>
      <c r="BD13" s="11" t="s">
        <v>5918</v>
      </c>
      <c r="BE13" s="11" t="s">
        <v>5876</v>
      </c>
      <c r="BF13" s="11"/>
      <c r="BG13" s="11" t="s">
        <v>5830</v>
      </c>
      <c r="BH13" s="11" t="s">
        <v>5830</v>
      </c>
      <c r="BI13" s="11" t="s">
        <v>5830</v>
      </c>
      <c r="BJ13" s="11" t="s">
        <v>5830</v>
      </c>
      <c r="BK13" s="11" t="s">
        <v>5830</v>
      </c>
      <c r="BL13" s="11" t="s">
        <v>5830</v>
      </c>
      <c r="BM13" s="11" t="s">
        <v>5919</v>
      </c>
      <c r="BN13" s="11" t="s">
        <v>4016</v>
      </c>
      <c r="BO13" s="11" t="s">
        <v>5830</v>
      </c>
      <c r="BP13" s="11" t="s">
        <v>4975</v>
      </c>
      <c r="BQ13" s="11" t="s">
        <v>318</v>
      </c>
      <c r="BR13" s="11" t="s">
        <v>71</v>
      </c>
      <c r="BS13" s="11" t="s">
        <v>664</v>
      </c>
      <c r="BT13" s="11" t="s">
        <v>5920</v>
      </c>
      <c r="BU13" s="12" t="s">
        <v>5921</v>
      </c>
    </row>
    <row r="14" spans="1:73" ht="370.5">
      <c r="A14" s="5">
        <v>84</v>
      </c>
      <c r="B14" s="6">
        <v>44315</v>
      </c>
      <c r="C14" s="7" t="s">
        <v>5922</v>
      </c>
      <c r="D14" s="6">
        <v>14196</v>
      </c>
      <c r="E14" s="29">
        <f ca="1">_xlfn.DAYS(NOW(),Tabella3[[#This Row],[Data di Nascita]])/365.25</f>
        <v>86.726899383983579</v>
      </c>
      <c r="F14" s="7" t="s">
        <v>5923</v>
      </c>
      <c r="G14" s="7" t="s">
        <v>5924</v>
      </c>
      <c r="H14" s="7" t="s">
        <v>5925</v>
      </c>
      <c r="I14" s="7" t="s">
        <v>5926</v>
      </c>
      <c r="J14" s="7" t="s">
        <v>5927</v>
      </c>
      <c r="K14" s="17">
        <v>1</v>
      </c>
      <c r="L14" s="17"/>
      <c r="M14" s="18">
        <v>1</v>
      </c>
      <c r="N14" s="17"/>
      <c r="O14" s="17"/>
      <c r="P14" s="17"/>
      <c r="Q14" s="17"/>
      <c r="R14" s="17"/>
      <c r="S14" s="17"/>
      <c r="T14" s="7" t="s">
        <v>5928</v>
      </c>
      <c r="U14" s="17">
        <v>72</v>
      </c>
      <c r="V14" s="17">
        <v>1</v>
      </c>
      <c r="W14" s="17"/>
      <c r="X14" s="7" t="s">
        <v>5796</v>
      </c>
      <c r="Y14" s="17"/>
      <c r="Z14" s="17"/>
      <c r="AA14" s="17"/>
      <c r="AB14" s="17"/>
      <c r="AC14" s="17"/>
      <c r="AD14" s="7" t="s">
        <v>25</v>
      </c>
      <c r="AE14" s="17"/>
      <c r="AF14" s="17"/>
      <c r="AG14" s="17"/>
      <c r="AH14" s="17"/>
      <c r="AI14" s="17"/>
      <c r="AJ14" s="7" t="s">
        <v>7</v>
      </c>
      <c r="AK14" s="17">
        <v>1</v>
      </c>
      <c r="AL14" s="7" t="s">
        <v>146</v>
      </c>
      <c r="AM14" s="17">
        <v>1</v>
      </c>
      <c r="AN14" s="7" t="s">
        <v>5929</v>
      </c>
      <c r="AO14" s="17">
        <v>1</v>
      </c>
      <c r="AP14" s="17"/>
      <c r="AQ14" s="7" t="s">
        <v>5930</v>
      </c>
      <c r="AR14" s="17"/>
      <c r="AS14" s="7" t="s">
        <v>25</v>
      </c>
      <c r="AT14" s="17">
        <v>1</v>
      </c>
      <c r="AU14" s="17"/>
      <c r="AV14" s="7" t="s">
        <v>25</v>
      </c>
      <c r="AW14" s="17"/>
      <c r="AX14" s="17"/>
      <c r="AY14" s="7" t="s">
        <v>25</v>
      </c>
      <c r="AZ14" s="7" t="s">
        <v>7</v>
      </c>
      <c r="BA14" s="7" t="s">
        <v>25</v>
      </c>
      <c r="BB14" s="7" t="s">
        <v>5931</v>
      </c>
      <c r="BC14" s="7" t="s">
        <v>5932</v>
      </c>
      <c r="BD14" s="7" t="s">
        <v>5933</v>
      </c>
      <c r="BE14" s="7" t="s">
        <v>8</v>
      </c>
      <c r="BF14" s="7"/>
      <c r="BG14" s="7" t="s">
        <v>5934</v>
      </c>
      <c r="BH14" s="7" t="s">
        <v>5935</v>
      </c>
      <c r="BI14" s="7" t="s">
        <v>5936</v>
      </c>
      <c r="BJ14" s="7" t="s">
        <v>25</v>
      </c>
      <c r="BK14" s="7" t="s">
        <v>25</v>
      </c>
      <c r="BL14" s="7" t="s">
        <v>25</v>
      </c>
      <c r="BM14" s="7" t="s">
        <v>33</v>
      </c>
      <c r="BN14" s="7" t="s">
        <v>25</v>
      </c>
      <c r="BO14" s="7" t="s">
        <v>25</v>
      </c>
      <c r="BP14" s="7" t="s">
        <v>5804</v>
      </c>
      <c r="BQ14" s="7" t="s">
        <v>369</v>
      </c>
      <c r="BR14" s="7" t="s">
        <v>153</v>
      </c>
      <c r="BS14" s="7" t="s">
        <v>105</v>
      </c>
      <c r="BT14" s="7" t="s">
        <v>5937</v>
      </c>
      <c r="BU14" s="8" t="s">
        <v>5938</v>
      </c>
    </row>
    <row r="15" spans="1:73" ht="242.25">
      <c r="A15" s="9">
        <v>98</v>
      </c>
      <c r="B15" s="10">
        <v>44334</v>
      </c>
      <c r="C15" s="11" t="s">
        <v>5939</v>
      </c>
      <c r="D15" s="10">
        <v>20042</v>
      </c>
      <c r="E15" s="29">
        <f ca="1">_xlfn.DAYS(NOW(),Tabella3[[#This Row],[Data di Nascita]])/365.25</f>
        <v>70.721423682409309</v>
      </c>
      <c r="F15" s="11" t="s">
        <v>5940</v>
      </c>
      <c r="G15" s="11" t="s">
        <v>5941</v>
      </c>
      <c r="H15" s="11" t="s">
        <v>5942</v>
      </c>
      <c r="I15" s="11" t="s">
        <v>5943</v>
      </c>
      <c r="J15" s="11" t="s">
        <v>5944</v>
      </c>
      <c r="K15" s="17">
        <v>1</v>
      </c>
      <c r="L15" s="18"/>
      <c r="M15" s="18">
        <v>1</v>
      </c>
      <c r="N15" s="18"/>
      <c r="O15" s="18"/>
      <c r="P15" s="18"/>
      <c r="Q15" s="18"/>
      <c r="R15" s="18"/>
      <c r="S15" s="18"/>
      <c r="T15" s="11" t="s">
        <v>5945</v>
      </c>
      <c r="U15" s="18">
        <v>24</v>
      </c>
      <c r="V15" s="18">
        <v>1</v>
      </c>
      <c r="W15" s="18"/>
      <c r="X15" s="11" t="s">
        <v>5946</v>
      </c>
      <c r="Y15" s="18"/>
      <c r="Z15" s="18"/>
      <c r="AA15" s="18">
        <v>1</v>
      </c>
      <c r="AB15" s="18"/>
      <c r="AC15" s="18"/>
      <c r="AD15" s="11" t="s">
        <v>5830</v>
      </c>
      <c r="AE15" s="18"/>
      <c r="AF15" s="18"/>
      <c r="AG15" s="18"/>
      <c r="AH15" s="18"/>
      <c r="AI15" s="18"/>
      <c r="AJ15" s="11" t="s">
        <v>4016</v>
      </c>
      <c r="AK15" s="17">
        <v>1</v>
      </c>
      <c r="AL15" s="11" t="s">
        <v>5851</v>
      </c>
      <c r="AM15" s="18"/>
      <c r="AN15" s="11" t="s">
        <v>5851</v>
      </c>
      <c r="AO15" s="17">
        <v>1</v>
      </c>
      <c r="AP15" s="18"/>
      <c r="AQ15" s="11" t="s">
        <v>5851</v>
      </c>
      <c r="AR15" s="17">
        <v>1</v>
      </c>
      <c r="AS15" s="11" t="s">
        <v>5947</v>
      </c>
      <c r="AT15" s="18"/>
      <c r="AU15" s="18"/>
      <c r="AV15" s="11" t="s">
        <v>5948</v>
      </c>
      <c r="AW15" s="18"/>
      <c r="AX15" s="18">
        <v>1</v>
      </c>
      <c r="AY15" s="11" t="s">
        <v>5851</v>
      </c>
      <c r="AZ15" s="11" t="s">
        <v>3955</v>
      </c>
      <c r="BA15" s="11" t="s">
        <v>5851</v>
      </c>
      <c r="BB15" s="11" t="s">
        <v>5851</v>
      </c>
      <c r="BC15" s="11" t="s">
        <v>5949</v>
      </c>
      <c r="BD15" s="11" t="s">
        <v>5950</v>
      </c>
      <c r="BE15" s="11" t="s">
        <v>2800</v>
      </c>
      <c r="BF15" s="11"/>
      <c r="BG15" s="11" t="s">
        <v>5851</v>
      </c>
      <c r="BH15" s="11" t="s">
        <v>5851</v>
      </c>
      <c r="BI15" s="11" t="s">
        <v>5951</v>
      </c>
      <c r="BJ15" s="11" t="s">
        <v>5851</v>
      </c>
      <c r="BK15" s="11" t="s">
        <v>5851</v>
      </c>
      <c r="BL15" s="11" t="s">
        <v>5851</v>
      </c>
      <c r="BM15" s="11" t="s">
        <v>5952</v>
      </c>
      <c r="BN15" s="11" t="s">
        <v>5953</v>
      </c>
      <c r="BO15" s="11" t="s">
        <v>5851</v>
      </c>
      <c r="BP15" s="11" t="s">
        <v>4975</v>
      </c>
      <c r="BQ15" s="11" t="s">
        <v>183</v>
      </c>
      <c r="BR15" s="11" t="s">
        <v>219</v>
      </c>
      <c r="BS15" s="11" t="s">
        <v>248</v>
      </c>
      <c r="BT15" s="11" t="s">
        <v>5954</v>
      </c>
      <c r="BU15" s="12" t="s">
        <v>5955</v>
      </c>
    </row>
    <row r="16" spans="1:73" ht="242.25">
      <c r="A16" s="5">
        <v>116</v>
      </c>
      <c r="B16" s="6">
        <v>44350</v>
      </c>
      <c r="C16" s="7" t="s">
        <v>5956</v>
      </c>
      <c r="D16" s="6">
        <v>24641</v>
      </c>
      <c r="E16" s="29">
        <f ca="1">_xlfn.DAYS(NOW(),Tabella3[[#This Row],[Data di Nascita]])/365.25</f>
        <v>58.130047912388775</v>
      </c>
      <c r="F16" s="7" t="s">
        <v>5957</v>
      </c>
      <c r="G16" s="7" t="s">
        <v>5958</v>
      </c>
      <c r="H16" s="7" t="s">
        <v>1340</v>
      </c>
      <c r="I16" s="7" t="s">
        <v>5959</v>
      </c>
      <c r="J16" s="7" t="s">
        <v>5</v>
      </c>
      <c r="K16" s="17"/>
      <c r="L16" s="17"/>
      <c r="M16" s="18">
        <v>1</v>
      </c>
      <c r="N16" s="17"/>
      <c r="O16" s="17"/>
      <c r="P16" s="17"/>
      <c r="Q16" s="17"/>
      <c r="R16" s="17"/>
      <c r="S16" s="17"/>
      <c r="T16" s="7" t="s">
        <v>8</v>
      </c>
      <c r="U16" s="17"/>
      <c r="V16" s="17"/>
      <c r="W16" s="17">
        <v>1</v>
      </c>
      <c r="X16" s="7" t="s">
        <v>486</v>
      </c>
      <c r="Y16" s="17"/>
      <c r="Z16" s="17"/>
      <c r="AA16" s="17"/>
      <c r="AB16" s="17"/>
      <c r="AC16" s="17"/>
      <c r="AD16" s="7" t="s">
        <v>8</v>
      </c>
      <c r="AE16" s="17"/>
      <c r="AF16" s="17"/>
      <c r="AG16" s="17"/>
      <c r="AH16" s="17"/>
      <c r="AI16" s="17"/>
      <c r="AJ16" s="7" t="s">
        <v>28</v>
      </c>
      <c r="AK16" s="17">
        <v>1</v>
      </c>
      <c r="AL16" s="7" t="s">
        <v>8</v>
      </c>
      <c r="AM16" s="17"/>
      <c r="AN16" s="7" t="s">
        <v>8</v>
      </c>
      <c r="AO16" s="17">
        <v>1</v>
      </c>
      <c r="AP16" s="17"/>
      <c r="AQ16" s="7" t="s">
        <v>25</v>
      </c>
      <c r="AR16" s="17">
        <v>1</v>
      </c>
      <c r="AS16" s="7" t="s">
        <v>5960</v>
      </c>
      <c r="AT16" s="17"/>
      <c r="AU16" s="17"/>
      <c r="AV16" s="7" t="s">
        <v>8</v>
      </c>
      <c r="AW16" s="17"/>
      <c r="AX16" s="17"/>
      <c r="AY16" s="7" t="s">
        <v>8</v>
      </c>
      <c r="AZ16" s="7" t="s">
        <v>8</v>
      </c>
      <c r="BA16" s="7" t="s">
        <v>8</v>
      </c>
      <c r="BB16" s="7" t="s">
        <v>8</v>
      </c>
      <c r="BC16" s="7" t="s">
        <v>5961</v>
      </c>
      <c r="BD16" s="7" t="s">
        <v>8</v>
      </c>
      <c r="BE16" s="7" t="s">
        <v>8</v>
      </c>
      <c r="BF16" s="7" t="s">
        <v>8</v>
      </c>
      <c r="BG16" s="7" t="s">
        <v>8</v>
      </c>
      <c r="BH16" s="7" t="s">
        <v>8</v>
      </c>
      <c r="BI16" s="7" t="s">
        <v>8</v>
      </c>
      <c r="BJ16" s="7" t="s">
        <v>8</v>
      </c>
      <c r="BK16" s="7"/>
      <c r="BL16" s="7"/>
      <c r="BM16" s="7" t="s">
        <v>8</v>
      </c>
      <c r="BN16" s="7" t="s">
        <v>8</v>
      </c>
      <c r="BO16" s="7" t="s">
        <v>8</v>
      </c>
      <c r="BP16" s="7" t="s">
        <v>5804</v>
      </c>
      <c r="BQ16" s="7" t="s">
        <v>1600</v>
      </c>
      <c r="BR16" s="7" t="s">
        <v>355</v>
      </c>
      <c r="BS16" s="7" t="s">
        <v>248</v>
      </c>
      <c r="BT16" s="7" t="s">
        <v>5962</v>
      </c>
      <c r="BU16" s="8" t="s">
        <v>5963</v>
      </c>
    </row>
    <row r="17" spans="1:73" ht="327.75">
      <c r="A17" s="9">
        <v>127</v>
      </c>
      <c r="B17" s="10">
        <v>44361</v>
      </c>
      <c r="C17" s="11" t="s">
        <v>5964</v>
      </c>
      <c r="D17" s="10">
        <v>32309</v>
      </c>
      <c r="E17" s="29">
        <f ca="1">_xlfn.DAYS(NOW(),Tabella3[[#This Row],[Data di Nascita]])/365.25</f>
        <v>37.13620807665982</v>
      </c>
      <c r="F17" s="11" t="s">
        <v>5965</v>
      </c>
      <c r="G17" s="11" t="s">
        <v>5966</v>
      </c>
      <c r="H17" s="11" t="s">
        <v>2917</v>
      </c>
      <c r="I17" s="11" t="s">
        <v>5967</v>
      </c>
      <c r="J17" s="11" t="s">
        <v>5</v>
      </c>
      <c r="K17" s="18"/>
      <c r="L17" s="18"/>
      <c r="M17" s="18">
        <v>1</v>
      </c>
      <c r="N17" s="18"/>
      <c r="O17" s="18"/>
      <c r="P17" s="18"/>
      <c r="Q17" s="18"/>
      <c r="R17" s="18"/>
      <c r="S17" s="18"/>
      <c r="T17" s="11" t="s">
        <v>5968</v>
      </c>
      <c r="U17" s="18">
        <v>20</v>
      </c>
      <c r="V17" s="18"/>
      <c r="W17" s="18"/>
      <c r="X17" s="11" t="s">
        <v>8</v>
      </c>
      <c r="Y17" s="18"/>
      <c r="Z17" s="18"/>
      <c r="AA17" s="18"/>
      <c r="AB17" s="18">
        <v>1</v>
      </c>
      <c r="AC17" s="18"/>
      <c r="AD17" s="11" t="s">
        <v>25</v>
      </c>
      <c r="AE17" s="18"/>
      <c r="AF17" s="18"/>
      <c r="AG17" s="18"/>
      <c r="AH17" s="18"/>
      <c r="AI17" s="18"/>
      <c r="AJ17" s="11" t="s">
        <v>28</v>
      </c>
      <c r="AK17" s="17">
        <v>1</v>
      </c>
      <c r="AL17" s="11" t="s">
        <v>25</v>
      </c>
      <c r="AM17" s="18"/>
      <c r="AN17" s="11" t="s">
        <v>25</v>
      </c>
      <c r="AO17" s="17">
        <v>1</v>
      </c>
      <c r="AP17" s="18"/>
      <c r="AQ17" s="11" t="s">
        <v>25</v>
      </c>
      <c r="AR17" s="17">
        <v>1</v>
      </c>
      <c r="AS17" s="11" t="s">
        <v>5969</v>
      </c>
      <c r="AT17" s="18"/>
      <c r="AU17" s="18"/>
      <c r="AV17" s="11" t="s">
        <v>8</v>
      </c>
      <c r="AW17" s="18"/>
      <c r="AX17" s="18"/>
      <c r="AY17" s="11" t="s">
        <v>8</v>
      </c>
      <c r="AZ17" s="11" t="s">
        <v>8</v>
      </c>
      <c r="BA17" s="11" t="s">
        <v>28</v>
      </c>
      <c r="BB17" s="11" t="s">
        <v>8</v>
      </c>
      <c r="BC17" s="11" t="s">
        <v>5970</v>
      </c>
      <c r="BD17" s="11" t="s">
        <v>5971</v>
      </c>
      <c r="BE17" s="11" t="s">
        <v>8</v>
      </c>
      <c r="BF17" s="11"/>
      <c r="BG17" s="11" t="s">
        <v>8</v>
      </c>
      <c r="BH17" s="11" t="s">
        <v>28</v>
      </c>
      <c r="BI17" s="11" t="s">
        <v>8</v>
      </c>
      <c r="BJ17" s="11" t="s">
        <v>8</v>
      </c>
      <c r="BK17" s="11"/>
      <c r="BL17" s="11"/>
      <c r="BM17" s="11" t="s">
        <v>28</v>
      </c>
      <c r="BN17" s="11" t="s">
        <v>8</v>
      </c>
      <c r="BO17" s="11" t="s">
        <v>28</v>
      </c>
      <c r="BP17" s="11" t="s">
        <v>5804</v>
      </c>
      <c r="BQ17" s="11" t="s">
        <v>3366</v>
      </c>
      <c r="BR17" s="11" t="s">
        <v>37</v>
      </c>
      <c r="BS17" s="11" t="s">
        <v>787</v>
      </c>
      <c r="BT17" s="11" t="s">
        <v>5972</v>
      </c>
      <c r="BU17" s="12" t="s">
        <v>5973</v>
      </c>
    </row>
    <row r="18" spans="1:73" ht="409.5">
      <c r="A18" s="5">
        <v>128</v>
      </c>
      <c r="B18" s="6">
        <v>44361</v>
      </c>
      <c r="C18" s="7" t="s">
        <v>5974</v>
      </c>
      <c r="D18" s="6">
        <v>27251</v>
      </c>
      <c r="E18" s="29">
        <f ca="1">_xlfn.DAYS(NOW(),Tabella3[[#This Row],[Data di Nascita]])/365.25</f>
        <v>50.984257357973988</v>
      </c>
      <c r="F18" s="7" t="s">
        <v>5975</v>
      </c>
      <c r="G18" s="7" t="s">
        <v>5976</v>
      </c>
      <c r="H18" s="7" t="s">
        <v>5977</v>
      </c>
      <c r="I18" s="7" t="s">
        <v>5978</v>
      </c>
      <c r="J18" s="7" t="s">
        <v>5979</v>
      </c>
      <c r="K18" s="17"/>
      <c r="L18" s="17"/>
      <c r="M18" s="17"/>
      <c r="N18" s="17"/>
      <c r="O18" s="17">
        <v>1</v>
      </c>
      <c r="P18" s="17"/>
      <c r="Q18" s="17"/>
      <c r="R18" s="17"/>
      <c r="S18" s="17"/>
      <c r="T18" s="7" t="s">
        <v>5980</v>
      </c>
      <c r="U18" s="17">
        <v>61</v>
      </c>
      <c r="V18" s="17"/>
      <c r="W18" s="17"/>
      <c r="X18" s="7" t="s">
        <v>8</v>
      </c>
      <c r="Y18" s="17"/>
      <c r="Z18" s="17"/>
      <c r="AA18" s="17"/>
      <c r="AB18" s="17">
        <v>1</v>
      </c>
      <c r="AC18" s="17"/>
      <c r="AD18" s="7" t="s">
        <v>5981</v>
      </c>
      <c r="AE18" s="17"/>
      <c r="AF18" s="17"/>
      <c r="AG18" s="17"/>
      <c r="AH18" s="17">
        <v>1</v>
      </c>
      <c r="AI18" s="17"/>
      <c r="AJ18" s="7" t="s">
        <v>28</v>
      </c>
      <c r="AK18" s="17">
        <v>1</v>
      </c>
      <c r="AL18" s="7" t="s">
        <v>8</v>
      </c>
      <c r="AM18" s="17"/>
      <c r="AN18" s="7" t="s">
        <v>8</v>
      </c>
      <c r="AO18" s="17">
        <v>1</v>
      </c>
      <c r="AP18" s="17"/>
      <c r="AQ18" s="7" t="s">
        <v>8</v>
      </c>
      <c r="AR18" s="17">
        <v>1</v>
      </c>
      <c r="AS18" s="7" t="s">
        <v>8</v>
      </c>
      <c r="AT18" s="17">
        <v>1</v>
      </c>
      <c r="AU18" s="17"/>
      <c r="AV18" s="7" t="s">
        <v>8</v>
      </c>
      <c r="AW18" s="17"/>
      <c r="AX18" s="17"/>
      <c r="AY18" s="7" t="s">
        <v>8</v>
      </c>
      <c r="AZ18" s="7" t="s">
        <v>8</v>
      </c>
      <c r="BA18" s="7" t="s">
        <v>28</v>
      </c>
      <c r="BB18" s="7"/>
      <c r="BC18" s="7" t="s">
        <v>5982</v>
      </c>
      <c r="BD18" s="7" t="s">
        <v>5983</v>
      </c>
      <c r="BE18" s="7" t="s">
        <v>8</v>
      </c>
      <c r="BF18" s="7" t="s">
        <v>5984</v>
      </c>
      <c r="BG18" s="7" t="s">
        <v>8</v>
      </c>
      <c r="BH18" s="7" t="s">
        <v>28</v>
      </c>
      <c r="BI18" s="7" t="s">
        <v>5985</v>
      </c>
      <c r="BJ18" s="7" t="s">
        <v>31</v>
      </c>
      <c r="BK18" s="7" t="s">
        <v>8</v>
      </c>
      <c r="BL18" s="7" t="s">
        <v>28</v>
      </c>
      <c r="BM18" s="7" t="s">
        <v>26</v>
      </c>
      <c r="BN18" s="7" t="s">
        <v>8</v>
      </c>
      <c r="BO18" s="7" t="s">
        <v>8</v>
      </c>
      <c r="BP18" s="7" t="s">
        <v>4975</v>
      </c>
      <c r="BQ18" s="7" t="s">
        <v>318</v>
      </c>
      <c r="BR18" s="7" t="s">
        <v>338</v>
      </c>
      <c r="BS18" s="7" t="s">
        <v>5986</v>
      </c>
      <c r="BT18" s="7" t="s">
        <v>5987</v>
      </c>
      <c r="BU18" s="8" t="s">
        <v>5988</v>
      </c>
    </row>
    <row r="19" spans="1:73" ht="156.75">
      <c r="A19" s="9">
        <v>137</v>
      </c>
      <c r="B19" s="10">
        <v>44372</v>
      </c>
      <c r="C19" s="11" t="s">
        <v>5989</v>
      </c>
      <c r="D19" s="10">
        <v>32806</v>
      </c>
      <c r="E19" s="29">
        <f ca="1">_xlfn.DAYS(NOW(),Tabella3[[#This Row],[Data di Nascita]])/365.25</f>
        <v>35.775496235455165</v>
      </c>
      <c r="F19" s="11"/>
      <c r="G19" s="11" t="s">
        <v>5990</v>
      </c>
      <c r="H19" s="11" t="s">
        <v>5991</v>
      </c>
      <c r="I19" s="11" t="s">
        <v>5992</v>
      </c>
      <c r="J19" s="11" t="s">
        <v>5993</v>
      </c>
      <c r="K19" s="18"/>
      <c r="L19" s="18"/>
      <c r="M19" s="18">
        <v>1</v>
      </c>
      <c r="N19" s="18"/>
      <c r="O19" s="18"/>
      <c r="P19" s="18"/>
      <c r="Q19" s="18"/>
      <c r="R19" s="18"/>
      <c r="S19" s="18"/>
      <c r="T19" s="11" t="s">
        <v>5994</v>
      </c>
      <c r="U19" s="18">
        <v>1</v>
      </c>
      <c r="V19" s="18">
        <v>1</v>
      </c>
      <c r="W19" s="18"/>
      <c r="X19" s="11" t="s">
        <v>25</v>
      </c>
      <c r="Y19" s="18"/>
      <c r="Z19" s="18"/>
      <c r="AA19" s="18"/>
      <c r="AB19" s="18">
        <v>1</v>
      </c>
      <c r="AC19" s="18"/>
      <c r="AD19" s="11" t="s">
        <v>5995</v>
      </c>
      <c r="AE19" s="18"/>
      <c r="AF19" s="18"/>
      <c r="AG19" s="18"/>
      <c r="AH19" s="18"/>
      <c r="AI19" s="18"/>
      <c r="AJ19" s="11" t="s">
        <v>28</v>
      </c>
      <c r="AK19" s="17">
        <v>1</v>
      </c>
      <c r="AL19" s="11" t="s">
        <v>28</v>
      </c>
      <c r="AM19" s="17">
        <v>1</v>
      </c>
      <c r="AN19" s="11" t="s">
        <v>5996</v>
      </c>
      <c r="AO19" s="17">
        <v>1</v>
      </c>
      <c r="AP19" s="18"/>
      <c r="AQ19" s="11" t="s">
        <v>8</v>
      </c>
      <c r="AR19" s="17">
        <v>1</v>
      </c>
      <c r="AS19" s="11" t="s">
        <v>8</v>
      </c>
      <c r="AT19" s="17">
        <v>1</v>
      </c>
      <c r="AU19" s="18"/>
      <c r="AV19" s="11" t="s">
        <v>8</v>
      </c>
      <c r="AW19" s="18"/>
      <c r="AX19" s="18"/>
      <c r="AY19" s="11" t="s">
        <v>8</v>
      </c>
      <c r="AZ19" s="11" t="s">
        <v>28</v>
      </c>
      <c r="BA19" s="11" t="s">
        <v>8</v>
      </c>
      <c r="BB19" s="11" t="s">
        <v>8</v>
      </c>
      <c r="BC19" s="11" t="s">
        <v>5997</v>
      </c>
      <c r="BD19" s="11" t="s">
        <v>25</v>
      </c>
      <c r="BE19" s="11" t="s">
        <v>25</v>
      </c>
      <c r="BF19" s="11" t="s">
        <v>5998</v>
      </c>
      <c r="BG19" s="11" t="s">
        <v>25</v>
      </c>
      <c r="BH19" s="11" t="s">
        <v>354</v>
      </c>
      <c r="BI19" s="11" t="s">
        <v>5999</v>
      </c>
      <c r="BJ19" s="11" t="s">
        <v>25</v>
      </c>
      <c r="BK19" s="11"/>
      <c r="BL19" s="11"/>
      <c r="BM19" s="11" t="s">
        <v>28</v>
      </c>
      <c r="BN19" s="11" t="s">
        <v>25</v>
      </c>
      <c r="BO19" s="11" t="s">
        <v>28</v>
      </c>
      <c r="BP19" s="11" t="s">
        <v>4975</v>
      </c>
      <c r="BQ19" s="11" t="s">
        <v>6000</v>
      </c>
      <c r="BR19" s="11" t="s">
        <v>105</v>
      </c>
      <c r="BS19" s="11" t="s">
        <v>1352</v>
      </c>
      <c r="BT19" s="11" t="s">
        <v>6001</v>
      </c>
      <c r="BU19" s="12" t="s">
        <v>6002</v>
      </c>
    </row>
    <row r="20" spans="1:73" ht="199.5">
      <c r="A20" s="5">
        <v>144</v>
      </c>
      <c r="B20" s="6">
        <v>44379</v>
      </c>
      <c r="C20" s="7" t="s">
        <v>6003</v>
      </c>
      <c r="D20" s="6">
        <v>22203</v>
      </c>
      <c r="E20" s="29">
        <f ca="1">_xlfn.DAYS(NOW(),Tabella3[[#This Row],[Data di Nascita]])/365.25</f>
        <v>64.804928131416844</v>
      </c>
      <c r="F20" s="7" t="s">
        <v>6004</v>
      </c>
      <c r="G20" s="7" t="s">
        <v>6005</v>
      </c>
      <c r="H20" s="7" t="s">
        <v>225</v>
      </c>
      <c r="I20" s="7" t="s">
        <v>6006</v>
      </c>
      <c r="J20" s="7" t="s">
        <v>6007</v>
      </c>
      <c r="K20" s="17"/>
      <c r="L20" s="17"/>
      <c r="M20" s="17"/>
      <c r="N20" s="17"/>
      <c r="O20" s="17">
        <v>1</v>
      </c>
      <c r="P20" s="17"/>
      <c r="Q20" s="17"/>
      <c r="R20" s="17"/>
      <c r="S20" s="17"/>
      <c r="T20" s="7" t="s">
        <v>6008</v>
      </c>
      <c r="U20" s="17">
        <v>3</v>
      </c>
      <c r="V20" s="17"/>
      <c r="W20" s="17"/>
      <c r="X20" s="7" t="s">
        <v>6009</v>
      </c>
      <c r="Y20" s="17"/>
      <c r="Z20" s="17"/>
      <c r="AA20" s="17"/>
      <c r="AB20" s="17"/>
      <c r="AC20" s="17"/>
      <c r="AD20" s="7" t="s">
        <v>25</v>
      </c>
      <c r="AE20" s="17"/>
      <c r="AF20" s="17"/>
      <c r="AG20" s="17"/>
      <c r="AH20" s="17"/>
      <c r="AI20" s="17"/>
      <c r="AJ20" s="7" t="s">
        <v>28</v>
      </c>
      <c r="AK20" s="17">
        <v>1</v>
      </c>
      <c r="AL20" s="7" t="s">
        <v>25</v>
      </c>
      <c r="AM20" s="17"/>
      <c r="AN20" s="7" t="s">
        <v>25</v>
      </c>
      <c r="AO20" s="17">
        <v>1</v>
      </c>
      <c r="AP20" s="17"/>
      <c r="AQ20" s="7" t="s">
        <v>25</v>
      </c>
      <c r="AR20" s="17">
        <v>1</v>
      </c>
      <c r="AS20" s="7" t="s">
        <v>25</v>
      </c>
      <c r="AT20" s="17">
        <v>1</v>
      </c>
      <c r="AU20" s="17"/>
      <c r="AV20" s="7" t="s">
        <v>25</v>
      </c>
      <c r="AW20" s="17"/>
      <c r="AX20" s="17"/>
      <c r="AY20" s="7" t="s">
        <v>25</v>
      </c>
      <c r="AZ20" s="7" t="s">
        <v>8</v>
      </c>
      <c r="BA20" s="7" t="s">
        <v>25</v>
      </c>
      <c r="BB20" s="7" t="s">
        <v>25</v>
      </c>
      <c r="BC20" s="7" t="s">
        <v>5970</v>
      </c>
      <c r="BD20" s="7" t="s">
        <v>25</v>
      </c>
      <c r="BE20" s="7" t="s">
        <v>25</v>
      </c>
      <c r="BF20" s="7" t="s">
        <v>8</v>
      </c>
      <c r="BG20" s="7" t="s">
        <v>6010</v>
      </c>
      <c r="BH20" s="7" t="s">
        <v>25</v>
      </c>
      <c r="BI20" s="7" t="s">
        <v>25</v>
      </c>
      <c r="BJ20" s="7" t="s">
        <v>25</v>
      </c>
      <c r="BK20" s="7"/>
      <c r="BL20" s="7"/>
      <c r="BM20" s="7" t="s">
        <v>25</v>
      </c>
      <c r="BN20" s="7" t="s">
        <v>6011</v>
      </c>
      <c r="BO20" s="7" t="s">
        <v>25</v>
      </c>
      <c r="BP20" s="7" t="s">
        <v>4975</v>
      </c>
      <c r="BQ20" s="7" t="s">
        <v>6012</v>
      </c>
      <c r="BR20" s="7" t="s">
        <v>37</v>
      </c>
      <c r="BS20" s="7" t="s">
        <v>736</v>
      </c>
      <c r="BT20" s="7" t="s">
        <v>6013</v>
      </c>
      <c r="BU20" s="8" t="s">
        <v>6014</v>
      </c>
    </row>
    <row r="21" spans="1:73" ht="85.5">
      <c r="A21" s="9">
        <v>155</v>
      </c>
      <c r="B21" s="10">
        <v>44398</v>
      </c>
      <c r="C21" s="11" t="s">
        <v>6015</v>
      </c>
      <c r="D21" s="10">
        <v>25188</v>
      </c>
      <c r="E21" s="29">
        <f ca="1">_xlfn.DAYS(NOW(),Tabella3[[#This Row],[Data di Nascita]])/365.25</f>
        <v>56.632443531827512</v>
      </c>
      <c r="F21" s="11" t="s">
        <v>6016</v>
      </c>
      <c r="G21" s="11" t="s">
        <v>6017</v>
      </c>
      <c r="H21" s="11" t="s">
        <v>225</v>
      </c>
      <c r="I21" s="11" t="s">
        <v>6018</v>
      </c>
      <c r="J21" s="11" t="s">
        <v>6019</v>
      </c>
      <c r="K21" s="18"/>
      <c r="L21" s="18"/>
      <c r="M21" s="18">
        <v>1</v>
      </c>
      <c r="N21" s="18"/>
      <c r="O21" s="18"/>
      <c r="P21" s="18"/>
      <c r="Q21" s="18"/>
      <c r="R21" s="18"/>
      <c r="S21" s="18"/>
      <c r="T21" s="11" t="s">
        <v>6020</v>
      </c>
      <c r="U21" s="18">
        <v>48</v>
      </c>
      <c r="V21" s="18">
        <v>1</v>
      </c>
      <c r="W21" s="18"/>
      <c r="X21" s="11" t="s">
        <v>8</v>
      </c>
      <c r="Y21" s="18"/>
      <c r="Z21" s="18"/>
      <c r="AA21" s="18"/>
      <c r="AB21" s="18">
        <v>1</v>
      </c>
      <c r="AC21" s="18"/>
      <c r="AD21" s="11" t="s">
        <v>8</v>
      </c>
      <c r="AE21" s="18"/>
      <c r="AF21" s="18"/>
      <c r="AG21" s="18"/>
      <c r="AH21" s="18"/>
      <c r="AI21" s="18"/>
      <c r="AJ21" s="11" t="s">
        <v>28</v>
      </c>
      <c r="AK21" s="17">
        <v>1</v>
      </c>
      <c r="AL21" s="11" t="s">
        <v>28</v>
      </c>
      <c r="AM21" s="17">
        <v>1</v>
      </c>
      <c r="AN21" s="11" t="s">
        <v>6021</v>
      </c>
      <c r="AO21" s="17">
        <v>0</v>
      </c>
      <c r="AP21" s="18"/>
      <c r="AQ21" s="11" t="s">
        <v>230</v>
      </c>
      <c r="AR21" s="17">
        <v>1</v>
      </c>
      <c r="AS21" s="11" t="s">
        <v>8</v>
      </c>
      <c r="AT21" s="17">
        <v>1</v>
      </c>
      <c r="AU21" s="18"/>
      <c r="AV21" s="11" t="s">
        <v>8</v>
      </c>
      <c r="AW21" s="18"/>
      <c r="AX21" s="18"/>
      <c r="AY21" s="11" t="s">
        <v>8</v>
      </c>
      <c r="AZ21" s="11" t="s">
        <v>8</v>
      </c>
      <c r="BA21" s="11" t="s">
        <v>8</v>
      </c>
      <c r="BB21" s="11" t="s">
        <v>8</v>
      </c>
      <c r="BC21" s="11" t="s">
        <v>6022</v>
      </c>
      <c r="BD21" s="11" t="s">
        <v>6023</v>
      </c>
      <c r="BE21" s="11" t="s">
        <v>8</v>
      </c>
      <c r="BF21" s="11" t="s">
        <v>6024</v>
      </c>
      <c r="BG21" s="11" t="s">
        <v>6025</v>
      </c>
      <c r="BH21" s="11" t="s">
        <v>8</v>
      </c>
      <c r="BI21" s="11" t="s">
        <v>6026</v>
      </c>
      <c r="BJ21" s="11" t="s">
        <v>8</v>
      </c>
      <c r="BK21" s="11"/>
      <c r="BL21" s="11"/>
      <c r="BM21" s="11" t="s">
        <v>25</v>
      </c>
      <c r="BN21" s="11" t="s">
        <v>6027</v>
      </c>
      <c r="BO21" s="11" t="s">
        <v>272</v>
      </c>
      <c r="BP21" s="11" t="s">
        <v>5804</v>
      </c>
      <c r="BQ21" s="11" t="s">
        <v>6028</v>
      </c>
      <c r="BR21" s="11" t="s">
        <v>105</v>
      </c>
      <c r="BS21" s="11" t="s">
        <v>569</v>
      </c>
      <c r="BT21" s="11" t="s">
        <v>4104</v>
      </c>
      <c r="BU21" s="12" t="s">
        <v>6029</v>
      </c>
    </row>
    <row r="22" spans="1:73" ht="399">
      <c r="A22" s="5">
        <v>178</v>
      </c>
      <c r="B22" s="6">
        <v>44433</v>
      </c>
      <c r="C22" s="7" t="s">
        <v>6030</v>
      </c>
      <c r="D22" s="6">
        <v>18168</v>
      </c>
      <c r="E22" s="29">
        <f ca="1">_xlfn.DAYS(NOW(),Tabella3[[#This Row],[Data di Nascita]])/365.25</f>
        <v>75.852156057494867</v>
      </c>
      <c r="F22" s="7" t="s">
        <v>6031</v>
      </c>
      <c r="G22" s="7" t="s">
        <v>6032</v>
      </c>
      <c r="H22" s="7" t="s">
        <v>6033</v>
      </c>
      <c r="I22" s="7"/>
      <c r="J22" s="7" t="s">
        <v>6034</v>
      </c>
      <c r="K22" s="17">
        <v>1</v>
      </c>
      <c r="L22" s="17"/>
      <c r="M22" s="17"/>
      <c r="N22" s="17"/>
      <c r="O22" s="17"/>
      <c r="P22" s="17">
        <v>1</v>
      </c>
      <c r="Q22" s="17"/>
      <c r="R22" s="17"/>
      <c r="S22" s="17"/>
      <c r="T22" s="7" t="s">
        <v>6035</v>
      </c>
      <c r="U22" s="17"/>
      <c r="V22" s="17">
        <v>1</v>
      </c>
      <c r="W22" s="17"/>
      <c r="X22" s="7" t="s">
        <v>309</v>
      </c>
      <c r="Y22" s="17"/>
      <c r="Z22" s="17"/>
      <c r="AA22" s="17"/>
      <c r="AB22" s="17">
        <v>1</v>
      </c>
      <c r="AC22" s="17"/>
      <c r="AD22" s="7" t="s">
        <v>309</v>
      </c>
      <c r="AE22" s="17"/>
      <c r="AF22" s="17"/>
      <c r="AG22" s="17"/>
      <c r="AH22" s="17"/>
      <c r="AI22" s="17"/>
      <c r="AJ22" s="7" t="s">
        <v>194</v>
      </c>
      <c r="AK22" s="17">
        <v>1</v>
      </c>
      <c r="AL22" s="7" t="s">
        <v>309</v>
      </c>
      <c r="AM22" s="17"/>
      <c r="AN22" s="7" t="s">
        <v>309</v>
      </c>
      <c r="AO22" s="17">
        <v>1</v>
      </c>
      <c r="AP22" s="17"/>
      <c r="AQ22" s="7" t="s">
        <v>309</v>
      </c>
      <c r="AR22" s="17">
        <v>1</v>
      </c>
      <c r="AS22" s="7" t="s">
        <v>309</v>
      </c>
      <c r="AT22" s="17">
        <v>1</v>
      </c>
      <c r="AU22" s="17"/>
      <c r="AV22" s="7" t="s">
        <v>309</v>
      </c>
      <c r="AW22" s="17"/>
      <c r="AX22" s="17"/>
      <c r="AY22" s="7" t="s">
        <v>6036</v>
      </c>
      <c r="AZ22" s="7" t="s">
        <v>195</v>
      </c>
      <c r="BA22" s="7" t="s">
        <v>194</v>
      </c>
      <c r="BB22" s="7"/>
      <c r="BC22" s="7" t="s">
        <v>6037</v>
      </c>
      <c r="BD22" s="7" t="s">
        <v>6038</v>
      </c>
      <c r="BE22" s="7" t="s">
        <v>195</v>
      </c>
      <c r="BF22" s="7"/>
      <c r="BG22" s="7" t="s">
        <v>6039</v>
      </c>
      <c r="BH22" s="7" t="s">
        <v>194</v>
      </c>
      <c r="BI22" s="7" t="s">
        <v>309</v>
      </c>
      <c r="BJ22" s="7" t="s">
        <v>685</v>
      </c>
      <c r="BK22" s="7"/>
      <c r="BL22" s="7"/>
      <c r="BM22" s="7" t="s">
        <v>194</v>
      </c>
      <c r="BN22" s="7" t="s">
        <v>6040</v>
      </c>
      <c r="BO22" s="7" t="s">
        <v>309</v>
      </c>
      <c r="BP22" s="7" t="s">
        <v>4975</v>
      </c>
      <c r="BQ22" s="7" t="s">
        <v>6041</v>
      </c>
      <c r="BR22" s="7" t="s">
        <v>6042</v>
      </c>
      <c r="BS22" s="7" t="s">
        <v>6043</v>
      </c>
      <c r="BT22" s="7" t="s">
        <v>6044</v>
      </c>
      <c r="BU22" s="8" t="s">
        <v>6045</v>
      </c>
    </row>
    <row r="23" spans="1:73" ht="99.75">
      <c r="A23" s="9">
        <v>196</v>
      </c>
      <c r="B23" s="10">
        <v>44456</v>
      </c>
      <c r="C23" s="11" t="s">
        <v>6046</v>
      </c>
      <c r="D23" s="10">
        <v>24801</v>
      </c>
      <c r="E23" s="29">
        <f ca="1">_xlfn.DAYS(NOW(),Tabella3[[#This Row],[Data di Nascita]])/365.25</f>
        <v>57.691991786447637</v>
      </c>
      <c r="F23" s="11" t="s">
        <v>6047</v>
      </c>
      <c r="G23" s="11" t="s">
        <v>6048</v>
      </c>
      <c r="H23" s="11" t="s">
        <v>6049</v>
      </c>
      <c r="I23" s="11" t="s">
        <v>211</v>
      </c>
      <c r="J23" s="11" t="s">
        <v>2058</v>
      </c>
      <c r="K23" s="17">
        <v>1</v>
      </c>
      <c r="L23" s="18"/>
      <c r="M23" s="18"/>
      <c r="N23" s="18"/>
      <c r="O23" s="18"/>
      <c r="P23" s="18"/>
      <c r="Q23" s="18"/>
      <c r="R23" s="18"/>
      <c r="S23" s="18"/>
      <c r="T23" s="11" t="s">
        <v>6050</v>
      </c>
      <c r="U23" s="18"/>
      <c r="V23" s="18"/>
      <c r="W23" s="18">
        <v>1</v>
      </c>
      <c r="X23" s="11" t="s">
        <v>26</v>
      </c>
      <c r="Y23" s="18"/>
      <c r="Z23" s="18"/>
      <c r="AA23" s="18">
        <v>1</v>
      </c>
      <c r="AB23" s="18"/>
      <c r="AC23" s="18"/>
      <c r="AD23" s="11" t="s">
        <v>6051</v>
      </c>
      <c r="AE23" s="18"/>
      <c r="AF23" s="18"/>
      <c r="AG23" s="18">
        <v>1</v>
      </c>
      <c r="AH23" s="18"/>
      <c r="AI23" s="18"/>
      <c r="AJ23" s="11" t="s">
        <v>8</v>
      </c>
      <c r="AK23" s="18"/>
      <c r="AL23" s="11" t="s">
        <v>6052</v>
      </c>
      <c r="AM23" s="17">
        <v>1</v>
      </c>
      <c r="AN23" s="11" t="s">
        <v>25</v>
      </c>
      <c r="AO23" s="17">
        <v>1</v>
      </c>
      <c r="AP23" s="18"/>
      <c r="AQ23" s="11" t="s">
        <v>8</v>
      </c>
      <c r="AR23" s="17">
        <v>1</v>
      </c>
      <c r="AS23" s="11" t="s">
        <v>8</v>
      </c>
      <c r="AT23" s="17">
        <v>1</v>
      </c>
      <c r="AU23" s="18"/>
      <c r="AV23" s="11" t="s">
        <v>6053</v>
      </c>
      <c r="AW23" s="18">
        <v>1</v>
      </c>
      <c r="AX23" s="18"/>
      <c r="AY23" s="11" t="s">
        <v>6054</v>
      </c>
      <c r="AZ23" s="11" t="s">
        <v>7</v>
      </c>
      <c r="BA23" s="11" t="s">
        <v>6055</v>
      </c>
      <c r="BB23" s="11"/>
      <c r="BC23" s="11" t="s">
        <v>6056</v>
      </c>
      <c r="BD23" s="11" t="s">
        <v>6057</v>
      </c>
      <c r="BE23" s="11" t="s">
        <v>8</v>
      </c>
      <c r="BF23" s="11"/>
      <c r="BG23" s="11" t="s">
        <v>6058</v>
      </c>
      <c r="BH23" s="11" t="s">
        <v>25</v>
      </c>
      <c r="BI23" s="11" t="s">
        <v>493</v>
      </c>
      <c r="BJ23" s="11" t="s">
        <v>25</v>
      </c>
      <c r="BK23" s="11"/>
      <c r="BL23" s="11"/>
      <c r="BM23" s="11" t="s">
        <v>367</v>
      </c>
      <c r="BN23" s="11" t="s">
        <v>476</v>
      </c>
      <c r="BO23" s="11" t="s">
        <v>461</v>
      </c>
      <c r="BP23" s="11" t="s">
        <v>5804</v>
      </c>
      <c r="BQ23" s="11" t="s">
        <v>279</v>
      </c>
      <c r="BR23" s="11" t="s">
        <v>219</v>
      </c>
      <c r="BS23" s="11" t="s">
        <v>539</v>
      </c>
      <c r="BT23" s="11" t="s">
        <v>4259</v>
      </c>
      <c r="BU23" s="12" t="s">
        <v>6059</v>
      </c>
    </row>
    <row r="24" spans="1:73" ht="213.75">
      <c r="A24" s="5">
        <v>203</v>
      </c>
      <c r="B24" s="6">
        <v>44468</v>
      </c>
      <c r="C24" s="7" t="s">
        <v>6060</v>
      </c>
      <c r="D24" s="6">
        <v>15113</v>
      </c>
      <c r="E24" s="29">
        <f ca="1">_xlfn.DAYS(NOW(),Tabella3[[#This Row],[Data di Nascita]])/365.25</f>
        <v>84.216290212183438</v>
      </c>
      <c r="F24" s="7" t="s">
        <v>6061</v>
      </c>
      <c r="G24" s="7" t="s">
        <v>6062</v>
      </c>
      <c r="H24" s="7" t="s">
        <v>6063</v>
      </c>
      <c r="I24" s="7" t="s">
        <v>211</v>
      </c>
      <c r="J24" s="7" t="s">
        <v>6064</v>
      </c>
      <c r="K24" s="17"/>
      <c r="L24" s="17"/>
      <c r="M24" s="17"/>
      <c r="N24" s="17"/>
      <c r="O24" s="17"/>
      <c r="P24" s="17"/>
      <c r="Q24" s="17"/>
      <c r="R24" s="17">
        <v>1</v>
      </c>
      <c r="S24" s="17"/>
      <c r="T24" s="7" t="s">
        <v>25</v>
      </c>
      <c r="U24" s="17"/>
      <c r="V24" s="17"/>
      <c r="W24" s="17">
        <v>1</v>
      </c>
      <c r="X24" s="7" t="s">
        <v>6065</v>
      </c>
      <c r="Y24" s="17"/>
      <c r="Z24" s="17"/>
      <c r="AA24" s="17">
        <v>1</v>
      </c>
      <c r="AB24" s="17"/>
      <c r="AC24" s="17"/>
      <c r="AD24" s="7" t="s">
        <v>25</v>
      </c>
      <c r="AE24" s="17"/>
      <c r="AF24" s="17"/>
      <c r="AG24" s="17"/>
      <c r="AH24" s="17"/>
      <c r="AI24" s="17"/>
      <c r="AJ24" s="7" t="s">
        <v>28</v>
      </c>
      <c r="AK24" s="17">
        <v>1</v>
      </c>
      <c r="AL24" s="7" t="s">
        <v>461</v>
      </c>
      <c r="AM24" s="17">
        <v>1</v>
      </c>
      <c r="AN24" s="7" t="s">
        <v>25</v>
      </c>
      <c r="AO24" s="17">
        <v>1</v>
      </c>
      <c r="AP24" s="17"/>
      <c r="AQ24" s="7" t="s">
        <v>25</v>
      </c>
      <c r="AR24" s="17">
        <v>1</v>
      </c>
      <c r="AS24" s="7" t="s">
        <v>25</v>
      </c>
      <c r="AT24" s="17">
        <v>1</v>
      </c>
      <c r="AU24" s="17"/>
      <c r="AV24" s="7" t="s">
        <v>25</v>
      </c>
      <c r="AW24" s="17"/>
      <c r="AX24" s="17"/>
      <c r="AY24" s="7" t="s">
        <v>6066</v>
      </c>
      <c r="AZ24" s="7" t="s">
        <v>8</v>
      </c>
      <c r="BA24" s="7" t="s">
        <v>461</v>
      </c>
      <c r="BB24" s="7"/>
      <c r="BC24" s="7" t="s">
        <v>6067</v>
      </c>
      <c r="BD24" s="7" t="s">
        <v>6068</v>
      </c>
      <c r="BE24" s="7" t="s">
        <v>8</v>
      </c>
      <c r="BF24" s="7"/>
      <c r="BG24" s="7" t="s">
        <v>6069</v>
      </c>
      <c r="BH24" s="7" t="s">
        <v>476</v>
      </c>
      <c r="BI24" s="7" t="s">
        <v>6070</v>
      </c>
      <c r="BJ24" s="7" t="s">
        <v>25</v>
      </c>
      <c r="BK24" s="7" t="s">
        <v>476</v>
      </c>
      <c r="BL24" s="7" t="s">
        <v>25</v>
      </c>
      <c r="BM24" s="7" t="s">
        <v>466</v>
      </c>
      <c r="BN24" s="7" t="s">
        <v>476</v>
      </c>
      <c r="BO24" s="7" t="s">
        <v>301</v>
      </c>
      <c r="BP24" s="7" t="s">
        <v>4975</v>
      </c>
      <c r="BQ24" s="7" t="s">
        <v>135</v>
      </c>
      <c r="BR24" s="7" t="s">
        <v>105</v>
      </c>
      <c r="BS24" s="7" t="s">
        <v>122</v>
      </c>
      <c r="BT24" s="7" t="s">
        <v>6071</v>
      </c>
      <c r="BU24" s="8" t="s">
        <v>6072</v>
      </c>
    </row>
    <row r="25" spans="1:73" ht="242.25">
      <c r="A25" s="9">
        <v>205</v>
      </c>
      <c r="B25" s="10">
        <v>44468</v>
      </c>
      <c r="C25" s="11" t="s">
        <v>6073</v>
      </c>
      <c r="D25" s="10">
        <v>18104</v>
      </c>
      <c r="E25" s="29">
        <f ca="1">_xlfn.DAYS(NOW(),Tabella3[[#This Row],[Data di Nascita]])/365.25</f>
        <v>76.027378507871319</v>
      </c>
      <c r="F25" s="11" t="s">
        <v>6074</v>
      </c>
      <c r="G25" s="11" t="s">
        <v>6075</v>
      </c>
      <c r="H25" s="11" t="s">
        <v>6076</v>
      </c>
      <c r="I25" s="11" t="s">
        <v>211</v>
      </c>
      <c r="J25" s="11" t="s">
        <v>1815</v>
      </c>
      <c r="K25" s="17">
        <v>1</v>
      </c>
      <c r="L25" s="18"/>
      <c r="M25" s="18"/>
      <c r="N25" s="18"/>
      <c r="O25" s="18"/>
      <c r="P25" s="18"/>
      <c r="Q25" s="18"/>
      <c r="R25" s="18"/>
      <c r="S25" s="18"/>
      <c r="T25" s="11" t="s">
        <v>6077</v>
      </c>
      <c r="U25" s="18">
        <v>32</v>
      </c>
      <c r="V25" s="18"/>
      <c r="W25" s="18"/>
      <c r="X25" s="11" t="s">
        <v>6065</v>
      </c>
      <c r="Y25" s="18"/>
      <c r="Z25" s="18"/>
      <c r="AA25" s="18">
        <v>1</v>
      </c>
      <c r="AB25" s="18"/>
      <c r="AC25" s="18"/>
      <c r="AD25" s="11" t="s">
        <v>25</v>
      </c>
      <c r="AE25" s="18"/>
      <c r="AF25" s="18"/>
      <c r="AG25" s="18"/>
      <c r="AH25" s="18"/>
      <c r="AI25" s="18"/>
      <c r="AJ25" s="11" t="s">
        <v>8</v>
      </c>
      <c r="AK25" s="18"/>
      <c r="AL25" s="11" t="s">
        <v>28</v>
      </c>
      <c r="AM25" s="17">
        <v>1</v>
      </c>
      <c r="AN25" s="11" t="s">
        <v>25</v>
      </c>
      <c r="AO25" s="17">
        <v>1</v>
      </c>
      <c r="AP25" s="18"/>
      <c r="AQ25" s="11" t="s">
        <v>6078</v>
      </c>
      <c r="AR25" s="18"/>
      <c r="AS25" s="11" t="s">
        <v>25</v>
      </c>
      <c r="AT25" s="17">
        <v>1</v>
      </c>
      <c r="AU25" s="18"/>
      <c r="AV25" s="11" t="s">
        <v>25</v>
      </c>
      <c r="AW25" s="18"/>
      <c r="AX25" s="18"/>
      <c r="AY25" s="11" t="s">
        <v>8</v>
      </c>
      <c r="AZ25" s="11" t="s">
        <v>7</v>
      </c>
      <c r="BA25" s="11" t="s">
        <v>25</v>
      </c>
      <c r="BB25" s="11"/>
      <c r="BC25" s="11"/>
      <c r="BD25" s="11" t="s">
        <v>6079</v>
      </c>
      <c r="BE25" s="11"/>
      <c r="BF25" s="11" t="s">
        <v>6080</v>
      </c>
      <c r="BG25" s="11" t="s">
        <v>25</v>
      </c>
      <c r="BH25" s="11" t="s">
        <v>476</v>
      </c>
      <c r="BI25" s="11" t="s">
        <v>6081</v>
      </c>
      <c r="BJ25" s="11" t="s">
        <v>25</v>
      </c>
      <c r="BK25" s="11" t="s">
        <v>6082</v>
      </c>
      <c r="BL25" s="11"/>
      <c r="BM25" s="11" t="s">
        <v>260</v>
      </c>
      <c r="BN25" s="11" t="s">
        <v>34</v>
      </c>
      <c r="BO25" s="11" t="s">
        <v>1667</v>
      </c>
      <c r="BP25" s="11" t="s">
        <v>5804</v>
      </c>
      <c r="BQ25" s="11" t="s">
        <v>507</v>
      </c>
      <c r="BR25" s="11" t="s">
        <v>71</v>
      </c>
      <c r="BS25" s="11" t="s">
        <v>389</v>
      </c>
      <c r="BT25" s="11"/>
      <c r="BU25" s="12" t="s">
        <v>6083</v>
      </c>
    </row>
    <row r="26" spans="1:73" ht="85.5">
      <c r="A26" s="5">
        <v>215</v>
      </c>
      <c r="B26" s="6">
        <v>44477</v>
      </c>
      <c r="C26" s="7" t="s">
        <v>6084</v>
      </c>
      <c r="D26" s="6">
        <v>23458</v>
      </c>
      <c r="E26" s="29">
        <f ca="1">_xlfn.DAYS(NOW(),Tabella3[[#This Row],[Data di Nascita]])/365.25</f>
        <v>61.368925393566052</v>
      </c>
      <c r="F26" s="7" t="s">
        <v>6085</v>
      </c>
      <c r="G26" s="7" t="s">
        <v>6086</v>
      </c>
      <c r="H26" s="7" t="s">
        <v>6087</v>
      </c>
      <c r="I26" s="7" t="s">
        <v>211</v>
      </c>
      <c r="J26" s="7" t="s">
        <v>297</v>
      </c>
      <c r="K26" s="17"/>
      <c r="L26" s="17"/>
      <c r="M26" s="17"/>
      <c r="N26" s="17"/>
      <c r="O26" s="17"/>
      <c r="P26" s="17"/>
      <c r="Q26" s="17"/>
      <c r="R26" s="17"/>
      <c r="S26" s="17"/>
      <c r="T26" s="7" t="s">
        <v>6088</v>
      </c>
      <c r="U26" s="17">
        <v>2.5</v>
      </c>
      <c r="V26" s="17">
        <v>1</v>
      </c>
      <c r="W26" s="17"/>
      <c r="X26" s="7" t="s">
        <v>25</v>
      </c>
      <c r="Y26" s="17"/>
      <c r="Z26" s="17"/>
      <c r="AA26" s="17"/>
      <c r="AB26" s="17">
        <v>1</v>
      </c>
      <c r="AC26" s="17"/>
      <c r="AD26" s="7" t="s">
        <v>25</v>
      </c>
      <c r="AE26" s="17"/>
      <c r="AF26" s="17"/>
      <c r="AG26" s="17"/>
      <c r="AH26" s="17"/>
      <c r="AI26" s="17"/>
      <c r="AJ26" s="7" t="s">
        <v>7</v>
      </c>
      <c r="AK26" s="17">
        <v>1</v>
      </c>
      <c r="AL26" s="7" t="s">
        <v>7</v>
      </c>
      <c r="AM26" s="17">
        <v>1</v>
      </c>
      <c r="AN26" s="7" t="s">
        <v>8</v>
      </c>
      <c r="AO26" s="17">
        <v>1</v>
      </c>
      <c r="AP26" s="17"/>
      <c r="AQ26" s="7" t="s">
        <v>8</v>
      </c>
      <c r="AR26" s="17">
        <v>1</v>
      </c>
      <c r="AS26" s="7" t="s">
        <v>47</v>
      </c>
      <c r="AT26" s="17"/>
      <c r="AU26" s="17"/>
      <c r="AV26" s="7" t="s">
        <v>25</v>
      </c>
      <c r="AW26" s="17"/>
      <c r="AX26" s="17"/>
      <c r="AY26" s="7" t="s">
        <v>6089</v>
      </c>
      <c r="AZ26" s="7" t="s">
        <v>461</v>
      </c>
      <c r="BA26" s="7" t="s">
        <v>26</v>
      </c>
      <c r="BB26" s="7"/>
      <c r="BC26" s="7"/>
      <c r="BD26" s="7" t="s">
        <v>6090</v>
      </c>
      <c r="BE26" s="7" t="s">
        <v>8</v>
      </c>
      <c r="BF26" s="7"/>
      <c r="BG26" s="7" t="s">
        <v>25</v>
      </c>
      <c r="BH26" s="7" t="s">
        <v>25</v>
      </c>
      <c r="BI26" s="7" t="s">
        <v>6091</v>
      </c>
      <c r="BJ26" s="7" t="s">
        <v>25</v>
      </c>
      <c r="BK26" s="7" t="s">
        <v>6092</v>
      </c>
      <c r="BL26" s="7"/>
      <c r="BM26" s="7" t="s">
        <v>260</v>
      </c>
      <c r="BN26" s="7" t="s">
        <v>476</v>
      </c>
      <c r="BO26" s="7" t="s">
        <v>25</v>
      </c>
      <c r="BP26" s="7" t="s">
        <v>5804</v>
      </c>
      <c r="BQ26" s="7" t="s">
        <v>55</v>
      </c>
      <c r="BR26" s="7" t="s">
        <v>219</v>
      </c>
      <c r="BS26" s="7" t="s">
        <v>122</v>
      </c>
      <c r="BT26" s="7" t="s">
        <v>6093</v>
      </c>
      <c r="BU26" s="8" t="s">
        <v>6094</v>
      </c>
    </row>
    <row r="27" spans="1:73" ht="256.5">
      <c r="A27" s="9">
        <v>224</v>
      </c>
      <c r="B27" s="10">
        <v>44491</v>
      </c>
      <c r="C27" s="11" t="s">
        <v>6095</v>
      </c>
      <c r="D27" s="10">
        <v>24066</v>
      </c>
      <c r="E27" s="29">
        <f ca="1">_xlfn.DAYS(NOW(),Tabella3[[#This Row],[Data di Nascita]])/365.25</f>
        <v>59.704312114989733</v>
      </c>
      <c r="F27" s="11" t="s">
        <v>6096</v>
      </c>
      <c r="G27" s="11" t="s">
        <v>6097</v>
      </c>
      <c r="H27" s="11" t="s">
        <v>6098</v>
      </c>
      <c r="I27" s="11" t="s">
        <v>6099</v>
      </c>
      <c r="J27" s="11" t="s">
        <v>6100</v>
      </c>
      <c r="K27" s="17">
        <v>1</v>
      </c>
      <c r="L27" s="17">
        <v>1</v>
      </c>
      <c r="M27" s="18"/>
      <c r="N27" s="18"/>
      <c r="O27" s="18"/>
      <c r="P27" s="18"/>
      <c r="Q27" s="18"/>
      <c r="R27" s="18"/>
      <c r="S27" s="18"/>
      <c r="T27" s="11" t="s">
        <v>6101</v>
      </c>
      <c r="U27" s="18">
        <v>60</v>
      </c>
      <c r="V27" s="18">
        <v>1</v>
      </c>
      <c r="W27" s="18"/>
      <c r="X27" s="11" t="s">
        <v>25</v>
      </c>
      <c r="Y27" s="18"/>
      <c r="Z27" s="18"/>
      <c r="AA27" s="18"/>
      <c r="AB27" s="18">
        <v>1</v>
      </c>
      <c r="AC27" s="18"/>
      <c r="AD27" s="11" t="s">
        <v>25</v>
      </c>
      <c r="AE27" s="18"/>
      <c r="AF27" s="18"/>
      <c r="AG27" s="18"/>
      <c r="AH27" s="18"/>
      <c r="AI27" s="18"/>
      <c r="AJ27" s="11" t="s">
        <v>28</v>
      </c>
      <c r="AK27" s="17">
        <v>1</v>
      </c>
      <c r="AL27" s="11" t="s">
        <v>28</v>
      </c>
      <c r="AM27" s="17">
        <v>1</v>
      </c>
      <c r="AN27" s="11" t="s">
        <v>6102</v>
      </c>
      <c r="AO27" s="17">
        <v>0</v>
      </c>
      <c r="AP27" s="18"/>
      <c r="AQ27" s="11" t="s">
        <v>8</v>
      </c>
      <c r="AR27" s="17">
        <v>1</v>
      </c>
      <c r="AS27" s="11" t="s">
        <v>28</v>
      </c>
      <c r="AT27" s="18"/>
      <c r="AU27" s="18"/>
      <c r="AV27" s="11" t="s">
        <v>28</v>
      </c>
      <c r="AW27" s="18"/>
      <c r="AX27" s="18">
        <v>1</v>
      </c>
      <c r="AY27" s="11" t="s">
        <v>25</v>
      </c>
      <c r="AZ27" s="11" t="s">
        <v>6103</v>
      </c>
      <c r="BA27" s="11" t="s">
        <v>25</v>
      </c>
      <c r="BB27" s="11" t="s">
        <v>25</v>
      </c>
      <c r="BC27" s="11" t="s">
        <v>6104</v>
      </c>
      <c r="BD27" s="11" t="s">
        <v>6105</v>
      </c>
      <c r="BE27" s="11" t="s">
        <v>8</v>
      </c>
      <c r="BF27" s="11" t="s">
        <v>6106</v>
      </c>
      <c r="BG27" s="11" t="s">
        <v>28</v>
      </c>
      <c r="BH27" s="11" t="s">
        <v>8</v>
      </c>
      <c r="BI27" s="11" t="s">
        <v>28</v>
      </c>
      <c r="BJ27" s="11" t="s">
        <v>8</v>
      </c>
      <c r="BK27" s="11"/>
      <c r="BL27" s="11"/>
      <c r="BM27" s="11" t="s">
        <v>28</v>
      </c>
      <c r="BN27" s="11" t="s">
        <v>28</v>
      </c>
      <c r="BO27" s="11" t="s">
        <v>8</v>
      </c>
      <c r="BP27" s="11" t="s">
        <v>5804</v>
      </c>
      <c r="BQ27" s="11" t="s">
        <v>6107</v>
      </c>
      <c r="BR27" s="11" t="s">
        <v>219</v>
      </c>
      <c r="BS27" s="11" t="s">
        <v>38</v>
      </c>
      <c r="BT27" s="11" t="s">
        <v>6108</v>
      </c>
      <c r="BU27" s="12" t="s">
        <v>6109</v>
      </c>
    </row>
    <row r="28" spans="1:73" ht="199.5">
      <c r="A28" s="5">
        <v>252</v>
      </c>
      <c r="B28" s="6">
        <v>44523</v>
      </c>
      <c r="C28" s="7" t="s">
        <v>6110</v>
      </c>
      <c r="D28" s="6">
        <v>11569</v>
      </c>
      <c r="E28" s="29">
        <f ca="1">_xlfn.DAYS(NOW(),Tabella3[[#This Row],[Data di Nascita]])/365.25</f>
        <v>93.919233401779607</v>
      </c>
      <c r="F28" s="7" t="s">
        <v>6111</v>
      </c>
      <c r="G28" s="7" t="s">
        <v>6112</v>
      </c>
      <c r="H28" s="7" t="s">
        <v>210</v>
      </c>
      <c r="I28" s="7" t="s">
        <v>211</v>
      </c>
      <c r="J28" s="7" t="s">
        <v>6113</v>
      </c>
      <c r="K28" s="17">
        <v>1</v>
      </c>
      <c r="L28" s="17">
        <v>1</v>
      </c>
      <c r="M28" s="17"/>
      <c r="N28" s="17"/>
      <c r="O28" s="17"/>
      <c r="P28" s="17"/>
      <c r="Q28" s="17"/>
      <c r="R28" s="17"/>
      <c r="S28" s="17"/>
      <c r="T28" s="7" t="s">
        <v>6114</v>
      </c>
      <c r="U28" s="17">
        <v>8</v>
      </c>
      <c r="V28" s="17">
        <v>1</v>
      </c>
      <c r="W28" s="17"/>
      <c r="X28" s="7" t="s">
        <v>6115</v>
      </c>
      <c r="Y28" s="17"/>
      <c r="Z28" s="17"/>
      <c r="AA28" s="17"/>
      <c r="AB28" s="17"/>
      <c r="AC28" s="17"/>
      <c r="AD28" s="7" t="s">
        <v>25</v>
      </c>
      <c r="AE28" s="17"/>
      <c r="AF28" s="17"/>
      <c r="AG28" s="17"/>
      <c r="AH28" s="17"/>
      <c r="AI28" s="17"/>
      <c r="AJ28" s="7" t="s">
        <v>516</v>
      </c>
      <c r="AK28" s="17">
        <v>1</v>
      </c>
      <c r="AL28" s="7" t="s">
        <v>547</v>
      </c>
      <c r="AM28" s="17">
        <v>1</v>
      </c>
      <c r="AN28" s="7" t="s">
        <v>25</v>
      </c>
      <c r="AO28" s="17">
        <v>1</v>
      </c>
      <c r="AP28" s="17"/>
      <c r="AQ28" s="7" t="s">
        <v>25</v>
      </c>
      <c r="AR28" s="17">
        <v>1</v>
      </c>
      <c r="AS28" s="7" t="s">
        <v>6116</v>
      </c>
      <c r="AT28" s="17"/>
      <c r="AU28" s="17"/>
      <c r="AV28" s="7" t="s">
        <v>6117</v>
      </c>
      <c r="AW28" s="17"/>
      <c r="AX28" s="17">
        <v>1</v>
      </c>
      <c r="AY28" s="7" t="s">
        <v>25</v>
      </c>
      <c r="AZ28" s="7" t="s">
        <v>517</v>
      </c>
      <c r="BA28" s="7" t="s">
        <v>605</v>
      </c>
      <c r="BB28" s="7" t="s">
        <v>25</v>
      </c>
      <c r="BC28" s="7"/>
      <c r="BD28" s="7" t="s">
        <v>6118</v>
      </c>
      <c r="BE28" s="7" t="s">
        <v>8</v>
      </c>
      <c r="BF28" s="7"/>
      <c r="BG28" s="7" t="s">
        <v>309</v>
      </c>
      <c r="BH28" s="7" t="s">
        <v>6119</v>
      </c>
      <c r="BI28" s="7" t="s">
        <v>309</v>
      </c>
      <c r="BJ28" s="7" t="s">
        <v>25</v>
      </c>
      <c r="BK28" s="7"/>
      <c r="BL28" s="7"/>
      <c r="BM28" s="7" t="s">
        <v>935</v>
      </c>
      <c r="BN28" s="7" t="s">
        <v>309</v>
      </c>
      <c r="BO28" s="7" t="s">
        <v>25</v>
      </c>
      <c r="BP28" s="7" t="s">
        <v>5804</v>
      </c>
      <c r="BQ28" s="7" t="s">
        <v>318</v>
      </c>
      <c r="BR28" s="7" t="s">
        <v>71</v>
      </c>
      <c r="BS28" s="7" t="s">
        <v>2424</v>
      </c>
      <c r="BT28" s="7" t="s">
        <v>6120</v>
      </c>
      <c r="BU28" s="8" t="s">
        <v>6121</v>
      </c>
    </row>
    <row r="29" spans="1:73" ht="370.5">
      <c r="A29" s="9">
        <v>259</v>
      </c>
      <c r="B29" s="10">
        <v>44533</v>
      </c>
      <c r="C29" s="11" t="s">
        <v>6122</v>
      </c>
      <c r="D29" s="10">
        <v>19868</v>
      </c>
      <c r="E29" s="29">
        <f ca="1">_xlfn.DAYS(NOW(),Tabella3[[#This Row],[Data di Nascita]])/365.25</f>
        <v>71.197809719370298</v>
      </c>
      <c r="F29" s="11" t="s">
        <v>6123</v>
      </c>
      <c r="G29" s="11" t="s">
        <v>6124</v>
      </c>
      <c r="H29" s="11" t="s">
        <v>325</v>
      </c>
      <c r="I29" s="11" t="s">
        <v>618</v>
      </c>
      <c r="J29" s="11" t="s">
        <v>6125</v>
      </c>
      <c r="K29" s="17">
        <v>1</v>
      </c>
      <c r="L29" s="17">
        <v>1</v>
      </c>
      <c r="M29" s="18"/>
      <c r="N29" s="18"/>
      <c r="O29" s="18"/>
      <c r="P29" s="18"/>
      <c r="Q29" s="18"/>
      <c r="R29" s="18"/>
      <c r="S29" s="18"/>
      <c r="T29" s="11" t="s">
        <v>6126</v>
      </c>
      <c r="U29" s="18">
        <v>15</v>
      </c>
      <c r="V29" s="18">
        <v>1</v>
      </c>
      <c r="W29" s="18"/>
      <c r="X29" s="11" t="s">
        <v>3193</v>
      </c>
      <c r="Y29" s="18"/>
      <c r="Z29" s="18"/>
      <c r="AA29" s="18"/>
      <c r="AB29" s="18"/>
      <c r="AC29" s="18"/>
      <c r="AD29" s="11" t="s">
        <v>6127</v>
      </c>
      <c r="AE29" s="18"/>
      <c r="AF29" s="18"/>
      <c r="AG29" s="18">
        <v>1</v>
      </c>
      <c r="AH29" s="18"/>
      <c r="AI29" s="18"/>
      <c r="AJ29" s="11" t="s">
        <v>516</v>
      </c>
      <c r="AK29" s="17">
        <v>1</v>
      </c>
      <c r="AL29" s="11" t="s">
        <v>6128</v>
      </c>
      <c r="AM29" s="17">
        <v>1</v>
      </c>
      <c r="AN29" s="11" t="s">
        <v>8</v>
      </c>
      <c r="AO29" s="17">
        <v>1</v>
      </c>
      <c r="AP29" s="18"/>
      <c r="AQ29" s="11" t="s">
        <v>8</v>
      </c>
      <c r="AR29" s="17">
        <v>1</v>
      </c>
      <c r="AS29" s="11" t="s">
        <v>6129</v>
      </c>
      <c r="AT29" s="18"/>
      <c r="AU29" s="18"/>
      <c r="AV29" s="11" t="s">
        <v>8</v>
      </c>
      <c r="AW29" s="18"/>
      <c r="AX29" s="18"/>
      <c r="AY29" s="11" t="s">
        <v>195</v>
      </c>
      <c r="AZ29" s="11" t="s">
        <v>168</v>
      </c>
      <c r="BA29" s="11" t="s">
        <v>25</v>
      </c>
      <c r="BB29" s="11" t="s">
        <v>25</v>
      </c>
      <c r="BC29" s="11" t="s">
        <v>6130</v>
      </c>
      <c r="BD29" s="11" t="s">
        <v>6131</v>
      </c>
      <c r="BE29" s="11" t="s">
        <v>8</v>
      </c>
      <c r="BF29" s="11"/>
      <c r="BG29" s="11" t="s">
        <v>25</v>
      </c>
      <c r="BH29" s="11" t="s">
        <v>6132</v>
      </c>
      <c r="BI29" s="11" t="s">
        <v>25</v>
      </c>
      <c r="BJ29" s="11" t="s">
        <v>25</v>
      </c>
      <c r="BK29" s="11" t="s">
        <v>8</v>
      </c>
      <c r="BL29" s="11" t="s">
        <v>8</v>
      </c>
      <c r="BM29" s="11" t="s">
        <v>2338</v>
      </c>
      <c r="BN29" s="11" t="s">
        <v>6133</v>
      </c>
      <c r="BO29" s="11" t="s">
        <v>25</v>
      </c>
      <c r="BP29" s="11" t="s">
        <v>5804</v>
      </c>
      <c r="BQ29" s="11" t="s">
        <v>168</v>
      </c>
      <c r="BR29" s="11" t="s">
        <v>219</v>
      </c>
      <c r="BS29" s="11" t="s">
        <v>154</v>
      </c>
      <c r="BT29" s="11" t="s">
        <v>6134</v>
      </c>
      <c r="BU29" s="12" t="s">
        <v>6135</v>
      </c>
    </row>
    <row r="30" spans="1:73" ht="299.25">
      <c r="A30" s="5">
        <v>271</v>
      </c>
      <c r="B30" s="7"/>
      <c r="C30" s="7" t="s">
        <v>6136</v>
      </c>
      <c r="D30" s="6">
        <v>31125</v>
      </c>
      <c r="E30" s="29">
        <f ca="1">_xlfn.DAYS(NOW(),Tabella3[[#This Row],[Data di Nascita]])/365.25</f>
        <v>40.377823408624231</v>
      </c>
      <c r="F30" s="7" t="s">
        <v>6137</v>
      </c>
      <c r="G30" s="7" t="s">
        <v>6138</v>
      </c>
      <c r="H30" s="7" t="s">
        <v>210</v>
      </c>
      <c r="I30" s="7" t="s">
        <v>6139</v>
      </c>
      <c r="J30" s="7" t="s">
        <v>79</v>
      </c>
      <c r="K30" s="17"/>
      <c r="L30" s="17"/>
      <c r="M30" s="17"/>
      <c r="N30" s="17"/>
      <c r="O30" s="17">
        <v>1</v>
      </c>
      <c r="P30" s="17"/>
      <c r="Q30" s="17"/>
      <c r="R30" s="17"/>
      <c r="S30" s="17"/>
      <c r="T30" s="7" t="s">
        <v>6140</v>
      </c>
      <c r="U30" s="17">
        <v>35</v>
      </c>
      <c r="V30" s="17"/>
      <c r="W30" s="17"/>
      <c r="X30" s="7" t="s">
        <v>6141</v>
      </c>
      <c r="Y30" s="17"/>
      <c r="Z30" s="17"/>
      <c r="AA30" s="17"/>
      <c r="AB30" s="17"/>
      <c r="AC30" s="17"/>
      <c r="AD30" s="7" t="s">
        <v>8</v>
      </c>
      <c r="AE30" s="17"/>
      <c r="AF30" s="17"/>
      <c r="AG30" s="17"/>
      <c r="AH30" s="17"/>
      <c r="AI30" s="17"/>
      <c r="AJ30" s="7" t="s">
        <v>8</v>
      </c>
      <c r="AK30" s="17"/>
      <c r="AL30" s="7" t="s">
        <v>25</v>
      </c>
      <c r="AM30" s="17"/>
      <c r="AN30" s="7" t="s">
        <v>25</v>
      </c>
      <c r="AO30" s="17">
        <v>1</v>
      </c>
      <c r="AP30" s="17"/>
      <c r="AQ30" s="7" t="s">
        <v>25</v>
      </c>
      <c r="AR30" s="17">
        <v>1</v>
      </c>
      <c r="AS30" s="7" t="s">
        <v>25</v>
      </c>
      <c r="AT30" s="17">
        <v>1</v>
      </c>
      <c r="AU30" s="17"/>
      <c r="AV30" s="7" t="s">
        <v>25</v>
      </c>
      <c r="AW30" s="17"/>
      <c r="AX30" s="17"/>
      <c r="AY30" s="7" t="s">
        <v>25</v>
      </c>
      <c r="AZ30" s="7" t="s">
        <v>549</v>
      </c>
      <c r="BA30" s="7" t="s">
        <v>6142</v>
      </c>
      <c r="BB30" s="7" t="s">
        <v>25</v>
      </c>
      <c r="BC30" s="7" t="s">
        <v>6143</v>
      </c>
      <c r="BD30" s="7" t="s">
        <v>6144</v>
      </c>
      <c r="BE30" s="7" t="s">
        <v>8</v>
      </c>
      <c r="BF30" s="7"/>
      <c r="BG30" s="7" t="s">
        <v>6145</v>
      </c>
      <c r="BH30" s="7" t="s">
        <v>6146</v>
      </c>
      <c r="BI30" s="7" t="s">
        <v>6147</v>
      </c>
      <c r="BJ30" s="7" t="s">
        <v>309</v>
      </c>
      <c r="BK30" s="7" t="s">
        <v>25</v>
      </c>
      <c r="BL30" s="7" t="s">
        <v>25</v>
      </c>
      <c r="BM30" s="7" t="s">
        <v>386</v>
      </c>
      <c r="BN30" s="7" t="s">
        <v>6148</v>
      </c>
      <c r="BO30" s="7" t="s">
        <v>25</v>
      </c>
      <c r="BP30" s="7" t="s">
        <v>5804</v>
      </c>
      <c r="BQ30" s="7" t="s">
        <v>55</v>
      </c>
      <c r="BR30" s="7" t="s">
        <v>71</v>
      </c>
      <c r="BS30" s="7" t="s">
        <v>736</v>
      </c>
      <c r="BT30" s="7" t="s">
        <v>6149</v>
      </c>
      <c r="BU30" s="8" t="s">
        <v>6150</v>
      </c>
    </row>
    <row r="31" spans="1:73" ht="285">
      <c r="A31" s="9">
        <v>281</v>
      </c>
      <c r="B31" s="10">
        <v>44552</v>
      </c>
      <c r="C31" s="11" t="s">
        <v>6151</v>
      </c>
      <c r="D31" s="10">
        <v>24596</v>
      </c>
      <c r="E31" s="29">
        <f ca="1">_xlfn.DAYS(NOW(),Tabella3[[#This Row],[Data di Nascita]])/365.25</f>
        <v>58.253251197809718</v>
      </c>
      <c r="F31" s="11" t="s">
        <v>6152</v>
      </c>
      <c r="G31" s="11" t="s">
        <v>6153</v>
      </c>
      <c r="H31" s="11" t="s">
        <v>210</v>
      </c>
      <c r="I31" s="11" t="s">
        <v>618</v>
      </c>
      <c r="J31" s="11" t="s">
        <v>6154</v>
      </c>
      <c r="K31" s="17">
        <v>1</v>
      </c>
      <c r="L31" s="18"/>
      <c r="M31" s="18"/>
      <c r="N31" s="18"/>
      <c r="O31" s="18"/>
      <c r="P31" s="18"/>
      <c r="Q31" s="18"/>
      <c r="R31" s="18"/>
      <c r="S31" s="18"/>
      <c r="T31" s="11" t="s">
        <v>6155</v>
      </c>
      <c r="U31" s="18">
        <v>40</v>
      </c>
      <c r="V31" s="18">
        <v>1</v>
      </c>
      <c r="W31" s="18"/>
      <c r="X31" s="11" t="s">
        <v>6156</v>
      </c>
      <c r="Y31" s="18"/>
      <c r="Z31" s="18"/>
      <c r="AA31" s="18"/>
      <c r="AB31" s="18"/>
      <c r="AC31" s="18"/>
      <c r="AD31" s="11" t="s">
        <v>309</v>
      </c>
      <c r="AE31" s="18"/>
      <c r="AF31" s="18"/>
      <c r="AG31" s="18"/>
      <c r="AH31" s="18"/>
      <c r="AI31" s="18"/>
      <c r="AJ31" s="11" t="s">
        <v>195</v>
      </c>
      <c r="AK31" s="18"/>
      <c r="AL31" s="11" t="s">
        <v>8</v>
      </c>
      <c r="AM31" s="18"/>
      <c r="AN31" s="11" t="s">
        <v>6157</v>
      </c>
      <c r="AO31" s="17">
        <v>1</v>
      </c>
      <c r="AP31" s="18"/>
      <c r="AQ31" s="11" t="s">
        <v>8</v>
      </c>
      <c r="AR31" s="17">
        <v>1</v>
      </c>
      <c r="AS31" s="11" t="s">
        <v>8</v>
      </c>
      <c r="AT31" s="17">
        <v>1</v>
      </c>
      <c r="AU31" s="18"/>
      <c r="AV31" s="11" t="s">
        <v>8</v>
      </c>
      <c r="AW31" s="18"/>
      <c r="AX31" s="18"/>
      <c r="AY31" s="11" t="s">
        <v>8</v>
      </c>
      <c r="AZ31" s="11" t="s">
        <v>549</v>
      </c>
      <c r="BA31" s="11" t="s">
        <v>25</v>
      </c>
      <c r="BB31" s="11" t="s">
        <v>25</v>
      </c>
      <c r="BC31" s="11"/>
      <c r="BD31" s="11" t="s">
        <v>6158</v>
      </c>
      <c r="BE31" s="11" t="s">
        <v>8</v>
      </c>
      <c r="BF31" s="11"/>
      <c r="BG31" s="11" t="s">
        <v>6159</v>
      </c>
      <c r="BH31" s="11" t="s">
        <v>6160</v>
      </c>
      <c r="BI31" s="11" t="s">
        <v>6161</v>
      </c>
      <c r="BJ31" s="11" t="s">
        <v>309</v>
      </c>
      <c r="BK31" s="11" t="s">
        <v>6162</v>
      </c>
      <c r="BL31" s="11" t="s">
        <v>25</v>
      </c>
      <c r="BM31" s="11" t="s">
        <v>2530</v>
      </c>
      <c r="BN31" s="11" t="s">
        <v>6163</v>
      </c>
      <c r="BO31" s="11" t="s">
        <v>6164</v>
      </c>
      <c r="BP31" s="11" t="s">
        <v>4975</v>
      </c>
      <c r="BQ31" s="11" t="s">
        <v>431</v>
      </c>
      <c r="BR31" s="11" t="s">
        <v>219</v>
      </c>
      <c r="BS31" s="11" t="s">
        <v>554</v>
      </c>
      <c r="BT31" s="11" t="s">
        <v>6165</v>
      </c>
      <c r="BU31" s="12" t="s">
        <v>6166</v>
      </c>
    </row>
    <row r="32" spans="1:73" ht="99.75">
      <c r="A32" s="5">
        <v>295</v>
      </c>
      <c r="B32" s="6">
        <v>44578</v>
      </c>
      <c r="C32" s="7" t="s">
        <v>6167</v>
      </c>
      <c r="D32" s="6">
        <v>25696</v>
      </c>
      <c r="E32" s="29">
        <f ca="1">_xlfn.DAYS(NOW(),Tabella3[[#This Row],[Data di Nascita]])/365.25</f>
        <v>55.241615331964411</v>
      </c>
      <c r="F32" s="7" t="s">
        <v>5256</v>
      </c>
      <c r="G32" s="7" t="s">
        <v>5257</v>
      </c>
      <c r="H32" s="7" t="s">
        <v>653</v>
      </c>
      <c r="I32" s="7" t="s">
        <v>6168</v>
      </c>
      <c r="J32" s="7" t="s">
        <v>1117</v>
      </c>
      <c r="K32" s="17"/>
      <c r="L32" s="17"/>
      <c r="M32" s="17"/>
      <c r="N32" s="18">
        <v>1</v>
      </c>
      <c r="O32" s="17"/>
      <c r="P32" s="17"/>
      <c r="Q32" s="17"/>
      <c r="R32" s="17"/>
      <c r="S32" s="17"/>
      <c r="T32" s="7" t="s">
        <v>1959</v>
      </c>
      <c r="U32" s="17"/>
      <c r="V32" s="17">
        <v>1</v>
      </c>
      <c r="W32" s="17"/>
      <c r="X32" s="7" t="s">
        <v>25</v>
      </c>
      <c r="Y32" s="17"/>
      <c r="Z32" s="17"/>
      <c r="AA32" s="17"/>
      <c r="AB32" s="17">
        <v>1</v>
      </c>
      <c r="AC32" s="17"/>
      <c r="AD32" s="7" t="s">
        <v>6169</v>
      </c>
      <c r="AE32" s="17"/>
      <c r="AF32" s="17">
        <v>1</v>
      </c>
      <c r="AG32" s="17"/>
      <c r="AH32" s="17"/>
      <c r="AI32" s="17"/>
      <c r="AJ32" s="7" t="s">
        <v>28</v>
      </c>
      <c r="AK32" s="17">
        <v>1</v>
      </c>
      <c r="AL32" s="7" t="s">
        <v>6170</v>
      </c>
      <c r="AM32" s="17">
        <v>1</v>
      </c>
      <c r="AN32" s="7" t="s">
        <v>8</v>
      </c>
      <c r="AO32" s="17">
        <v>1</v>
      </c>
      <c r="AP32" s="17"/>
      <c r="AQ32" s="7" t="s">
        <v>8</v>
      </c>
      <c r="AR32" s="17">
        <v>1</v>
      </c>
      <c r="AS32" s="7" t="s">
        <v>8</v>
      </c>
      <c r="AT32" s="17">
        <v>1</v>
      </c>
      <c r="AU32" s="17"/>
      <c r="AV32" s="7" t="s">
        <v>8</v>
      </c>
      <c r="AW32" s="17"/>
      <c r="AX32" s="17"/>
      <c r="AY32" s="7"/>
      <c r="AZ32" s="7" t="s">
        <v>8</v>
      </c>
      <c r="BA32" s="7" t="s">
        <v>6171</v>
      </c>
      <c r="BB32" s="7"/>
      <c r="BC32" s="7"/>
      <c r="BD32" s="7"/>
      <c r="BE32" s="7" t="s">
        <v>8</v>
      </c>
      <c r="BF32" s="7"/>
      <c r="BG32" s="7" t="s">
        <v>8</v>
      </c>
      <c r="BH32" s="7" t="s">
        <v>25</v>
      </c>
      <c r="BI32" s="7" t="s">
        <v>8</v>
      </c>
      <c r="BJ32" s="7" t="s">
        <v>8</v>
      </c>
      <c r="BK32" s="7"/>
      <c r="BL32" s="7"/>
      <c r="BM32" s="7"/>
      <c r="BN32" s="7" t="s">
        <v>25</v>
      </c>
      <c r="BO32" s="7" t="s">
        <v>8</v>
      </c>
      <c r="BP32" s="7" t="s">
        <v>4975</v>
      </c>
      <c r="BQ32" s="7" t="s">
        <v>318</v>
      </c>
      <c r="BR32" s="7" t="s">
        <v>71</v>
      </c>
      <c r="BS32" s="7" t="s">
        <v>154</v>
      </c>
      <c r="BT32" s="7" t="s">
        <v>6172</v>
      </c>
      <c r="BU32" s="8" t="s">
        <v>1183</v>
      </c>
    </row>
    <row r="33" spans="1:73" ht="370.5">
      <c r="A33" s="9">
        <v>301</v>
      </c>
      <c r="B33" s="10">
        <v>44581</v>
      </c>
      <c r="C33" s="11" t="s">
        <v>6173</v>
      </c>
      <c r="D33" s="10">
        <v>26896</v>
      </c>
      <c r="E33" s="29">
        <f ca="1">_xlfn.DAYS(NOW(),Tabella3[[#This Row],[Data di Nascita]])/365.25</f>
        <v>51.956194387405887</v>
      </c>
      <c r="F33" s="11" t="s">
        <v>6174</v>
      </c>
      <c r="G33" s="11" t="s">
        <v>6175</v>
      </c>
      <c r="H33" s="11" t="s">
        <v>628</v>
      </c>
      <c r="I33" s="11" t="s">
        <v>6176</v>
      </c>
      <c r="J33" s="11" t="s">
        <v>6177</v>
      </c>
      <c r="K33" s="18"/>
      <c r="L33" s="18"/>
      <c r="M33" s="18">
        <v>1</v>
      </c>
      <c r="N33" s="18">
        <v>1</v>
      </c>
      <c r="O33" s="18"/>
      <c r="P33" s="18"/>
      <c r="Q33" s="18"/>
      <c r="R33" s="18"/>
      <c r="S33" s="18"/>
      <c r="T33" s="11" t="s">
        <v>629</v>
      </c>
      <c r="U33" s="18">
        <v>18</v>
      </c>
      <c r="V33" s="18">
        <v>1</v>
      </c>
      <c r="W33" s="18"/>
      <c r="X33" s="11" t="s">
        <v>272</v>
      </c>
      <c r="Y33" s="18"/>
      <c r="Z33" s="18"/>
      <c r="AA33" s="18">
        <v>1</v>
      </c>
      <c r="AB33" s="18"/>
      <c r="AC33" s="18"/>
      <c r="AD33" s="11" t="s">
        <v>25</v>
      </c>
      <c r="AE33" s="18"/>
      <c r="AF33" s="18"/>
      <c r="AG33" s="18"/>
      <c r="AH33" s="18"/>
      <c r="AI33" s="18"/>
      <c r="AJ33" s="11" t="s">
        <v>28</v>
      </c>
      <c r="AK33" s="17">
        <v>1</v>
      </c>
      <c r="AL33" s="11" t="s">
        <v>25</v>
      </c>
      <c r="AM33" s="18"/>
      <c r="AN33" s="11" t="s">
        <v>25</v>
      </c>
      <c r="AO33" s="17">
        <v>1</v>
      </c>
      <c r="AP33" s="18"/>
      <c r="AQ33" s="11" t="s">
        <v>25</v>
      </c>
      <c r="AR33" s="17">
        <v>1</v>
      </c>
      <c r="AS33" s="11" t="s">
        <v>25</v>
      </c>
      <c r="AT33" s="17">
        <v>1</v>
      </c>
      <c r="AU33" s="18"/>
      <c r="AV33" s="11" t="s">
        <v>25</v>
      </c>
      <c r="AW33" s="18"/>
      <c r="AX33" s="18"/>
      <c r="AY33" s="11" t="s">
        <v>25</v>
      </c>
      <c r="AZ33" s="11" t="s">
        <v>549</v>
      </c>
      <c r="BA33" s="11" t="s">
        <v>25</v>
      </c>
      <c r="BB33" s="11" t="s">
        <v>439</v>
      </c>
      <c r="BC33" s="11" t="s">
        <v>6178</v>
      </c>
      <c r="BD33" s="11" t="s">
        <v>6179</v>
      </c>
      <c r="BE33" s="11" t="s">
        <v>8</v>
      </c>
      <c r="BF33" s="11"/>
      <c r="BG33" s="11" t="s">
        <v>25</v>
      </c>
      <c r="BH33" s="11" t="s">
        <v>25</v>
      </c>
      <c r="BI33" s="11" t="s">
        <v>25</v>
      </c>
      <c r="BJ33" s="11" t="s">
        <v>25</v>
      </c>
      <c r="BK33" s="11" t="s">
        <v>25</v>
      </c>
      <c r="BL33" s="11" t="s">
        <v>25</v>
      </c>
      <c r="BM33" s="11" t="s">
        <v>25</v>
      </c>
      <c r="BN33" s="11" t="s">
        <v>25</v>
      </c>
      <c r="BO33" s="11" t="s">
        <v>25</v>
      </c>
      <c r="BP33" s="11" t="s">
        <v>5804</v>
      </c>
      <c r="BQ33" s="11" t="s">
        <v>183</v>
      </c>
      <c r="BR33" s="11" t="s">
        <v>37</v>
      </c>
      <c r="BS33" s="11" t="s">
        <v>746</v>
      </c>
      <c r="BT33" s="11" t="s">
        <v>6180</v>
      </c>
      <c r="BU33" s="12" t="s">
        <v>6181</v>
      </c>
    </row>
    <row r="34" spans="1:73" ht="299.25">
      <c r="A34" s="5">
        <v>302</v>
      </c>
      <c r="B34" s="6">
        <v>44581</v>
      </c>
      <c r="C34" s="7" t="s">
        <v>6182</v>
      </c>
      <c r="D34" s="6">
        <v>23502</v>
      </c>
      <c r="E34" s="29">
        <f ca="1">_xlfn.DAYS(NOW(),Tabella3[[#This Row],[Data di Nascita]])/365.25</f>
        <v>61.248459958932237</v>
      </c>
      <c r="F34" s="7" t="s">
        <v>6183</v>
      </c>
      <c r="G34" s="7" t="s">
        <v>6184</v>
      </c>
      <c r="H34" s="7" t="s">
        <v>325</v>
      </c>
      <c r="I34" s="7" t="s">
        <v>618</v>
      </c>
      <c r="J34" s="7" t="s">
        <v>241</v>
      </c>
      <c r="K34" s="17"/>
      <c r="L34" s="17"/>
      <c r="M34" s="17"/>
      <c r="N34" s="17"/>
      <c r="O34" s="17">
        <v>1</v>
      </c>
      <c r="P34" s="17"/>
      <c r="Q34" s="17"/>
      <c r="R34" s="17"/>
      <c r="S34" s="17"/>
      <c r="T34" s="7" t="s">
        <v>25</v>
      </c>
      <c r="U34" s="17"/>
      <c r="V34" s="17"/>
      <c r="W34" s="17">
        <v>1</v>
      </c>
      <c r="X34" s="7" t="s">
        <v>25</v>
      </c>
      <c r="Y34" s="17"/>
      <c r="Z34" s="17"/>
      <c r="AA34" s="17"/>
      <c r="AB34" s="17">
        <v>1</v>
      </c>
      <c r="AC34" s="17"/>
      <c r="AD34" s="7" t="s">
        <v>25</v>
      </c>
      <c r="AE34" s="17"/>
      <c r="AF34" s="17"/>
      <c r="AG34" s="17"/>
      <c r="AH34" s="17"/>
      <c r="AI34" s="17"/>
      <c r="AJ34" s="7" t="s">
        <v>8</v>
      </c>
      <c r="AK34" s="17"/>
      <c r="AL34" s="7" t="s">
        <v>194</v>
      </c>
      <c r="AM34" s="17">
        <v>1</v>
      </c>
      <c r="AN34" s="7" t="s">
        <v>25</v>
      </c>
      <c r="AO34" s="17">
        <v>1</v>
      </c>
      <c r="AP34" s="17"/>
      <c r="AQ34" s="7" t="s">
        <v>25</v>
      </c>
      <c r="AR34" s="17">
        <v>1</v>
      </c>
      <c r="AS34" s="7" t="s">
        <v>25</v>
      </c>
      <c r="AT34" s="17">
        <v>1</v>
      </c>
      <c r="AU34" s="17"/>
      <c r="AV34" s="7" t="s">
        <v>25</v>
      </c>
      <c r="AW34" s="17"/>
      <c r="AX34" s="17"/>
      <c r="AY34" s="7" t="s">
        <v>3636</v>
      </c>
      <c r="AZ34" s="7" t="s">
        <v>6185</v>
      </c>
      <c r="BA34" s="7" t="s">
        <v>6186</v>
      </c>
      <c r="BB34" s="7" t="s">
        <v>6187</v>
      </c>
      <c r="BC34" s="7"/>
      <c r="BD34" s="7" t="s">
        <v>6188</v>
      </c>
      <c r="BE34" s="7" t="s">
        <v>8</v>
      </c>
      <c r="BF34" s="7"/>
      <c r="BG34" s="7" t="s">
        <v>6187</v>
      </c>
      <c r="BH34" s="7" t="s">
        <v>6189</v>
      </c>
      <c r="BI34" s="7" t="s">
        <v>6190</v>
      </c>
      <c r="BJ34" s="7" t="s">
        <v>25</v>
      </c>
      <c r="BK34" s="7"/>
      <c r="BL34" s="7"/>
      <c r="BM34" s="7" t="s">
        <v>25</v>
      </c>
      <c r="BN34" s="7" t="s">
        <v>6191</v>
      </c>
      <c r="BO34" s="7" t="s">
        <v>6192</v>
      </c>
      <c r="BP34" s="7" t="s">
        <v>5804</v>
      </c>
      <c r="BQ34" s="7" t="s">
        <v>152</v>
      </c>
      <c r="BR34" s="7" t="s">
        <v>37</v>
      </c>
      <c r="BS34" s="7" t="s">
        <v>248</v>
      </c>
      <c r="BT34" s="7" t="s">
        <v>6193</v>
      </c>
      <c r="BU34" s="8"/>
    </row>
    <row r="35" spans="1:73" ht="409.5">
      <c r="A35" s="9">
        <v>307</v>
      </c>
      <c r="B35" s="10">
        <v>44585</v>
      </c>
      <c r="C35" s="11" t="s">
        <v>6194</v>
      </c>
      <c r="D35" s="10">
        <v>22826</v>
      </c>
      <c r="E35" s="29">
        <f ca="1">_xlfn.DAYS(NOW(),Tabella3[[#This Row],[Data di Nascita]])/365.25</f>
        <v>63.09924709103354</v>
      </c>
      <c r="F35" s="11" t="s">
        <v>6195</v>
      </c>
      <c r="G35" s="11" t="s">
        <v>6196</v>
      </c>
      <c r="H35" s="11" t="s">
        <v>439</v>
      </c>
      <c r="I35" s="11" t="s">
        <v>618</v>
      </c>
      <c r="J35" s="11" t="s">
        <v>6197</v>
      </c>
      <c r="K35" s="18"/>
      <c r="L35" s="18"/>
      <c r="M35" s="18"/>
      <c r="N35" s="18">
        <v>1</v>
      </c>
      <c r="O35" s="18"/>
      <c r="P35" s="18"/>
      <c r="Q35" s="18"/>
      <c r="R35" s="18"/>
      <c r="S35" s="18"/>
      <c r="T35" s="11" t="s">
        <v>25</v>
      </c>
      <c r="U35" s="18"/>
      <c r="V35" s="18"/>
      <c r="W35" s="18">
        <v>1</v>
      </c>
      <c r="X35" s="11" t="s">
        <v>272</v>
      </c>
      <c r="Y35" s="18"/>
      <c r="Z35" s="18"/>
      <c r="AA35" s="18">
        <v>1</v>
      </c>
      <c r="AB35" s="18"/>
      <c r="AC35" s="18"/>
      <c r="AD35" s="11" t="s">
        <v>25</v>
      </c>
      <c r="AE35" s="18"/>
      <c r="AF35" s="18"/>
      <c r="AG35" s="18"/>
      <c r="AH35" s="18"/>
      <c r="AI35" s="18"/>
      <c r="AJ35" s="11" t="s">
        <v>28</v>
      </c>
      <c r="AK35" s="17">
        <v>1</v>
      </c>
      <c r="AL35" s="11" t="s">
        <v>194</v>
      </c>
      <c r="AM35" s="17">
        <v>1</v>
      </c>
      <c r="AN35" s="11" t="s">
        <v>25</v>
      </c>
      <c r="AO35" s="17">
        <v>1</v>
      </c>
      <c r="AP35" s="18"/>
      <c r="AQ35" s="11" t="s">
        <v>25</v>
      </c>
      <c r="AR35" s="17">
        <v>1</v>
      </c>
      <c r="AS35" s="11" t="s">
        <v>25</v>
      </c>
      <c r="AT35" s="17">
        <v>1</v>
      </c>
      <c r="AU35" s="18"/>
      <c r="AV35" s="11" t="s">
        <v>25</v>
      </c>
      <c r="AW35" s="18"/>
      <c r="AX35" s="18"/>
      <c r="AY35" s="11" t="s">
        <v>25</v>
      </c>
      <c r="AZ35" s="11" t="s">
        <v>6198</v>
      </c>
      <c r="BA35" s="11" t="s">
        <v>6199</v>
      </c>
      <c r="BB35" s="11" t="s">
        <v>25</v>
      </c>
      <c r="BC35" s="11" t="s">
        <v>6200</v>
      </c>
      <c r="BD35" s="11" t="s">
        <v>6201</v>
      </c>
      <c r="BE35" s="11" t="s">
        <v>8</v>
      </c>
      <c r="BF35" s="11"/>
      <c r="BG35" s="11" t="s">
        <v>25</v>
      </c>
      <c r="BH35" s="11" t="s">
        <v>25</v>
      </c>
      <c r="BI35" s="11" t="s">
        <v>6202</v>
      </c>
      <c r="BJ35" s="11" t="s">
        <v>25</v>
      </c>
      <c r="BK35" s="11"/>
      <c r="BL35" s="11"/>
      <c r="BM35" s="11" t="s">
        <v>581</v>
      </c>
      <c r="BN35" s="11" t="s">
        <v>25</v>
      </c>
      <c r="BO35" s="11" t="s">
        <v>25</v>
      </c>
      <c r="BP35" s="11" t="s">
        <v>5804</v>
      </c>
      <c r="BQ35" s="11" t="s">
        <v>279</v>
      </c>
      <c r="BR35" s="11" t="s">
        <v>219</v>
      </c>
      <c r="BS35" s="11" t="s">
        <v>508</v>
      </c>
      <c r="BT35" s="11" t="s">
        <v>6203</v>
      </c>
      <c r="BU35" s="12" t="s">
        <v>6204</v>
      </c>
    </row>
    <row r="36" spans="1:73" ht="71.25">
      <c r="A36" s="5">
        <v>311</v>
      </c>
      <c r="B36" s="6">
        <v>44588</v>
      </c>
      <c r="C36" s="7" t="s">
        <v>6205</v>
      </c>
      <c r="D36" s="6">
        <v>32779</v>
      </c>
      <c r="E36" s="29">
        <f ca="1">_xlfn.DAYS(NOW(),Tabella3[[#This Row],[Data di Nascita]])/365.25</f>
        <v>35.849418206707732</v>
      </c>
      <c r="F36" s="7" t="s">
        <v>6206</v>
      </c>
      <c r="G36" s="7" t="s">
        <v>6207</v>
      </c>
      <c r="H36" s="7" t="s">
        <v>724</v>
      </c>
      <c r="I36" s="7" t="s">
        <v>618</v>
      </c>
      <c r="J36" s="7" t="s">
        <v>6208</v>
      </c>
      <c r="K36" s="17"/>
      <c r="L36" s="17"/>
      <c r="M36" s="17"/>
      <c r="N36" s="18">
        <v>1</v>
      </c>
      <c r="O36" s="17"/>
      <c r="P36" s="17"/>
      <c r="Q36" s="17"/>
      <c r="R36" s="17"/>
      <c r="S36" s="17"/>
      <c r="T36" s="7" t="s">
        <v>6209</v>
      </c>
      <c r="U36" s="17"/>
      <c r="V36" s="17"/>
      <c r="W36" s="17"/>
      <c r="X36" s="7" t="s">
        <v>272</v>
      </c>
      <c r="Y36" s="17"/>
      <c r="Z36" s="17"/>
      <c r="AA36" s="17">
        <v>1</v>
      </c>
      <c r="AB36" s="17"/>
      <c r="AC36" s="17"/>
      <c r="AD36" s="7" t="s">
        <v>25</v>
      </c>
      <c r="AE36" s="17"/>
      <c r="AF36" s="17"/>
      <c r="AG36" s="17"/>
      <c r="AH36" s="17"/>
      <c r="AI36" s="17"/>
      <c r="AJ36" s="7" t="s">
        <v>28</v>
      </c>
      <c r="AK36" s="17">
        <v>1</v>
      </c>
      <c r="AL36" s="7" t="s">
        <v>8</v>
      </c>
      <c r="AM36" s="17"/>
      <c r="AN36" s="7" t="s">
        <v>8</v>
      </c>
      <c r="AO36" s="17">
        <v>1</v>
      </c>
      <c r="AP36" s="17"/>
      <c r="AQ36" s="7" t="s">
        <v>8</v>
      </c>
      <c r="AR36" s="17">
        <v>1</v>
      </c>
      <c r="AS36" s="7" t="s">
        <v>8</v>
      </c>
      <c r="AT36" s="17">
        <v>1</v>
      </c>
      <c r="AU36" s="17"/>
      <c r="AV36" s="7" t="s">
        <v>8</v>
      </c>
      <c r="AW36" s="17"/>
      <c r="AX36" s="17"/>
      <c r="AY36" s="7" t="s">
        <v>8</v>
      </c>
      <c r="AZ36" s="7" t="s">
        <v>8</v>
      </c>
      <c r="BA36" s="7" t="s">
        <v>8</v>
      </c>
      <c r="BB36" s="7" t="s">
        <v>8</v>
      </c>
      <c r="BC36" s="7" t="s">
        <v>8</v>
      </c>
      <c r="BD36" s="7" t="s">
        <v>8</v>
      </c>
      <c r="BE36" s="7" t="s">
        <v>8</v>
      </c>
      <c r="BF36" s="7" t="s">
        <v>8</v>
      </c>
      <c r="BG36" s="7" t="s">
        <v>272</v>
      </c>
      <c r="BH36" s="7" t="s">
        <v>6210</v>
      </c>
      <c r="BI36" s="7" t="s">
        <v>8</v>
      </c>
      <c r="BJ36" s="7" t="s">
        <v>8</v>
      </c>
      <c r="BK36" s="7" t="s">
        <v>8</v>
      </c>
      <c r="BL36" s="7" t="s">
        <v>8</v>
      </c>
      <c r="BM36" s="7" t="s">
        <v>8</v>
      </c>
      <c r="BN36" s="7" t="s">
        <v>8</v>
      </c>
      <c r="BO36" s="7" t="s">
        <v>8</v>
      </c>
      <c r="BP36" s="7" t="s">
        <v>4975</v>
      </c>
      <c r="BQ36" s="7" t="s">
        <v>663</v>
      </c>
      <c r="BR36" s="7" t="s">
        <v>71</v>
      </c>
      <c r="BS36" s="7" t="s">
        <v>6211</v>
      </c>
      <c r="BT36" s="7" t="s">
        <v>6212</v>
      </c>
      <c r="BU36" s="8"/>
    </row>
    <row r="37" spans="1:73" ht="285">
      <c r="A37" s="9">
        <v>312</v>
      </c>
      <c r="B37" s="10">
        <v>44588</v>
      </c>
      <c r="C37" s="11" t="s">
        <v>6213</v>
      </c>
      <c r="D37" s="10">
        <v>22796</v>
      </c>
      <c r="E37" s="29">
        <f ca="1">_xlfn.DAYS(NOW(),Tabella3[[#This Row],[Data di Nascita]])/365.25</f>
        <v>63.181382614647504</v>
      </c>
      <c r="F37" s="11" t="s">
        <v>6214</v>
      </c>
      <c r="G37" s="11" t="s">
        <v>6215</v>
      </c>
      <c r="H37" s="11" t="s">
        <v>325</v>
      </c>
      <c r="I37" s="11" t="s">
        <v>618</v>
      </c>
      <c r="J37" s="11" t="s">
        <v>2058</v>
      </c>
      <c r="K37" s="17">
        <v>1</v>
      </c>
      <c r="L37" s="18"/>
      <c r="M37" s="18"/>
      <c r="N37" s="18"/>
      <c r="O37" s="18"/>
      <c r="P37" s="18"/>
      <c r="Q37" s="18"/>
      <c r="R37" s="18"/>
      <c r="S37" s="18"/>
      <c r="T37" s="11" t="s">
        <v>25</v>
      </c>
      <c r="U37" s="18"/>
      <c r="V37" s="18"/>
      <c r="W37" s="18">
        <v>1</v>
      </c>
      <c r="X37" s="11" t="s">
        <v>6216</v>
      </c>
      <c r="Y37" s="18"/>
      <c r="Z37" s="18"/>
      <c r="AA37" s="18"/>
      <c r="AB37" s="18"/>
      <c r="AC37" s="18"/>
      <c r="AD37" s="11" t="s">
        <v>25</v>
      </c>
      <c r="AE37" s="18"/>
      <c r="AF37" s="18"/>
      <c r="AG37" s="18"/>
      <c r="AH37" s="18"/>
      <c r="AI37" s="18"/>
      <c r="AJ37" s="11" t="s">
        <v>28</v>
      </c>
      <c r="AK37" s="17">
        <v>1</v>
      </c>
      <c r="AL37" s="11" t="s">
        <v>25</v>
      </c>
      <c r="AM37" s="18"/>
      <c r="AN37" s="11" t="s">
        <v>25</v>
      </c>
      <c r="AO37" s="17">
        <v>1</v>
      </c>
      <c r="AP37" s="18"/>
      <c r="AQ37" s="11" t="s">
        <v>25</v>
      </c>
      <c r="AR37" s="17">
        <v>1</v>
      </c>
      <c r="AS37" s="11" t="s">
        <v>25</v>
      </c>
      <c r="AT37" s="17">
        <v>1</v>
      </c>
      <c r="AU37" s="18"/>
      <c r="AV37" s="11" t="s">
        <v>25</v>
      </c>
      <c r="AW37" s="18"/>
      <c r="AX37" s="18"/>
      <c r="AY37" s="11" t="s">
        <v>25</v>
      </c>
      <c r="AZ37" s="11" t="s">
        <v>6217</v>
      </c>
      <c r="BA37" s="11" t="s">
        <v>194</v>
      </c>
      <c r="BB37" s="11" t="s">
        <v>25</v>
      </c>
      <c r="BC37" s="11" t="s">
        <v>6218</v>
      </c>
      <c r="BD37" s="11" t="s">
        <v>6179</v>
      </c>
      <c r="BE37" s="11" t="s">
        <v>8</v>
      </c>
      <c r="BF37" s="11"/>
      <c r="BG37" s="11" t="s">
        <v>25</v>
      </c>
      <c r="BH37" s="11" t="s">
        <v>351</v>
      </c>
      <c r="BI37" s="11" t="s">
        <v>6219</v>
      </c>
      <c r="BJ37" s="11" t="s">
        <v>25</v>
      </c>
      <c r="BK37" s="11"/>
      <c r="BL37" s="11"/>
      <c r="BM37" s="11" t="s">
        <v>6220</v>
      </c>
      <c r="BN37" s="11" t="s">
        <v>25</v>
      </c>
      <c r="BO37" s="11" t="s">
        <v>272</v>
      </c>
      <c r="BP37" s="11" t="s">
        <v>4975</v>
      </c>
      <c r="BQ37" s="11" t="s">
        <v>14</v>
      </c>
      <c r="BR37" s="11" t="s">
        <v>37</v>
      </c>
      <c r="BS37" s="11" t="s">
        <v>56</v>
      </c>
      <c r="BT37" s="11" t="s">
        <v>6221</v>
      </c>
      <c r="BU37" s="12" t="s">
        <v>6222</v>
      </c>
    </row>
    <row r="38" spans="1:73" ht="228">
      <c r="A38" s="5">
        <v>318</v>
      </c>
      <c r="B38" s="6">
        <v>44596</v>
      </c>
      <c r="C38" s="7" t="s">
        <v>6223</v>
      </c>
      <c r="D38" s="6">
        <v>30502</v>
      </c>
      <c r="E38" s="29">
        <f ca="1">_xlfn.DAYS(NOW(),Tabella3[[#This Row],[Data di Nascita]])/365.25</f>
        <v>42.083504449007528</v>
      </c>
      <c r="F38" s="7" t="s">
        <v>6224</v>
      </c>
      <c r="G38" s="7" t="s">
        <v>6225</v>
      </c>
      <c r="H38" s="7" t="s">
        <v>724</v>
      </c>
      <c r="I38" s="7" t="s">
        <v>742</v>
      </c>
      <c r="J38" s="7" t="s">
        <v>6226</v>
      </c>
      <c r="K38" s="17"/>
      <c r="L38" s="17"/>
      <c r="M38" s="17"/>
      <c r="N38" s="17"/>
      <c r="O38" s="17"/>
      <c r="P38" s="17"/>
      <c r="Q38" s="17">
        <v>1</v>
      </c>
      <c r="R38" s="17"/>
      <c r="S38" s="17"/>
      <c r="T38" s="7" t="s">
        <v>8</v>
      </c>
      <c r="U38" s="17"/>
      <c r="V38" s="17"/>
      <c r="W38" s="17">
        <v>1</v>
      </c>
      <c r="X38" s="7" t="s">
        <v>8</v>
      </c>
      <c r="Y38" s="17"/>
      <c r="Z38" s="17"/>
      <c r="AA38" s="17"/>
      <c r="AB38" s="17">
        <v>1</v>
      </c>
      <c r="AC38" s="17"/>
      <c r="AD38" s="7" t="s">
        <v>6227</v>
      </c>
      <c r="AE38" s="17"/>
      <c r="AF38" s="17">
        <v>1</v>
      </c>
      <c r="AG38" s="17"/>
      <c r="AH38" s="17"/>
      <c r="AI38" s="17"/>
      <c r="AJ38" s="7" t="s">
        <v>6228</v>
      </c>
      <c r="AK38" s="17">
        <v>1</v>
      </c>
      <c r="AL38" s="7" t="s">
        <v>8</v>
      </c>
      <c r="AM38" s="17"/>
      <c r="AN38" s="7" t="s">
        <v>8</v>
      </c>
      <c r="AO38" s="17">
        <v>1</v>
      </c>
      <c r="AP38" s="17"/>
      <c r="AQ38" s="7" t="s">
        <v>8</v>
      </c>
      <c r="AR38" s="17">
        <v>1</v>
      </c>
      <c r="AS38" s="7" t="s">
        <v>8</v>
      </c>
      <c r="AT38" s="17">
        <v>1</v>
      </c>
      <c r="AU38" s="17"/>
      <c r="AV38" s="7" t="s">
        <v>8</v>
      </c>
      <c r="AW38" s="17"/>
      <c r="AX38" s="17"/>
      <c r="AY38" s="7" t="s">
        <v>8</v>
      </c>
      <c r="AZ38" s="7" t="s">
        <v>8</v>
      </c>
      <c r="BA38" s="7" t="s">
        <v>8</v>
      </c>
      <c r="BB38" s="7"/>
      <c r="BC38" s="7" t="s">
        <v>8</v>
      </c>
      <c r="BD38" s="7" t="s">
        <v>6229</v>
      </c>
      <c r="BE38" s="7" t="s">
        <v>8</v>
      </c>
      <c r="BF38" s="7" t="s">
        <v>8</v>
      </c>
      <c r="BG38" s="7" t="s">
        <v>6230</v>
      </c>
      <c r="BH38" s="7" t="s">
        <v>8</v>
      </c>
      <c r="BI38" s="7" t="s">
        <v>28</v>
      </c>
      <c r="BJ38" s="7" t="s">
        <v>8</v>
      </c>
      <c r="BK38" s="7" t="s">
        <v>28</v>
      </c>
      <c r="BL38" s="7"/>
      <c r="BM38" s="7" t="s">
        <v>272</v>
      </c>
      <c r="BN38" s="7" t="s">
        <v>28</v>
      </c>
      <c r="BO38" s="7" t="s">
        <v>272</v>
      </c>
      <c r="BP38" s="7" t="s">
        <v>5804</v>
      </c>
      <c r="BQ38" s="7" t="s">
        <v>850</v>
      </c>
      <c r="BR38" s="7" t="s">
        <v>153</v>
      </c>
      <c r="BS38" s="7" t="s">
        <v>122</v>
      </c>
      <c r="BT38" s="7" t="s">
        <v>6231</v>
      </c>
      <c r="BU38" s="8" t="s">
        <v>6232</v>
      </c>
    </row>
    <row r="39" spans="1:73" ht="99.75">
      <c r="A39" s="9">
        <v>372</v>
      </c>
      <c r="B39" s="10">
        <v>44636</v>
      </c>
      <c r="C39" s="11" t="s">
        <v>6233</v>
      </c>
      <c r="D39" s="10">
        <v>15745</v>
      </c>
      <c r="E39" s="29">
        <f ca="1">_xlfn.DAYS(NOW(),Tabella3[[#This Row],[Data di Nascita]])/365.25</f>
        <v>82.48596851471595</v>
      </c>
      <c r="F39" s="11" t="s">
        <v>6234</v>
      </c>
      <c r="G39" s="11" t="s">
        <v>6235</v>
      </c>
      <c r="H39" s="11" t="s">
        <v>676</v>
      </c>
      <c r="I39" s="11" t="s">
        <v>473</v>
      </c>
      <c r="J39" s="11" t="s">
        <v>6236</v>
      </c>
      <c r="K39" s="17">
        <v>1</v>
      </c>
      <c r="L39" s="18"/>
      <c r="M39" s="18">
        <v>1</v>
      </c>
      <c r="N39" s="18">
        <v>1</v>
      </c>
      <c r="O39" s="18"/>
      <c r="P39" s="18"/>
      <c r="Q39" s="18"/>
      <c r="R39" s="18"/>
      <c r="S39" s="18"/>
      <c r="T39" s="11" t="s">
        <v>309</v>
      </c>
      <c r="U39" s="18"/>
      <c r="V39" s="18"/>
      <c r="W39" s="18">
        <v>1</v>
      </c>
      <c r="X39" s="11" t="s">
        <v>6237</v>
      </c>
      <c r="Y39" s="18"/>
      <c r="Z39" s="18"/>
      <c r="AA39" s="18"/>
      <c r="AB39" s="18"/>
      <c r="AC39" s="18"/>
      <c r="AD39" s="11" t="s">
        <v>25</v>
      </c>
      <c r="AE39" s="18"/>
      <c r="AF39" s="18"/>
      <c r="AG39" s="18"/>
      <c r="AH39" s="18"/>
      <c r="AI39" s="18"/>
      <c r="AJ39" s="11" t="s">
        <v>7</v>
      </c>
      <c r="AK39" s="17">
        <v>1</v>
      </c>
      <c r="AL39" s="11" t="s">
        <v>785</v>
      </c>
      <c r="AM39" s="17">
        <v>1</v>
      </c>
      <c r="AN39" s="11" t="s">
        <v>309</v>
      </c>
      <c r="AO39" s="17">
        <v>1</v>
      </c>
      <c r="AP39" s="18"/>
      <c r="AQ39" s="11" t="s">
        <v>25</v>
      </c>
      <c r="AR39" s="17">
        <v>1</v>
      </c>
      <c r="AS39" s="11" t="s">
        <v>309</v>
      </c>
      <c r="AT39" s="17">
        <v>1</v>
      </c>
      <c r="AU39" s="18"/>
      <c r="AV39" s="11" t="s">
        <v>894</v>
      </c>
      <c r="AW39" s="18"/>
      <c r="AX39" s="18">
        <v>1</v>
      </c>
      <c r="AY39" s="11" t="s">
        <v>6238</v>
      </c>
      <c r="AZ39" s="11"/>
      <c r="BA39" s="11" t="s">
        <v>25</v>
      </c>
      <c r="BB39" s="11" t="s">
        <v>25</v>
      </c>
      <c r="BC39" s="11" t="s">
        <v>6239</v>
      </c>
      <c r="BD39" s="11" t="s">
        <v>6240</v>
      </c>
      <c r="BE39" s="11" t="s">
        <v>309</v>
      </c>
      <c r="BF39" s="11"/>
      <c r="BG39" s="11" t="s">
        <v>6241</v>
      </c>
      <c r="BH39" s="11" t="s">
        <v>695</v>
      </c>
      <c r="BI39" s="11" t="s">
        <v>6242</v>
      </c>
      <c r="BJ39" s="11" t="s">
        <v>25</v>
      </c>
      <c r="BK39" s="11" t="s">
        <v>25</v>
      </c>
      <c r="BL39" s="11" t="s">
        <v>6243</v>
      </c>
      <c r="BM39" s="11" t="s">
        <v>6244</v>
      </c>
      <c r="BN39" s="11" t="s">
        <v>6245</v>
      </c>
      <c r="BO39" s="11" t="s">
        <v>25</v>
      </c>
      <c r="BP39" s="11" t="s">
        <v>4975</v>
      </c>
      <c r="BQ39" s="11" t="s">
        <v>850</v>
      </c>
      <c r="BR39" s="11" t="s">
        <v>37</v>
      </c>
      <c r="BS39" s="11" t="s">
        <v>121</v>
      </c>
      <c r="BT39" s="11"/>
      <c r="BU39" s="12" t="s">
        <v>6246</v>
      </c>
    </row>
    <row r="40" spans="1:73" ht="228">
      <c r="A40" s="5">
        <v>428</v>
      </c>
      <c r="B40" s="6">
        <v>44686</v>
      </c>
      <c r="C40" s="7" t="s">
        <v>6247</v>
      </c>
      <c r="D40" s="6">
        <v>26312</v>
      </c>
      <c r="E40" s="29">
        <f ca="1">_xlfn.DAYS(NOW(),Tabella3[[#This Row],[Data di Nascita]])/365.25</f>
        <v>53.555099247091036</v>
      </c>
      <c r="F40" s="7" t="s">
        <v>6248</v>
      </c>
      <c r="G40" s="7" t="s">
        <v>6249</v>
      </c>
      <c r="H40" s="7" t="s">
        <v>6250</v>
      </c>
      <c r="I40" s="7" t="s">
        <v>473</v>
      </c>
      <c r="J40" s="7" t="s">
        <v>3173</v>
      </c>
      <c r="K40" s="17"/>
      <c r="L40" s="17"/>
      <c r="M40" s="17"/>
      <c r="N40" s="17"/>
      <c r="O40" s="17"/>
      <c r="P40" s="17"/>
      <c r="Q40" s="17"/>
      <c r="R40" s="17"/>
      <c r="S40" s="17"/>
      <c r="T40" s="7" t="s">
        <v>6251</v>
      </c>
      <c r="U40" s="17">
        <v>15</v>
      </c>
      <c r="V40" s="17">
        <v>1</v>
      </c>
      <c r="W40" s="17"/>
      <c r="X40" s="7" t="s">
        <v>8</v>
      </c>
      <c r="Y40" s="17"/>
      <c r="Z40" s="17"/>
      <c r="AA40" s="17"/>
      <c r="AB40" s="17">
        <v>1</v>
      </c>
      <c r="AC40" s="17"/>
      <c r="AD40" s="7" t="s">
        <v>8</v>
      </c>
      <c r="AE40" s="17"/>
      <c r="AF40" s="17"/>
      <c r="AG40" s="17"/>
      <c r="AH40" s="17"/>
      <c r="AI40" s="17"/>
      <c r="AJ40" s="7" t="s">
        <v>28</v>
      </c>
      <c r="AK40" s="17">
        <v>1</v>
      </c>
      <c r="AL40" s="7" t="s">
        <v>8</v>
      </c>
      <c r="AM40" s="17"/>
      <c r="AN40" s="7" t="s">
        <v>8</v>
      </c>
      <c r="AO40" s="17">
        <v>1</v>
      </c>
      <c r="AP40" s="17"/>
      <c r="AQ40" s="7" t="s">
        <v>6252</v>
      </c>
      <c r="AR40" s="17">
        <v>1</v>
      </c>
      <c r="AS40" s="7" t="s">
        <v>8</v>
      </c>
      <c r="AT40" s="17">
        <v>1</v>
      </c>
      <c r="AU40" s="17"/>
      <c r="AV40" s="7" t="s">
        <v>8</v>
      </c>
      <c r="AW40" s="17"/>
      <c r="AX40" s="17"/>
      <c r="AY40" s="7" t="s">
        <v>6253</v>
      </c>
      <c r="AZ40" s="7" t="s">
        <v>194</v>
      </c>
      <c r="BA40" s="7" t="s">
        <v>28</v>
      </c>
      <c r="BB40" s="7" t="s">
        <v>8</v>
      </c>
      <c r="BC40" s="7"/>
      <c r="BD40" s="7" t="s">
        <v>6254</v>
      </c>
      <c r="BE40" s="7"/>
      <c r="BF40" s="7" t="s">
        <v>8</v>
      </c>
      <c r="BG40" s="7" t="s">
        <v>8</v>
      </c>
      <c r="BH40" s="7" t="s">
        <v>6255</v>
      </c>
      <c r="BI40" s="7" t="s">
        <v>6256</v>
      </c>
      <c r="BJ40" s="7" t="s">
        <v>1052</v>
      </c>
      <c r="BK40" s="7" t="s">
        <v>8</v>
      </c>
      <c r="BL40" s="7" t="s">
        <v>8</v>
      </c>
      <c r="BM40" s="7" t="s">
        <v>6257</v>
      </c>
      <c r="BN40" s="7" t="s">
        <v>6258</v>
      </c>
      <c r="BO40" s="7" t="s">
        <v>8</v>
      </c>
      <c r="BP40" s="7" t="s">
        <v>5804</v>
      </c>
      <c r="BQ40" s="7" t="s">
        <v>6259</v>
      </c>
      <c r="BR40" s="7" t="s">
        <v>6260</v>
      </c>
      <c r="BS40" s="7" t="s">
        <v>6261</v>
      </c>
      <c r="BT40" s="7" t="s">
        <v>6262</v>
      </c>
      <c r="BU40" s="8" t="s">
        <v>6263</v>
      </c>
    </row>
    <row r="41" spans="1:73" ht="85.5">
      <c r="A41" s="9">
        <v>435</v>
      </c>
      <c r="B41" s="10">
        <v>44693</v>
      </c>
      <c r="C41" s="11" t="s">
        <v>6264</v>
      </c>
      <c r="D41" s="10">
        <v>23007</v>
      </c>
      <c r="E41" s="29">
        <f ca="1">_xlfn.DAYS(NOW(),Tabella3[[#This Row],[Data di Nascita]])/365.25</f>
        <v>62.603696098562629</v>
      </c>
      <c r="F41" s="11" t="s">
        <v>6265</v>
      </c>
      <c r="G41" s="11" t="s">
        <v>6266</v>
      </c>
      <c r="H41" s="11" t="s">
        <v>6267</v>
      </c>
      <c r="I41" s="11" t="s">
        <v>618</v>
      </c>
      <c r="J41" s="11" t="s">
        <v>6268</v>
      </c>
      <c r="K41" s="17">
        <v>1</v>
      </c>
      <c r="L41" s="18"/>
      <c r="M41" s="18"/>
      <c r="N41" s="18"/>
      <c r="O41" s="18"/>
      <c r="P41" s="18"/>
      <c r="Q41" s="18"/>
      <c r="R41" s="18">
        <v>1</v>
      </c>
      <c r="S41" s="18"/>
      <c r="T41" s="11" t="s">
        <v>6269</v>
      </c>
      <c r="U41" s="18">
        <v>60</v>
      </c>
      <c r="V41" s="18"/>
      <c r="W41" s="18"/>
      <c r="X41" s="11" t="s">
        <v>6270</v>
      </c>
      <c r="Y41" s="18"/>
      <c r="Z41" s="18"/>
      <c r="AA41" s="18"/>
      <c r="AB41" s="18"/>
      <c r="AC41" s="18">
        <v>1</v>
      </c>
      <c r="AD41" s="11" t="s">
        <v>8</v>
      </c>
      <c r="AE41" s="18"/>
      <c r="AF41" s="18"/>
      <c r="AG41" s="18"/>
      <c r="AH41" s="18"/>
      <c r="AI41" s="18"/>
      <c r="AJ41" s="11" t="s">
        <v>7</v>
      </c>
      <c r="AK41" s="17">
        <v>1</v>
      </c>
      <c r="AL41" s="11" t="s">
        <v>8</v>
      </c>
      <c r="AM41" s="18"/>
      <c r="AN41" s="11" t="s">
        <v>8</v>
      </c>
      <c r="AO41" s="17">
        <v>1</v>
      </c>
      <c r="AP41" s="18"/>
      <c r="AQ41" s="11" t="s">
        <v>6271</v>
      </c>
      <c r="AR41" s="17">
        <v>1</v>
      </c>
      <c r="AS41" s="11" t="s">
        <v>8</v>
      </c>
      <c r="AT41" s="17">
        <v>1</v>
      </c>
      <c r="AU41" s="18"/>
      <c r="AV41" s="11" t="s">
        <v>7</v>
      </c>
      <c r="AW41" s="18"/>
      <c r="AX41" s="18">
        <v>1</v>
      </c>
      <c r="AY41" s="11" t="s">
        <v>8</v>
      </c>
      <c r="AZ41" s="11" t="s">
        <v>8</v>
      </c>
      <c r="BA41" s="11" t="s">
        <v>6272</v>
      </c>
      <c r="BB41" s="11"/>
      <c r="BC41" s="11" t="s">
        <v>6273</v>
      </c>
      <c r="BD41" s="11" t="s">
        <v>6274</v>
      </c>
      <c r="BE41" s="11" t="s">
        <v>8</v>
      </c>
      <c r="BF41" s="11"/>
      <c r="BG41" s="11" t="s">
        <v>920</v>
      </c>
      <c r="BH41" s="11" t="s">
        <v>836</v>
      </c>
      <c r="BI41" s="11" t="s">
        <v>6275</v>
      </c>
      <c r="BJ41" s="11" t="s">
        <v>8</v>
      </c>
      <c r="BK41" s="11" t="s">
        <v>8</v>
      </c>
      <c r="BL41" s="11" t="s">
        <v>4558</v>
      </c>
      <c r="BM41" s="11" t="s">
        <v>260</v>
      </c>
      <c r="BN41" s="11" t="s">
        <v>6276</v>
      </c>
      <c r="BO41" s="11" t="s">
        <v>8</v>
      </c>
      <c r="BP41" s="11" t="s">
        <v>4975</v>
      </c>
      <c r="BQ41" s="11" t="s">
        <v>1272</v>
      </c>
      <c r="BR41" s="11" t="s">
        <v>71</v>
      </c>
      <c r="BS41" s="11" t="s">
        <v>595</v>
      </c>
      <c r="BT41" s="11" t="s">
        <v>4581</v>
      </c>
      <c r="BU41" s="12"/>
    </row>
    <row r="42" spans="1:73" ht="299.25">
      <c r="A42" s="5">
        <v>445</v>
      </c>
      <c r="B42" s="6">
        <v>44698</v>
      </c>
      <c r="C42" s="7" t="s">
        <v>6277</v>
      </c>
      <c r="D42" s="6">
        <v>29119</v>
      </c>
      <c r="E42" s="29">
        <f ca="1">_xlfn.DAYS(NOW(),Tabella3[[#This Row],[Data di Nascita]])/365.25</f>
        <v>45.869952087611225</v>
      </c>
      <c r="F42" s="7" t="s">
        <v>6278</v>
      </c>
      <c r="G42" s="7" t="s">
        <v>6279</v>
      </c>
      <c r="H42" s="7" t="s">
        <v>6280</v>
      </c>
      <c r="I42" s="7" t="s">
        <v>6281</v>
      </c>
      <c r="J42" s="7"/>
      <c r="K42" s="17"/>
      <c r="L42" s="17"/>
      <c r="M42" s="17"/>
      <c r="N42" s="17"/>
      <c r="O42" s="17"/>
      <c r="P42" s="17"/>
      <c r="Q42" s="17"/>
      <c r="R42" s="17"/>
      <c r="S42" s="17"/>
      <c r="T42" s="7"/>
      <c r="U42" s="17"/>
      <c r="V42" s="17"/>
      <c r="W42" s="17"/>
      <c r="X42" s="7"/>
      <c r="Y42" s="17">
        <v>1</v>
      </c>
      <c r="Z42" s="17"/>
      <c r="AA42" s="17"/>
      <c r="AB42" s="17"/>
      <c r="AC42" s="17"/>
      <c r="AD42" s="7" t="s">
        <v>6282</v>
      </c>
      <c r="AE42" s="17"/>
      <c r="AF42" s="17"/>
      <c r="AG42" s="17">
        <v>1</v>
      </c>
      <c r="AH42" s="17"/>
      <c r="AI42" s="17"/>
      <c r="AJ42" s="7"/>
      <c r="AK42" s="17"/>
      <c r="AL42" s="7" t="s">
        <v>6283</v>
      </c>
      <c r="AM42" s="17"/>
      <c r="AN42" s="7" t="s">
        <v>8</v>
      </c>
      <c r="AO42" s="17">
        <v>1</v>
      </c>
      <c r="AP42" s="17"/>
      <c r="AQ42" s="7" t="s">
        <v>8</v>
      </c>
      <c r="AR42" s="17">
        <v>1</v>
      </c>
      <c r="AS42" s="7" t="s">
        <v>7</v>
      </c>
      <c r="AT42" s="17"/>
      <c r="AU42" s="17"/>
      <c r="AV42" s="7" t="s">
        <v>7</v>
      </c>
      <c r="AW42" s="17"/>
      <c r="AX42" s="17">
        <v>1</v>
      </c>
      <c r="AY42" s="7" t="s">
        <v>8</v>
      </c>
      <c r="AZ42" s="7" t="s">
        <v>47</v>
      </c>
      <c r="BA42" s="7" t="s">
        <v>6284</v>
      </c>
      <c r="BB42" s="7"/>
      <c r="BC42" s="7" t="s">
        <v>6285</v>
      </c>
      <c r="BD42" s="7" t="s">
        <v>6286</v>
      </c>
      <c r="BE42" s="7" t="s">
        <v>6287</v>
      </c>
      <c r="BF42" s="7"/>
      <c r="BG42" s="7" t="s">
        <v>8</v>
      </c>
      <c r="BH42" s="7" t="s">
        <v>8</v>
      </c>
      <c r="BI42" s="7" t="s">
        <v>6288</v>
      </c>
      <c r="BJ42" s="7" t="s">
        <v>25</v>
      </c>
      <c r="BK42" s="7" t="s">
        <v>8</v>
      </c>
      <c r="BL42" s="7" t="s">
        <v>7</v>
      </c>
      <c r="BM42" s="7" t="s">
        <v>8</v>
      </c>
      <c r="BN42" s="7" t="s">
        <v>6289</v>
      </c>
      <c r="BO42" s="7" t="s">
        <v>6290</v>
      </c>
      <c r="BP42" s="7" t="s">
        <v>5804</v>
      </c>
      <c r="BQ42" s="7" t="s">
        <v>183</v>
      </c>
      <c r="BR42" s="7" t="s">
        <v>219</v>
      </c>
      <c r="BS42" s="7" t="s">
        <v>262</v>
      </c>
      <c r="BT42" s="7" t="s">
        <v>6291</v>
      </c>
      <c r="BU42" s="8" t="s">
        <v>6292</v>
      </c>
    </row>
    <row r="43" spans="1:73" ht="28.5">
      <c r="A43" s="9">
        <v>451</v>
      </c>
      <c r="B43" s="10">
        <v>44701</v>
      </c>
      <c r="C43" s="11" t="s">
        <v>6293</v>
      </c>
      <c r="D43" s="10">
        <v>28076</v>
      </c>
      <c r="E43" s="29">
        <f ca="1">_xlfn.DAYS(NOW(),Tabella3[[#This Row],[Data di Nascita]])/365.25</f>
        <v>48.725530458590008</v>
      </c>
      <c r="F43" s="11" t="s">
        <v>6294</v>
      </c>
      <c r="G43" s="11" t="s">
        <v>6295</v>
      </c>
      <c r="H43" s="11" t="s">
        <v>2917</v>
      </c>
      <c r="I43" s="11" t="s">
        <v>618</v>
      </c>
      <c r="J43" s="11" t="s">
        <v>6296</v>
      </c>
      <c r="K43" s="18"/>
      <c r="L43" s="18"/>
      <c r="M43" s="18">
        <v>1</v>
      </c>
      <c r="N43" s="18"/>
      <c r="O43" s="18"/>
      <c r="P43" s="18"/>
      <c r="Q43" s="18"/>
      <c r="R43" s="18"/>
      <c r="S43" s="18"/>
      <c r="T43" s="11" t="s">
        <v>6297</v>
      </c>
      <c r="U43" s="18">
        <v>5</v>
      </c>
      <c r="V43" s="18"/>
      <c r="W43" s="18"/>
      <c r="X43" s="11" t="s">
        <v>26</v>
      </c>
      <c r="Y43" s="18"/>
      <c r="Z43" s="18"/>
      <c r="AA43" s="18">
        <v>1</v>
      </c>
      <c r="AB43" s="18"/>
      <c r="AC43" s="18"/>
      <c r="AD43" s="11" t="s">
        <v>25</v>
      </c>
      <c r="AE43" s="18"/>
      <c r="AF43" s="18"/>
      <c r="AG43" s="18"/>
      <c r="AH43" s="18"/>
      <c r="AI43" s="18"/>
      <c r="AJ43" s="11" t="s">
        <v>28</v>
      </c>
      <c r="AK43" s="17">
        <v>1</v>
      </c>
      <c r="AL43" s="11" t="s">
        <v>8</v>
      </c>
      <c r="AM43" s="18"/>
      <c r="AN43" s="11" t="s">
        <v>8</v>
      </c>
      <c r="AO43" s="17">
        <v>1</v>
      </c>
      <c r="AP43" s="18"/>
      <c r="AQ43" s="11" t="s">
        <v>8</v>
      </c>
      <c r="AR43" s="17">
        <v>1</v>
      </c>
      <c r="AS43" s="11" t="s">
        <v>8</v>
      </c>
      <c r="AT43" s="17">
        <v>1</v>
      </c>
      <c r="AU43" s="18"/>
      <c r="AV43" s="11" t="s">
        <v>8</v>
      </c>
      <c r="AW43" s="18"/>
      <c r="AX43" s="18"/>
      <c r="AY43" s="11" t="s">
        <v>8</v>
      </c>
      <c r="AZ43" s="11" t="s">
        <v>8</v>
      </c>
      <c r="BA43" s="11" t="s">
        <v>8</v>
      </c>
      <c r="BB43" s="11" t="s">
        <v>8</v>
      </c>
      <c r="BC43" s="11"/>
      <c r="BD43" s="11" t="s">
        <v>6298</v>
      </c>
      <c r="BE43" s="11" t="s">
        <v>8</v>
      </c>
      <c r="BF43" s="11"/>
      <c r="BG43" s="11" t="s">
        <v>25</v>
      </c>
      <c r="BH43" s="11" t="s">
        <v>25</v>
      </c>
      <c r="BI43" s="11" t="s">
        <v>25</v>
      </c>
      <c r="BJ43" s="11" t="s">
        <v>25</v>
      </c>
      <c r="BK43" s="11"/>
      <c r="BL43" s="11"/>
      <c r="BM43" s="11" t="s">
        <v>25</v>
      </c>
      <c r="BN43" s="11" t="s">
        <v>8</v>
      </c>
      <c r="BO43" s="11" t="s">
        <v>6299</v>
      </c>
      <c r="BP43" s="11" t="s">
        <v>4975</v>
      </c>
      <c r="BQ43" s="11" t="s">
        <v>403</v>
      </c>
      <c r="BR43" s="11" t="s">
        <v>71</v>
      </c>
      <c r="BS43" s="11" t="s">
        <v>1444</v>
      </c>
      <c r="BT43" s="11"/>
      <c r="BU43" s="12"/>
    </row>
    <row r="44" spans="1:73" ht="327.75">
      <c r="A44" s="5">
        <v>457</v>
      </c>
      <c r="B44" s="6">
        <v>44706</v>
      </c>
      <c r="C44" s="7" t="s">
        <v>6300</v>
      </c>
      <c r="D44" s="6">
        <v>20578</v>
      </c>
      <c r="E44" s="29">
        <f ca="1">_xlfn.DAYS(NOW(),Tabella3[[#This Row],[Data di Nascita]])/365.25</f>
        <v>69.2539356605065</v>
      </c>
      <c r="F44" s="7" t="s">
        <v>6301</v>
      </c>
      <c r="G44" s="7" t="s">
        <v>6302</v>
      </c>
      <c r="H44" s="7" t="s">
        <v>6303</v>
      </c>
      <c r="I44" s="7" t="s">
        <v>1346</v>
      </c>
      <c r="J44" s="7" t="s">
        <v>6304</v>
      </c>
      <c r="K44" s="17">
        <v>1</v>
      </c>
      <c r="L44" s="17"/>
      <c r="M44" s="17"/>
      <c r="N44" s="18">
        <v>1</v>
      </c>
      <c r="O44" s="17"/>
      <c r="P44" s="17"/>
      <c r="Q44" s="17"/>
      <c r="R44" s="17"/>
      <c r="S44" s="17"/>
      <c r="T44" s="7" t="s">
        <v>6305</v>
      </c>
      <c r="U44" s="17">
        <v>75</v>
      </c>
      <c r="V44" s="17">
        <v>1</v>
      </c>
      <c r="W44" s="17"/>
      <c r="X44" s="7" t="s">
        <v>6306</v>
      </c>
      <c r="Y44" s="17"/>
      <c r="Z44" s="17"/>
      <c r="AA44" s="17"/>
      <c r="AB44" s="17"/>
      <c r="AC44" s="17"/>
      <c r="AD44" s="7" t="s">
        <v>6307</v>
      </c>
      <c r="AE44" s="17"/>
      <c r="AF44" s="17">
        <v>1</v>
      </c>
      <c r="AG44" s="17"/>
      <c r="AH44" s="17">
        <v>1</v>
      </c>
      <c r="AI44" s="17"/>
      <c r="AJ44" s="7" t="s">
        <v>194</v>
      </c>
      <c r="AK44" s="17">
        <v>1</v>
      </c>
      <c r="AL44" s="7" t="s">
        <v>8</v>
      </c>
      <c r="AM44" s="17"/>
      <c r="AN44" s="7" t="s">
        <v>8</v>
      </c>
      <c r="AO44" s="17">
        <v>1</v>
      </c>
      <c r="AP44" s="17"/>
      <c r="AQ44" s="7" t="s">
        <v>8</v>
      </c>
      <c r="AR44" s="17">
        <v>1</v>
      </c>
      <c r="AS44" s="7" t="s">
        <v>548</v>
      </c>
      <c r="AT44" s="17"/>
      <c r="AU44" s="17"/>
      <c r="AV44" s="7" t="s">
        <v>8</v>
      </c>
      <c r="AW44" s="17"/>
      <c r="AX44" s="17"/>
      <c r="AY44" s="7" t="s">
        <v>8</v>
      </c>
      <c r="AZ44" s="7" t="s">
        <v>8</v>
      </c>
      <c r="BA44" s="7" t="s">
        <v>28</v>
      </c>
      <c r="BB44" s="7" t="s">
        <v>6308</v>
      </c>
      <c r="BC44" s="7" t="s">
        <v>6309</v>
      </c>
      <c r="BD44" s="7" t="s">
        <v>6310</v>
      </c>
      <c r="BE44" s="7" t="s">
        <v>8</v>
      </c>
      <c r="BF44" s="7" t="s">
        <v>8</v>
      </c>
      <c r="BG44" s="7" t="s">
        <v>8</v>
      </c>
      <c r="BH44" s="7" t="s">
        <v>8</v>
      </c>
      <c r="BI44" s="7" t="s">
        <v>8</v>
      </c>
      <c r="BJ44" s="7" t="s">
        <v>8</v>
      </c>
      <c r="BK44" s="7" t="s">
        <v>6311</v>
      </c>
      <c r="BL44" s="7" t="s">
        <v>6312</v>
      </c>
      <c r="BM44" s="7" t="s">
        <v>194</v>
      </c>
      <c r="BN44" s="7" t="s">
        <v>533</v>
      </c>
      <c r="BO44" s="7" t="s">
        <v>25</v>
      </c>
      <c r="BP44" s="7" t="s">
        <v>5804</v>
      </c>
      <c r="BQ44" s="7" t="s">
        <v>6313</v>
      </c>
      <c r="BR44" s="7" t="s">
        <v>86</v>
      </c>
      <c r="BS44" s="7" t="s">
        <v>6314</v>
      </c>
      <c r="BT44" s="7" t="s">
        <v>6315</v>
      </c>
      <c r="BU44" s="8"/>
    </row>
    <row r="45" spans="1:73" ht="399">
      <c r="A45" s="9">
        <v>458</v>
      </c>
      <c r="B45" s="10">
        <v>44707</v>
      </c>
      <c r="C45" s="11" t="s">
        <v>6316</v>
      </c>
      <c r="D45" s="10">
        <v>20020</v>
      </c>
      <c r="E45" s="29">
        <f ca="1">_xlfn.DAYS(NOW(),Tabella3[[#This Row],[Data di Nascita]])/365.25</f>
        <v>70.781656399726216</v>
      </c>
      <c r="F45" s="11" t="s">
        <v>6317</v>
      </c>
      <c r="G45" s="11" t="s">
        <v>6318</v>
      </c>
      <c r="H45" s="11" t="s">
        <v>6319</v>
      </c>
      <c r="I45" s="11" t="s">
        <v>618</v>
      </c>
      <c r="J45" s="11" t="s">
        <v>6320</v>
      </c>
      <c r="K45" s="17">
        <v>1</v>
      </c>
      <c r="L45" s="18"/>
      <c r="M45" s="18"/>
      <c r="N45" s="18">
        <v>1</v>
      </c>
      <c r="O45" s="18"/>
      <c r="P45" s="18"/>
      <c r="Q45" s="18"/>
      <c r="R45" s="18"/>
      <c r="S45" s="18"/>
      <c r="T45" s="11" t="s">
        <v>6321</v>
      </c>
      <c r="U45" s="18">
        <v>5</v>
      </c>
      <c r="V45" s="18">
        <v>1</v>
      </c>
      <c r="W45" s="18"/>
      <c r="X45" s="11" t="s">
        <v>272</v>
      </c>
      <c r="Y45" s="18"/>
      <c r="Z45" s="18"/>
      <c r="AA45" s="18">
        <v>1</v>
      </c>
      <c r="AB45" s="18"/>
      <c r="AC45" s="18"/>
      <c r="AD45" s="11" t="s">
        <v>6322</v>
      </c>
      <c r="AE45" s="18"/>
      <c r="AF45" s="18"/>
      <c r="AG45" s="18"/>
      <c r="AH45" s="18"/>
      <c r="AI45" s="18"/>
      <c r="AJ45" s="11" t="s">
        <v>7</v>
      </c>
      <c r="AK45" s="17">
        <v>1</v>
      </c>
      <c r="AL45" s="11" t="s">
        <v>894</v>
      </c>
      <c r="AM45" s="17">
        <v>1</v>
      </c>
      <c r="AN45" s="11" t="s">
        <v>8</v>
      </c>
      <c r="AO45" s="17">
        <v>1</v>
      </c>
      <c r="AP45" s="18"/>
      <c r="AQ45" s="11" t="s">
        <v>8</v>
      </c>
      <c r="AR45" s="17">
        <v>1</v>
      </c>
      <c r="AS45" s="11" t="s">
        <v>7</v>
      </c>
      <c r="AT45" s="18"/>
      <c r="AU45" s="18"/>
      <c r="AV45" s="11" t="s">
        <v>6323</v>
      </c>
      <c r="AW45" s="18"/>
      <c r="AX45" s="18">
        <v>1</v>
      </c>
      <c r="AY45" s="11" t="s">
        <v>8</v>
      </c>
      <c r="AZ45" s="11"/>
      <c r="BA45" s="11" t="s">
        <v>8</v>
      </c>
      <c r="BB45" s="11" t="s">
        <v>6324</v>
      </c>
      <c r="BC45" s="11" t="s">
        <v>6325</v>
      </c>
      <c r="BD45" s="11" t="s">
        <v>6326</v>
      </c>
      <c r="BE45" s="11" t="s">
        <v>8</v>
      </c>
      <c r="BF45" s="11" t="s">
        <v>6327</v>
      </c>
      <c r="BG45" s="11" t="s">
        <v>801</v>
      </c>
      <c r="BH45" s="11" t="s">
        <v>8</v>
      </c>
      <c r="BI45" s="11" t="s">
        <v>837</v>
      </c>
      <c r="BJ45" s="11" t="s">
        <v>8</v>
      </c>
      <c r="BK45" s="11" t="s">
        <v>8</v>
      </c>
      <c r="BL45" s="11" t="s">
        <v>8</v>
      </c>
      <c r="BM45" s="11" t="s">
        <v>466</v>
      </c>
      <c r="BN45" s="11" t="s">
        <v>6328</v>
      </c>
      <c r="BO45" s="11" t="s">
        <v>8</v>
      </c>
      <c r="BP45" s="11" t="s">
        <v>4975</v>
      </c>
      <c r="BQ45" s="11" t="s">
        <v>495</v>
      </c>
      <c r="BR45" s="11" t="s">
        <v>37</v>
      </c>
      <c r="BS45" s="11" t="s">
        <v>508</v>
      </c>
      <c r="BT45" s="11" t="s">
        <v>6329</v>
      </c>
      <c r="BU45" s="12" t="s">
        <v>6330</v>
      </c>
    </row>
    <row r="46" spans="1:73" ht="327.75">
      <c r="A46" s="5">
        <v>460</v>
      </c>
      <c r="B46" s="6">
        <v>44713</v>
      </c>
      <c r="C46" s="7" t="s">
        <v>6331</v>
      </c>
      <c r="D46" s="6">
        <v>28661</v>
      </c>
      <c r="E46" s="29">
        <f ca="1">_xlfn.DAYS(NOW(),Tabella3[[#This Row],[Data di Nascita]])/365.25</f>
        <v>47.123887748117724</v>
      </c>
      <c r="F46" s="7" t="s">
        <v>6332</v>
      </c>
      <c r="G46" s="7" t="s">
        <v>6333</v>
      </c>
      <c r="H46" s="7" t="s">
        <v>880</v>
      </c>
      <c r="I46" s="7" t="s">
        <v>6334</v>
      </c>
      <c r="J46" s="7" t="s">
        <v>6335</v>
      </c>
      <c r="K46" s="17"/>
      <c r="L46" s="17"/>
      <c r="M46" s="17"/>
      <c r="N46" s="17"/>
      <c r="O46" s="17"/>
      <c r="P46" s="17"/>
      <c r="Q46" s="17"/>
      <c r="R46" s="17">
        <v>1</v>
      </c>
      <c r="S46" s="17"/>
      <c r="T46" s="7" t="s">
        <v>6336</v>
      </c>
      <c r="U46" s="17">
        <v>15</v>
      </c>
      <c r="V46" s="17">
        <v>1</v>
      </c>
      <c r="W46" s="17"/>
      <c r="X46" s="7" t="s">
        <v>25</v>
      </c>
      <c r="Y46" s="17"/>
      <c r="Z46" s="17"/>
      <c r="AA46" s="17"/>
      <c r="AB46" s="17">
        <v>1</v>
      </c>
      <c r="AC46" s="17"/>
      <c r="AD46" s="7" t="s">
        <v>25</v>
      </c>
      <c r="AE46" s="17"/>
      <c r="AF46" s="17"/>
      <c r="AG46" s="17"/>
      <c r="AH46" s="17"/>
      <c r="AI46" s="17"/>
      <c r="AJ46" s="7" t="s">
        <v>28</v>
      </c>
      <c r="AK46" s="17">
        <v>1</v>
      </c>
      <c r="AL46" s="7" t="s">
        <v>28</v>
      </c>
      <c r="AM46" s="17">
        <v>1</v>
      </c>
      <c r="AN46" s="7" t="s">
        <v>25</v>
      </c>
      <c r="AO46" s="17">
        <v>1</v>
      </c>
      <c r="AP46" s="17"/>
      <c r="AQ46" s="7" t="s">
        <v>25</v>
      </c>
      <c r="AR46" s="17">
        <v>1</v>
      </c>
      <c r="AS46" s="7" t="s">
        <v>25</v>
      </c>
      <c r="AT46" s="17">
        <v>1</v>
      </c>
      <c r="AU46" s="17"/>
      <c r="AV46" s="7" t="s">
        <v>25</v>
      </c>
      <c r="AW46" s="17"/>
      <c r="AX46" s="17"/>
      <c r="AY46" s="7" t="s">
        <v>25</v>
      </c>
      <c r="AZ46" s="7" t="s">
        <v>6337</v>
      </c>
      <c r="BA46" s="7" t="s">
        <v>28</v>
      </c>
      <c r="BB46" s="7" t="s">
        <v>25</v>
      </c>
      <c r="BC46" s="7" t="s">
        <v>25</v>
      </c>
      <c r="BD46" s="7" t="s">
        <v>6338</v>
      </c>
      <c r="BE46" s="7" t="s">
        <v>25</v>
      </c>
      <c r="BF46" s="7" t="s">
        <v>6339</v>
      </c>
      <c r="BG46" s="7" t="s">
        <v>25</v>
      </c>
      <c r="BH46" s="7" t="s">
        <v>28</v>
      </c>
      <c r="BI46" s="7" t="s">
        <v>25</v>
      </c>
      <c r="BJ46" s="7" t="s">
        <v>25</v>
      </c>
      <c r="BK46" s="7" t="s">
        <v>25</v>
      </c>
      <c r="BL46" s="7" t="s">
        <v>25</v>
      </c>
      <c r="BM46" s="7" t="s">
        <v>6340</v>
      </c>
      <c r="BN46" s="7" t="s">
        <v>25</v>
      </c>
      <c r="BO46" s="7" t="s">
        <v>25</v>
      </c>
      <c r="BP46" s="7" t="s">
        <v>4975</v>
      </c>
      <c r="BQ46" s="7" t="s">
        <v>1301</v>
      </c>
      <c r="BR46" s="7" t="s">
        <v>71</v>
      </c>
      <c r="BS46" s="7" t="s">
        <v>554</v>
      </c>
      <c r="BT46" s="7"/>
      <c r="BU46" s="8" t="s">
        <v>6341</v>
      </c>
    </row>
    <row r="47" spans="1:73" ht="114">
      <c r="A47" s="9">
        <v>461</v>
      </c>
      <c r="B47" s="11"/>
      <c r="C47" s="11" t="s">
        <v>6342</v>
      </c>
      <c r="D47" s="10">
        <v>19975</v>
      </c>
      <c r="E47" s="29">
        <f ca="1">_xlfn.DAYS(NOW(),Tabella3[[#This Row],[Data di Nascita]])/365.25</f>
        <v>70.904859685147159</v>
      </c>
      <c r="F47" s="11" t="s">
        <v>6343</v>
      </c>
      <c r="G47" s="11" t="s">
        <v>6344</v>
      </c>
      <c r="H47" s="11" t="s">
        <v>1116</v>
      </c>
      <c r="I47" s="11" t="s">
        <v>1264</v>
      </c>
      <c r="J47" s="11" t="s">
        <v>6345</v>
      </c>
      <c r="K47" s="17">
        <v>1</v>
      </c>
      <c r="L47" s="18"/>
      <c r="M47" s="18"/>
      <c r="N47" s="18">
        <v>1</v>
      </c>
      <c r="O47" s="18"/>
      <c r="P47" s="18"/>
      <c r="Q47" s="18"/>
      <c r="R47" s="18"/>
      <c r="S47" s="18"/>
      <c r="T47" s="11" t="s">
        <v>6346</v>
      </c>
      <c r="U47" s="18"/>
      <c r="V47" s="18"/>
      <c r="W47" s="18"/>
      <c r="X47" s="11" t="s">
        <v>25</v>
      </c>
      <c r="Y47" s="18"/>
      <c r="Z47" s="18"/>
      <c r="AA47" s="18"/>
      <c r="AB47" s="18">
        <v>1</v>
      </c>
      <c r="AC47" s="18"/>
      <c r="AD47" s="11" t="s">
        <v>25</v>
      </c>
      <c r="AE47" s="18"/>
      <c r="AF47" s="18"/>
      <c r="AG47" s="18"/>
      <c r="AH47" s="18"/>
      <c r="AI47" s="18"/>
      <c r="AJ47" s="11" t="s">
        <v>8</v>
      </c>
      <c r="AK47" s="18"/>
      <c r="AL47" s="11" t="s">
        <v>25</v>
      </c>
      <c r="AM47" s="18"/>
      <c r="AN47" s="11" t="s">
        <v>25</v>
      </c>
      <c r="AO47" s="17">
        <v>1</v>
      </c>
      <c r="AP47" s="18"/>
      <c r="AQ47" s="11" t="s">
        <v>25</v>
      </c>
      <c r="AR47" s="17">
        <v>1</v>
      </c>
      <c r="AS47" s="11" t="s">
        <v>25</v>
      </c>
      <c r="AT47" s="17">
        <v>1</v>
      </c>
      <c r="AU47" s="18"/>
      <c r="AV47" s="11" t="s">
        <v>25</v>
      </c>
      <c r="AW47" s="18"/>
      <c r="AX47" s="18"/>
      <c r="AY47" s="11" t="s">
        <v>25</v>
      </c>
      <c r="AZ47" s="11" t="s">
        <v>25</v>
      </c>
      <c r="BA47" s="11" t="s">
        <v>25</v>
      </c>
      <c r="BB47" s="11" t="s">
        <v>25</v>
      </c>
      <c r="BC47" s="11" t="s">
        <v>25</v>
      </c>
      <c r="BD47" s="11" t="s">
        <v>6347</v>
      </c>
      <c r="BE47" s="11" t="s">
        <v>25</v>
      </c>
      <c r="BF47" s="11"/>
      <c r="BG47" s="11" t="s">
        <v>25</v>
      </c>
      <c r="BH47" s="11" t="s">
        <v>25</v>
      </c>
      <c r="BI47" s="11" t="s">
        <v>25</v>
      </c>
      <c r="BJ47" s="11" t="s">
        <v>25</v>
      </c>
      <c r="BK47" s="11"/>
      <c r="BL47" s="11"/>
      <c r="BM47" s="11" t="s">
        <v>6348</v>
      </c>
      <c r="BN47" s="11" t="s">
        <v>25</v>
      </c>
      <c r="BO47" s="11" t="s">
        <v>25</v>
      </c>
      <c r="BP47" s="11" t="s">
        <v>4975</v>
      </c>
      <c r="BQ47" s="11" t="s">
        <v>431</v>
      </c>
      <c r="BR47" s="11" t="s">
        <v>105</v>
      </c>
      <c r="BS47" s="11" t="s">
        <v>56</v>
      </c>
      <c r="BT47" s="11"/>
      <c r="BU47" s="12" t="s">
        <v>6349</v>
      </c>
    </row>
    <row r="48" spans="1:73" ht="242.25">
      <c r="A48" s="5">
        <v>462</v>
      </c>
      <c r="B48" s="6">
        <v>44719</v>
      </c>
      <c r="C48" s="7" t="s">
        <v>6350</v>
      </c>
      <c r="D48" s="6">
        <v>20345</v>
      </c>
      <c r="E48" s="29">
        <f ca="1">_xlfn.DAYS(NOW(),Tabella3[[#This Row],[Data di Nascita]])/365.25</f>
        <v>69.891854893908288</v>
      </c>
      <c r="F48" s="7" t="s">
        <v>6351</v>
      </c>
      <c r="G48" s="7" t="s">
        <v>6352</v>
      </c>
      <c r="H48" s="7" t="s">
        <v>6353</v>
      </c>
      <c r="I48" s="7" t="s">
        <v>618</v>
      </c>
      <c r="J48" s="7" t="s">
        <v>6354</v>
      </c>
      <c r="K48" s="17">
        <v>1</v>
      </c>
      <c r="L48" s="17"/>
      <c r="M48" s="17"/>
      <c r="N48" s="17"/>
      <c r="O48" s="17"/>
      <c r="P48" s="17"/>
      <c r="Q48" s="17"/>
      <c r="R48" s="17"/>
      <c r="S48" s="17"/>
      <c r="T48" s="7" t="s">
        <v>6355</v>
      </c>
      <c r="U48" s="17">
        <v>50</v>
      </c>
      <c r="V48" s="17">
        <v>1</v>
      </c>
      <c r="W48" s="17"/>
      <c r="X48" s="7" t="s">
        <v>6356</v>
      </c>
      <c r="Y48" s="17"/>
      <c r="Z48" s="17"/>
      <c r="AA48" s="17"/>
      <c r="AB48" s="17"/>
      <c r="AC48" s="17"/>
      <c r="AD48" s="7" t="s">
        <v>6357</v>
      </c>
      <c r="AE48" s="17"/>
      <c r="AF48" s="17"/>
      <c r="AG48" s="17"/>
      <c r="AH48" s="17"/>
      <c r="AI48" s="17">
        <v>1</v>
      </c>
      <c r="AJ48" s="7" t="s">
        <v>28</v>
      </c>
      <c r="AK48" s="17">
        <v>1</v>
      </c>
      <c r="AL48" s="7" t="s">
        <v>28</v>
      </c>
      <c r="AM48" s="17">
        <v>1</v>
      </c>
      <c r="AN48" s="7" t="s">
        <v>8</v>
      </c>
      <c r="AO48" s="17">
        <v>1</v>
      </c>
      <c r="AP48" s="17"/>
      <c r="AQ48" s="7"/>
      <c r="AR48" s="17"/>
      <c r="AS48" s="7" t="s">
        <v>8</v>
      </c>
      <c r="AT48" s="17">
        <v>1</v>
      </c>
      <c r="AU48" s="17"/>
      <c r="AV48" s="7" t="s">
        <v>6358</v>
      </c>
      <c r="AW48" s="17"/>
      <c r="AX48" s="17">
        <v>1</v>
      </c>
      <c r="AY48" s="7" t="s">
        <v>8</v>
      </c>
      <c r="AZ48" s="7" t="s">
        <v>6359</v>
      </c>
      <c r="BA48" s="7" t="s">
        <v>6360</v>
      </c>
      <c r="BB48" s="7"/>
      <c r="BC48" s="7" t="s">
        <v>6361</v>
      </c>
      <c r="BD48" s="7" t="s">
        <v>6362</v>
      </c>
      <c r="BE48" s="7" t="s">
        <v>8</v>
      </c>
      <c r="BF48" s="7"/>
      <c r="BG48" s="7" t="s">
        <v>8</v>
      </c>
      <c r="BH48" s="7" t="s">
        <v>8</v>
      </c>
      <c r="BI48" s="7" t="s">
        <v>31</v>
      </c>
      <c r="BJ48" s="7" t="s">
        <v>8</v>
      </c>
      <c r="BK48" s="7" t="s">
        <v>4558</v>
      </c>
      <c r="BL48" s="7"/>
      <c r="BM48" s="7" t="s">
        <v>6363</v>
      </c>
      <c r="BN48" s="7" t="s">
        <v>26</v>
      </c>
      <c r="BO48" s="7" t="s">
        <v>26</v>
      </c>
      <c r="BP48" s="7" t="s">
        <v>4975</v>
      </c>
      <c r="BQ48" s="7" t="s">
        <v>183</v>
      </c>
      <c r="BR48" s="7" t="s">
        <v>71</v>
      </c>
      <c r="BS48" s="7" t="s">
        <v>539</v>
      </c>
      <c r="BT48" s="7" t="s">
        <v>6364</v>
      </c>
      <c r="BU48" s="8" t="s">
        <v>6365</v>
      </c>
    </row>
    <row r="49" spans="1:73" ht="299.25">
      <c r="A49" s="9">
        <v>470</v>
      </c>
      <c r="B49" s="10">
        <v>44725</v>
      </c>
      <c r="C49" s="11" t="s">
        <v>6366</v>
      </c>
      <c r="D49" s="10">
        <v>21883</v>
      </c>
      <c r="E49" s="29">
        <f ca="1">_xlfn.DAYS(NOW(),Tabella3[[#This Row],[Data di Nascita]])/365.25</f>
        <v>65.681040383299106</v>
      </c>
      <c r="F49" s="11" t="s">
        <v>6367</v>
      </c>
      <c r="G49" s="11" t="s">
        <v>6368</v>
      </c>
      <c r="H49" s="11" t="s">
        <v>6369</v>
      </c>
      <c r="I49" s="11" t="s">
        <v>618</v>
      </c>
      <c r="J49" s="11" t="s">
        <v>297</v>
      </c>
      <c r="K49" s="18"/>
      <c r="L49" s="18"/>
      <c r="M49" s="18"/>
      <c r="N49" s="18"/>
      <c r="O49" s="18"/>
      <c r="P49" s="18"/>
      <c r="Q49" s="18"/>
      <c r="R49" s="18"/>
      <c r="S49" s="18"/>
      <c r="T49" s="11" t="s">
        <v>6370</v>
      </c>
      <c r="U49" s="18">
        <v>32</v>
      </c>
      <c r="V49" s="18">
        <v>1</v>
      </c>
      <c r="W49" s="18"/>
      <c r="X49" s="11" t="s">
        <v>6371</v>
      </c>
      <c r="Y49" s="18"/>
      <c r="Z49" s="18"/>
      <c r="AA49" s="18"/>
      <c r="AB49" s="18">
        <v>1</v>
      </c>
      <c r="AC49" s="18"/>
      <c r="AD49" s="11" t="s">
        <v>6372</v>
      </c>
      <c r="AE49" s="18"/>
      <c r="AF49" s="18"/>
      <c r="AG49" s="18">
        <v>1</v>
      </c>
      <c r="AH49" s="18"/>
      <c r="AI49" s="18"/>
      <c r="AJ49" s="11" t="s">
        <v>8</v>
      </c>
      <c r="AK49" s="18"/>
      <c r="AL49" s="11" t="s">
        <v>28</v>
      </c>
      <c r="AM49" s="17">
        <v>1</v>
      </c>
      <c r="AN49" s="11" t="s">
        <v>25</v>
      </c>
      <c r="AO49" s="17">
        <v>1</v>
      </c>
      <c r="AP49" s="18"/>
      <c r="AQ49" s="11" t="s">
        <v>25</v>
      </c>
      <c r="AR49" s="17">
        <v>1</v>
      </c>
      <c r="AS49" s="11" t="s">
        <v>25</v>
      </c>
      <c r="AT49" s="17">
        <v>1</v>
      </c>
      <c r="AU49" s="18"/>
      <c r="AV49" s="11" t="s">
        <v>25</v>
      </c>
      <c r="AW49" s="18"/>
      <c r="AX49" s="18"/>
      <c r="AY49" s="11" t="s">
        <v>6373</v>
      </c>
      <c r="AZ49" s="11" t="s">
        <v>6374</v>
      </c>
      <c r="BA49" s="11" t="s">
        <v>25</v>
      </c>
      <c r="BB49" s="11"/>
      <c r="BC49" s="11"/>
      <c r="BD49" s="11" t="s">
        <v>6375</v>
      </c>
      <c r="BE49" s="11" t="s">
        <v>8</v>
      </c>
      <c r="BF49" s="11" t="s">
        <v>6376</v>
      </c>
      <c r="BG49" s="11" t="s">
        <v>25</v>
      </c>
      <c r="BH49" s="11" t="s">
        <v>25</v>
      </c>
      <c r="BI49" s="11" t="s">
        <v>6377</v>
      </c>
      <c r="BJ49" s="11" t="s">
        <v>25</v>
      </c>
      <c r="BK49" s="11" t="s">
        <v>25</v>
      </c>
      <c r="BL49" s="11"/>
      <c r="BM49" s="11" t="s">
        <v>25</v>
      </c>
      <c r="BN49" s="11" t="s">
        <v>1901</v>
      </c>
      <c r="BO49" s="11" t="s">
        <v>25</v>
      </c>
      <c r="BP49" s="11" t="s">
        <v>6378</v>
      </c>
      <c r="BQ49" s="11" t="s">
        <v>36</v>
      </c>
      <c r="BR49" s="11" t="s">
        <v>105</v>
      </c>
      <c r="BS49" s="11" t="s">
        <v>219</v>
      </c>
      <c r="BT49" s="11" t="s">
        <v>6379</v>
      </c>
      <c r="BU49" s="12" t="s">
        <v>1273</v>
      </c>
    </row>
    <row r="50" spans="1:73" ht="228">
      <c r="A50" s="5">
        <v>493</v>
      </c>
      <c r="B50" s="6">
        <v>44739</v>
      </c>
      <c r="C50" s="7" t="s">
        <v>6380</v>
      </c>
      <c r="D50" s="6">
        <v>16025</v>
      </c>
      <c r="E50" s="29">
        <f ca="1">_xlfn.DAYS(NOW(),Tabella3[[#This Row],[Data di Nascita]])/365.25</f>
        <v>81.719370294318963</v>
      </c>
      <c r="F50" s="7" t="s">
        <v>6381</v>
      </c>
      <c r="G50" s="7" t="s">
        <v>6382</v>
      </c>
      <c r="H50" s="7" t="s">
        <v>6383</v>
      </c>
      <c r="I50" s="7" t="s">
        <v>618</v>
      </c>
      <c r="J50" s="7" t="s">
        <v>1815</v>
      </c>
      <c r="K50" s="17">
        <v>1</v>
      </c>
      <c r="L50" s="17"/>
      <c r="M50" s="17"/>
      <c r="N50" s="17"/>
      <c r="O50" s="17"/>
      <c r="P50" s="17"/>
      <c r="Q50" s="17"/>
      <c r="R50" s="17"/>
      <c r="S50" s="17"/>
      <c r="T50" s="7" t="s">
        <v>6384</v>
      </c>
      <c r="U50" s="17">
        <v>50</v>
      </c>
      <c r="V50" s="17">
        <v>1</v>
      </c>
      <c r="W50" s="17"/>
      <c r="X50" s="7" t="s">
        <v>5796</v>
      </c>
      <c r="Y50" s="17"/>
      <c r="Z50" s="17"/>
      <c r="AA50" s="17"/>
      <c r="AB50" s="17"/>
      <c r="AC50" s="17"/>
      <c r="AD50" s="7" t="s">
        <v>6322</v>
      </c>
      <c r="AE50" s="17"/>
      <c r="AF50" s="17"/>
      <c r="AG50" s="17"/>
      <c r="AH50" s="17"/>
      <c r="AI50" s="17"/>
      <c r="AJ50" s="7" t="s">
        <v>8</v>
      </c>
      <c r="AK50" s="17"/>
      <c r="AL50" s="7" t="s">
        <v>28</v>
      </c>
      <c r="AM50" s="17">
        <v>1</v>
      </c>
      <c r="AN50" s="7" t="s">
        <v>6385</v>
      </c>
      <c r="AO50" s="17">
        <v>0</v>
      </c>
      <c r="AP50" s="17"/>
      <c r="AQ50" s="7"/>
      <c r="AR50" s="17"/>
      <c r="AS50" s="7" t="s">
        <v>8</v>
      </c>
      <c r="AT50" s="17">
        <v>1</v>
      </c>
      <c r="AU50" s="17"/>
      <c r="AV50" s="7" t="s">
        <v>28</v>
      </c>
      <c r="AW50" s="17"/>
      <c r="AX50" s="17">
        <v>1</v>
      </c>
      <c r="AY50" s="7"/>
      <c r="AZ50" s="7" t="s">
        <v>1421</v>
      </c>
      <c r="BA50" s="7" t="s">
        <v>931</v>
      </c>
      <c r="BB50" s="7" t="s">
        <v>6386</v>
      </c>
      <c r="BC50" s="7"/>
      <c r="BD50" s="7" t="s">
        <v>6387</v>
      </c>
      <c r="BE50" s="7" t="s">
        <v>8</v>
      </c>
      <c r="BF50" s="7" t="s">
        <v>6388</v>
      </c>
      <c r="BG50" s="7" t="s">
        <v>8</v>
      </c>
      <c r="BH50" s="7" t="s">
        <v>8</v>
      </c>
      <c r="BI50" s="7" t="s">
        <v>6389</v>
      </c>
      <c r="BJ50" s="7" t="s">
        <v>8</v>
      </c>
      <c r="BK50" s="7" t="s">
        <v>6390</v>
      </c>
      <c r="BL50" s="7" t="s">
        <v>6391</v>
      </c>
      <c r="BM50" s="7" t="s">
        <v>551</v>
      </c>
      <c r="BN50" s="7" t="s">
        <v>6392</v>
      </c>
      <c r="BO50" s="7" t="s">
        <v>8</v>
      </c>
      <c r="BP50" s="7" t="s">
        <v>5804</v>
      </c>
      <c r="BQ50" s="7" t="s">
        <v>168</v>
      </c>
      <c r="BR50" s="7" t="s">
        <v>37</v>
      </c>
      <c r="BS50" s="7" t="s">
        <v>403</v>
      </c>
      <c r="BT50" s="7" t="s">
        <v>6393</v>
      </c>
      <c r="BU50" s="8"/>
    </row>
    <row r="51" spans="1:73" ht="57">
      <c r="A51" s="9">
        <v>494</v>
      </c>
      <c r="B51" s="10">
        <v>44739</v>
      </c>
      <c r="C51" s="11" t="s">
        <v>6394</v>
      </c>
      <c r="D51" s="10">
        <v>19261</v>
      </c>
      <c r="E51" s="29">
        <f ca="1">_xlfn.DAYS(NOW(),Tabella3[[#This Row],[Data di Nascita]])/365.25</f>
        <v>72.859685147159482</v>
      </c>
      <c r="F51" s="11" t="s">
        <v>6395</v>
      </c>
      <c r="G51" s="11" t="s">
        <v>6396</v>
      </c>
      <c r="H51" s="11" t="s">
        <v>955</v>
      </c>
      <c r="I51" s="11" t="s">
        <v>6397</v>
      </c>
      <c r="J51" s="11" t="s">
        <v>428</v>
      </c>
      <c r="K51" s="17">
        <v>1</v>
      </c>
      <c r="L51" s="18"/>
      <c r="M51" s="18"/>
      <c r="N51" s="18"/>
      <c r="O51" s="18"/>
      <c r="P51" s="18"/>
      <c r="Q51" s="18"/>
      <c r="R51" s="18"/>
      <c r="S51" s="18"/>
      <c r="T51" s="11" t="s">
        <v>6398</v>
      </c>
      <c r="U51" s="18">
        <v>9</v>
      </c>
      <c r="V51" s="18">
        <v>1</v>
      </c>
      <c r="W51" s="18"/>
      <c r="X51" s="11" t="s">
        <v>25</v>
      </c>
      <c r="Y51" s="18"/>
      <c r="Z51" s="18"/>
      <c r="AA51" s="18"/>
      <c r="AB51" s="18">
        <v>1</v>
      </c>
      <c r="AC51" s="18"/>
      <c r="AD51" s="11" t="s">
        <v>6399</v>
      </c>
      <c r="AE51" s="18"/>
      <c r="AF51" s="18">
        <v>1</v>
      </c>
      <c r="AG51" s="18"/>
      <c r="AH51" s="18"/>
      <c r="AI51" s="18"/>
      <c r="AJ51" s="11" t="s">
        <v>28</v>
      </c>
      <c r="AK51" s="17">
        <v>1</v>
      </c>
      <c r="AL51" s="11" t="s">
        <v>25</v>
      </c>
      <c r="AM51" s="18"/>
      <c r="AN51" s="11" t="s">
        <v>25</v>
      </c>
      <c r="AO51" s="17">
        <v>1</v>
      </c>
      <c r="AP51" s="18"/>
      <c r="AQ51" s="11" t="s">
        <v>25</v>
      </c>
      <c r="AR51" s="17">
        <v>1</v>
      </c>
      <c r="AS51" s="11" t="s">
        <v>25</v>
      </c>
      <c r="AT51" s="17">
        <v>1</v>
      </c>
      <c r="AU51" s="18"/>
      <c r="AV51" s="11" t="s">
        <v>25</v>
      </c>
      <c r="AW51" s="18"/>
      <c r="AX51" s="18"/>
      <c r="AY51" s="11" t="s">
        <v>25</v>
      </c>
      <c r="AZ51" s="11" t="s">
        <v>6400</v>
      </c>
      <c r="BA51" s="11" t="s">
        <v>6401</v>
      </c>
      <c r="BB51" s="11" t="s">
        <v>28</v>
      </c>
      <c r="BC51" s="11"/>
      <c r="BD51" s="11" t="s">
        <v>6402</v>
      </c>
      <c r="BE51" s="11" t="s">
        <v>25</v>
      </c>
      <c r="BF51" s="11" t="s">
        <v>6403</v>
      </c>
      <c r="BG51" s="11" t="s">
        <v>25</v>
      </c>
      <c r="BH51" s="11" t="s">
        <v>25</v>
      </c>
      <c r="BI51" s="11" t="s">
        <v>25</v>
      </c>
      <c r="BJ51" s="11" t="s">
        <v>25</v>
      </c>
      <c r="BK51" s="11"/>
      <c r="BL51" s="11"/>
      <c r="BM51" s="11" t="s">
        <v>6404</v>
      </c>
      <c r="BN51" s="11" t="s">
        <v>25</v>
      </c>
      <c r="BO51" s="11" t="s">
        <v>25</v>
      </c>
      <c r="BP51" s="11" t="s">
        <v>4975</v>
      </c>
      <c r="BQ51" s="11" t="s">
        <v>55</v>
      </c>
      <c r="BR51" s="11" t="s">
        <v>404</v>
      </c>
      <c r="BS51" s="11" t="s">
        <v>248</v>
      </c>
      <c r="BT51" s="11"/>
      <c r="BU51" s="12"/>
    </row>
    <row r="52" spans="1:73" ht="85.5">
      <c r="A52" s="5">
        <v>497</v>
      </c>
      <c r="B52" s="6">
        <v>44742</v>
      </c>
      <c r="C52" s="7" t="s">
        <v>6405</v>
      </c>
      <c r="D52" s="6">
        <v>26656</v>
      </c>
      <c r="E52" s="29">
        <f ca="1">_xlfn.DAYS(NOW(),Tabella3[[#This Row],[Data di Nascita]])/365.25</f>
        <v>52.61327857631759</v>
      </c>
      <c r="F52" s="7" t="s">
        <v>6406</v>
      </c>
      <c r="G52" s="7" t="s">
        <v>6407</v>
      </c>
      <c r="H52" s="7" t="s">
        <v>6408</v>
      </c>
      <c r="I52" s="7" t="s">
        <v>427</v>
      </c>
      <c r="J52" s="7" t="s">
        <v>6409</v>
      </c>
      <c r="K52" s="17"/>
      <c r="L52" s="17"/>
      <c r="M52" s="17"/>
      <c r="N52" s="17"/>
      <c r="O52" s="17"/>
      <c r="P52" s="17"/>
      <c r="Q52" s="17"/>
      <c r="R52" s="17"/>
      <c r="S52" s="17"/>
      <c r="T52" s="7" t="s">
        <v>6410</v>
      </c>
      <c r="U52" s="17">
        <v>57</v>
      </c>
      <c r="V52" s="17">
        <v>1</v>
      </c>
      <c r="W52" s="17"/>
      <c r="X52" s="7" t="s">
        <v>5796</v>
      </c>
      <c r="Y52" s="17"/>
      <c r="Z52" s="17"/>
      <c r="AA52" s="17"/>
      <c r="AB52" s="17"/>
      <c r="AC52" s="17"/>
      <c r="AD52" s="7" t="s">
        <v>1755</v>
      </c>
      <c r="AE52" s="17"/>
      <c r="AF52" s="17">
        <v>1</v>
      </c>
      <c r="AG52" s="17"/>
      <c r="AH52" s="17"/>
      <c r="AI52" s="17"/>
      <c r="AJ52" s="7" t="s">
        <v>28</v>
      </c>
      <c r="AK52" s="17">
        <v>1</v>
      </c>
      <c r="AL52" s="7" t="s">
        <v>28</v>
      </c>
      <c r="AM52" s="17">
        <v>1</v>
      </c>
      <c r="AN52" s="7" t="s">
        <v>8</v>
      </c>
      <c r="AO52" s="17">
        <v>1</v>
      </c>
      <c r="AP52" s="17"/>
      <c r="AQ52" s="7" t="s">
        <v>859</v>
      </c>
      <c r="AR52" s="17"/>
      <c r="AS52" s="7" t="s">
        <v>8</v>
      </c>
      <c r="AT52" s="17">
        <v>1</v>
      </c>
      <c r="AU52" s="17"/>
      <c r="AV52" s="7" t="s">
        <v>8</v>
      </c>
      <c r="AW52" s="17"/>
      <c r="AX52" s="17"/>
      <c r="AY52" s="7"/>
      <c r="AZ52" s="7" t="s">
        <v>6411</v>
      </c>
      <c r="BA52" s="7" t="s">
        <v>8</v>
      </c>
      <c r="BB52" s="7"/>
      <c r="BC52" s="7"/>
      <c r="BD52" s="7" t="s">
        <v>6412</v>
      </c>
      <c r="BE52" s="7"/>
      <c r="BF52" s="7"/>
      <c r="BG52" s="7" t="s">
        <v>6413</v>
      </c>
      <c r="BH52" s="7" t="s">
        <v>6414</v>
      </c>
      <c r="BI52" s="7" t="s">
        <v>31</v>
      </c>
      <c r="BJ52" s="7" t="s">
        <v>25</v>
      </c>
      <c r="BK52" s="7" t="s">
        <v>8</v>
      </c>
      <c r="BL52" s="7"/>
      <c r="BM52" s="7" t="s">
        <v>2338</v>
      </c>
      <c r="BN52" s="7" t="s">
        <v>6415</v>
      </c>
      <c r="BO52" s="7" t="s">
        <v>8</v>
      </c>
      <c r="BP52" s="7" t="s">
        <v>5804</v>
      </c>
      <c r="BQ52" s="7" t="s">
        <v>507</v>
      </c>
      <c r="BR52" s="7" t="s">
        <v>37</v>
      </c>
      <c r="BS52" s="7" t="s">
        <v>405</v>
      </c>
      <c r="BT52" s="7" t="s">
        <v>6416</v>
      </c>
      <c r="BU52" s="8"/>
    </row>
    <row r="53" spans="1:73" ht="199.5">
      <c r="A53" s="9">
        <v>507</v>
      </c>
      <c r="B53" s="11"/>
      <c r="C53" s="11" t="s">
        <v>6417</v>
      </c>
      <c r="D53" s="10">
        <v>19204</v>
      </c>
      <c r="E53" s="29">
        <f ca="1">_xlfn.DAYS(NOW(),Tabella3[[#This Row],[Data di Nascita]])/365.25</f>
        <v>73.015742642026012</v>
      </c>
      <c r="F53" s="11" t="s">
        <v>6418</v>
      </c>
      <c r="G53" s="11" t="s">
        <v>6419</v>
      </c>
      <c r="H53" s="11" t="s">
        <v>724</v>
      </c>
      <c r="I53" s="11" t="s">
        <v>618</v>
      </c>
      <c r="J53" s="11" t="s">
        <v>1371</v>
      </c>
      <c r="K53" s="17">
        <v>1</v>
      </c>
      <c r="L53" s="18"/>
      <c r="M53" s="18"/>
      <c r="N53" s="18"/>
      <c r="O53" s="18"/>
      <c r="P53" s="18"/>
      <c r="Q53" s="18"/>
      <c r="R53" s="18"/>
      <c r="S53" s="18"/>
      <c r="T53" s="11" t="s">
        <v>5795</v>
      </c>
      <c r="U53" s="18"/>
      <c r="V53" s="18"/>
      <c r="W53" s="18">
        <v>1</v>
      </c>
      <c r="X53" s="11" t="s">
        <v>8</v>
      </c>
      <c r="Y53" s="18"/>
      <c r="Z53" s="18"/>
      <c r="AA53" s="18"/>
      <c r="AB53" s="18">
        <v>1</v>
      </c>
      <c r="AC53" s="18"/>
      <c r="AD53" s="11" t="s">
        <v>25</v>
      </c>
      <c r="AE53" s="18"/>
      <c r="AF53" s="18"/>
      <c r="AG53" s="18"/>
      <c r="AH53" s="18"/>
      <c r="AI53" s="18"/>
      <c r="AJ53" s="11" t="s">
        <v>28</v>
      </c>
      <c r="AK53" s="17">
        <v>1</v>
      </c>
      <c r="AL53" s="11" t="s">
        <v>8</v>
      </c>
      <c r="AM53" s="18"/>
      <c r="AN53" s="11" t="s">
        <v>8</v>
      </c>
      <c r="AO53" s="17">
        <v>1</v>
      </c>
      <c r="AP53" s="18"/>
      <c r="AQ53" s="11" t="s">
        <v>8</v>
      </c>
      <c r="AR53" s="17">
        <v>1</v>
      </c>
      <c r="AS53" s="11" t="s">
        <v>6420</v>
      </c>
      <c r="AT53" s="17">
        <v>1</v>
      </c>
      <c r="AU53" s="18"/>
      <c r="AV53" s="11" t="s">
        <v>8</v>
      </c>
      <c r="AW53" s="18"/>
      <c r="AX53" s="18"/>
      <c r="AY53" s="11" t="s">
        <v>8</v>
      </c>
      <c r="AZ53" s="11" t="s">
        <v>8</v>
      </c>
      <c r="BA53" s="11" t="s">
        <v>4016</v>
      </c>
      <c r="BB53" s="11" t="s">
        <v>8</v>
      </c>
      <c r="BC53" s="11" t="s">
        <v>8</v>
      </c>
      <c r="BD53" s="11" t="s">
        <v>6421</v>
      </c>
      <c r="BE53" s="11" t="s">
        <v>8</v>
      </c>
      <c r="BF53" s="11" t="s">
        <v>8</v>
      </c>
      <c r="BG53" s="11" t="s">
        <v>28</v>
      </c>
      <c r="BH53" s="11" t="s">
        <v>8</v>
      </c>
      <c r="BI53" s="11" t="s">
        <v>8</v>
      </c>
      <c r="BJ53" s="11" t="s">
        <v>8</v>
      </c>
      <c r="BK53" s="11" t="s">
        <v>8</v>
      </c>
      <c r="BL53" s="11" t="s">
        <v>8</v>
      </c>
      <c r="BM53" s="11" t="s">
        <v>8</v>
      </c>
      <c r="BN53" s="11" t="s">
        <v>6422</v>
      </c>
      <c r="BO53" s="11" t="s">
        <v>8</v>
      </c>
      <c r="BP53" s="11" t="s">
        <v>4975</v>
      </c>
      <c r="BQ53" s="11" t="s">
        <v>135</v>
      </c>
      <c r="BR53" s="11" t="s">
        <v>219</v>
      </c>
      <c r="BS53" s="11" t="s">
        <v>105</v>
      </c>
      <c r="BT53" s="11" t="s">
        <v>6423</v>
      </c>
      <c r="BU53" s="12" t="s">
        <v>6424</v>
      </c>
    </row>
    <row r="54" spans="1:73" ht="42.75">
      <c r="A54" s="5">
        <v>511</v>
      </c>
      <c r="B54" s="6">
        <v>44761</v>
      </c>
      <c r="C54" s="7" t="s">
        <v>6425</v>
      </c>
      <c r="D54" s="6">
        <v>31764</v>
      </c>
      <c r="E54" s="29">
        <f ca="1">_xlfn.DAYS(NOW(),Tabella3[[#This Row],[Data di Nascita]])/365.25</f>
        <v>38.628336755646821</v>
      </c>
      <c r="F54" s="7" t="s">
        <v>6426</v>
      </c>
      <c r="G54" s="7" t="s">
        <v>6427</v>
      </c>
      <c r="H54" s="7" t="s">
        <v>439</v>
      </c>
      <c r="I54" s="7" t="s">
        <v>618</v>
      </c>
      <c r="J54" s="7" t="s">
        <v>881</v>
      </c>
      <c r="K54" s="17"/>
      <c r="L54" s="17"/>
      <c r="M54" s="17"/>
      <c r="N54" s="17"/>
      <c r="O54" s="17"/>
      <c r="P54" s="17"/>
      <c r="Q54" s="17"/>
      <c r="R54" s="17"/>
      <c r="S54" s="17"/>
      <c r="T54" s="7" t="s">
        <v>25</v>
      </c>
      <c r="U54" s="17"/>
      <c r="V54" s="17"/>
      <c r="W54" s="17">
        <v>1</v>
      </c>
      <c r="X54" s="7" t="s">
        <v>25</v>
      </c>
      <c r="Y54" s="17"/>
      <c r="Z54" s="17"/>
      <c r="AA54" s="17"/>
      <c r="AB54" s="17">
        <v>1</v>
      </c>
      <c r="AC54" s="17"/>
      <c r="AD54" s="7" t="s">
        <v>25</v>
      </c>
      <c r="AE54" s="17"/>
      <c r="AF54" s="17"/>
      <c r="AG54" s="17"/>
      <c r="AH54" s="17"/>
      <c r="AI54" s="17"/>
      <c r="AJ54" s="7" t="s">
        <v>28</v>
      </c>
      <c r="AK54" s="17">
        <v>1</v>
      </c>
      <c r="AL54" s="7" t="s">
        <v>25</v>
      </c>
      <c r="AM54" s="17"/>
      <c r="AN54" s="7" t="s">
        <v>25</v>
      </c>
      <c r="AO54" s="17">
        <v>1</v>
      </c>
      <c r="AP54" s="17"/>
      <c r="AQ54" s="7" t="s">
        <v>25</v>
      </c>
      <c r="AR54" s="17">
        <v>1</v>
      </c>
      <c r="AS54" s="7" t="s">
        <v>25</v>
      </c>
      <c r="AT54" s="17">
        <v>1</v>
      </c>
      <c r="AU54" s="17"/>
      <c r="AV54" s="7" t="s">
        <v>25</v>
      </c>
      <c r="AW54" s="17"/>
      <c r="AX54" s="17"/>
      <c r="AY54" s="7" t="s">
        <v>25</v>
      </c>
      <c r="AZ54" s="7"/>
      <c r="BA54" s="7" t="s">
        <v>25</v>
      </c>
      <c r="BB54" s="7" t="s">
        <v>25</v>
      </c>
      <c r="BC54" s="7"/>
      <c r="BD54" s="7" t="s">
        <v>6428</v>
      </c>
      <c r="BE54" s="7" t="s">
        <v>25</v>
      </c>
      <c r="BF54" s="7"/>
      <c r="BG54" s="7" t="s">
        <v>6429</v>
      </c>
      <c r="BH54" s="7" t="s">
        <v>28</v>
      </c>
      <c r="BI54" s="7" t="s">
        <v>28</v>
      </c>
      <c r="BJ54" s="7" t="s">
        <v>1036</v>
      </c>
      <c r="BK54" s="7" t="s">
        <v>25</v>
      </c>
      <c r="BL54" s="7"/>
      <c r="BM54" s="7" t="s">
        <v>25</v>
      </c>
      <c r="BN54" s="7" t="s">
        <v>28</v>
      </c>
      <c r="BO54" s="7" t="s">
        <v>354</v>
      </c>
      <c r="BP54" s="7" t="s">
        <v>5804</v>
      </c>
      <c r="BQ54" s="7" t="s">
        <v>70</v>
      </c>
      <c r="BR54" s="7" t="s">
        <v>71</v>
      </c>
      <c r="BS54" s="7" t="s">
        <v>72</v>
      </c>
      <c r="BT54" s="7"/>
      <c r="BU54" s="8" t="s">
        <v>6430</v>
      </c>
    </row>
    <row r="55" spans="1:73" ht="71.25">
      <c r="A55" s="9">
        <v>516</v>
      </c>
      <c r="B55" s="10">
        <v>44763</v>
      </c>
      <c r="C55" s="11" t="s">
        <v>6431</v>
      </c>
      <c r="D55" s="10">
        <v>20222</v>
      </c>
      <c r="E55" s="29">
        <f ca="1">_xlfn.DAYS(NOW(),Tabella3[[#This Row],[Data di Nascita]])/365.25</f>
        <v>70.228610540725526</v>
      </c>
      <c r="F55" s="11" t="s">
        <v>6432</v>
      </c>
      <c r="G55" s="11" t="s">
        <v>6433</v>
      </c>
      <c r="H55" s="11" t="s">
        <v>880</v>
      </c>
      <c r="I55" s="11" t="s">
        <v>6434</v>
      </c>
      <c r="J55" s="11" t="s">
        <v>6435</v>
      </c>
      <c r="K55" s="17">
        <v>1</v>
      </c>
      <c r="L55" s="18"/>
      <c r="M55" s="18"/>
      <c r="N55" s="18"/>
      <c r="O55" s="18"/>
      <c r="P55" s="18">
        <v>1</v>
      </c>
      <c r="Q55" s="18"/>
      <c r="R55" s="18"/>
      <c r="S55" s="18"/>
      <c r="T55" s="11"/>
      <c r="U55" s="18"/>
      <c r="V55" s="18"/>
      <c r="W55" s="18"/>
      <c r="X55" s="11" t="s">
        <v>6436</v>
      </c>
      <c r="Y55" s="18"/>
      <c r="Z55" s="18"/>
      <c r="AA55" s="18"/>
      <c r="AB55" s="18"/>
      <c r="AC55" s="18"/>
      <c r="AD55" s="11" t="s">
        <v>25</v>
      </c>
      <c r="AE55" s="18"/>
      <c r="AF55" s="18"/>
      <c r="AG55" s="18"/>
      <c r="AH55" s="18"/>
      <c r="AI55" s="18"/>
      <c r="AJ55" s="11" t="s">
        <v>28</v>
      </c>
      <c r="AK55" s="17">
        <v>1</v>
      </c>
      <c r="AL55" s="11" t="s">
        <v>28</v>
      </c>
      <c r="AM55" s="17">
        <v>1</v>
      </c>
      <c r="AN55" s="11"/>
      <c r="AO55" s="17">
        <v>1</v>
      </c>
      <c r="AP55" s="18">
        <v>1</v>
      </c>
      <c r="AQ55" s="11"/>
      <c r="AR55" s="18"/>
      <c r="AS55" s="11" t="s">
        <v>25</v>
      </c>
      <c r="AT55" s="17">
        <v>1</v>
      </c>
      <c r="AU55" s="18"/>
      <c r="AV55" s="11" t="s">
        <v>25</v>
      </c>
      <c r="AW55" s="18"/>
      <c r="AX55" s="18"/>
      <c r="AY55" s="11" t="s">
        <v>25</v>
      </c>
      <c r="AZ55" s="11" t="s">
        <v>860</v>
      </c>
      <c r="BA55" s="11" t="s">
        <v>25</v>
      </c>
      <c r="BB55" s="11" t="s">
        <v>25</v>
      </c>
      <c r="BC55" s="11"/>
      <c r="BD55" s="11" t="s">
        <v>6437</v>
      </c>
      <c r="BE55" s="11" t="s">
        <v>25</v>
      </c>
      <c r="BF55" s="11"/>
      <c r="BG55" s="11" t="s">
        <v>6438</v>
      </c>
      <c r="BH55" s="11"/>
      <c r="BI55" s="11" t="s">
        <v>31</v>
      </c>
      <c r="BJ55" s="11" t="s">
        <v>25</v>
      </c>
      <c r="BK55" s="11" t="s">
        <v>25</v>
      </c>
      <c r="BL55" s="11" t="s">
        <v>25</v>
      </c>
      <c r="BM55" s="11" t="s">
        <v>25</v>
      </c>
      <c r="BN55" s="11" t="s">
        <v>25</v>
      </c>
      <c r="BO55" s="11" t="s">
        <v>25</v>
      </c>
      <c r="BP55" s="11" t="s">
        <v>4975</v>
      </c>
      <c r="BQ55" s="11" t="s">
        <v>168</v>
      </c>
      <c r="BR55" s="11" t="s">
        <v>389</v>
      </c>
      <c r="BS55" s="11" t="s">
        <v>595</v>
      </c>
      <c r="BT55" s="11"/>
      <c r="BU55" s="12" t="s">
        <v>6439</v>
      </c>
    </row>
    <row r="56" spans="1:73" ht="213.75">
      <c r="A56" s="5">
        <v>517</v>
      </c>
      <c r="B56" s="6">
        <v>44763</v>
      </c>
      <c r="C56" s="7" t="s">
        <v>6440</v>
      </c>
      <c r="D56" s="6">
        <v>18203</v>
      </c>
      <c r="E56" s="29">
        <f ca="1">_xlfn.DAYS(NOW(),Tabella3[[#This Row],[Data di Nascita]])/365.25</f>
        <v>75.756331279945243</v>
      </c>
      <c r="F56" s="7" t="s">
        <v>6441</v>
      </c>
      <c r="G56" s="7" t="s">
        <v>6442</v>
      </c>
      <c r="H56" s="7" t="s">
        <v>2142</v>
      </c>
      <c r="I56" s="7" t="s">
        <v>618</v>
      </c>
      <c r="J56" s="7" t="s">
        <v>6443</v>
      </c>
      <c r="K56" s="17">
        <v>1</v>
      </c>
      <c r="L56" s="17"/>
      <c r="M56" s="17"/>
      <c r="N56" s="18">
        <v>1</v>
      </c>
      <c r="O56" s="17"/>
      <c r="P56" s="17"/>
      <c r="Q56" s="17"/>
      <c r="R56" s="17"/>
      <c r="S56" s="17"/>
      <c r="T56" s="7" t="s">
        <v>6444</v>
      </c>
      <c r="U56" s="17">
        <v>19</v>
      </c>
      <c r="V56" s="17">
        <v>1</v>
      </c>
      <c r="W56" s="17"/>
      <c r="X56" s="7" t="s">
        <v>25</v>
      </c>
      <c r="Y56" s="17"/>
      <c r="Z56" s="17"/>
      <c r="AA56" s="17"/>
      <c r="AB56" s="17">
        <v>1</v>
      </c>
      <c r="AC56" s="17"/>
      <c r="AD56" s="7" t="s">
        <v>6445</v>
      </c>
      <c r="AE56" s="17"/>
      <c r="AF56" s="17"/>
      <c r="AG56" s="17">
        <v>1</v>
      </c>
      <c r="AH56" s="17"/>
      <c r="AI56" s="17"/>
      <c r="AJ56" s="7" t="s">
        <v>28</v>
      </c>
      <c r="AK56" s="17">
        <v>1</v>
      </c>
      <c r="AL56" s="7" t="s">
        <v>25</v>
      </c>
      <c r="AM56" s="17"/>
      <c r="AN56" s="7" t="s">
        <v>25</v>
      </c>
      <c r="AO56" s="17">
        <v>1</v>
      </c>
      <c r="AP56" s="17"/>
      <c r="AQ56" s="7" t="s">
        <v>6446</v>
      </c>
      <c r="AR56" s="17"/>
      <c r="AS56" s="7" t="s">
        <v>25</v>
      </c>
      <c r="AT56" s="17">
        <v>1</v>
      </c>
      <c r="AU56" s="17"/>
      <c r="AV56" s="7" t="s">
        <v>25</v>
      </c>
      <c r="AW56" s="17"/>
      <c r="AX56" s="17"/>
      <c r="AY56" s="7" t="s">
        <v>6447</v>
      </c>
      <c r="AZ56" s="7" t="s">
        <v>946</v>
      </c>
      <c r="BA56" s="7" t="s">
        <v>28</v>
      </c>
      <c r="BB56" s="7" t="s">
        <v>6448</v>
      </c>
      <c r="BC56" s="7"/>
      <c r="BD56" s="7" t="s">
        <v>6449</v>
      </c>
      <c r="BE56" s="7" t="s">
        <v>8</v>
      </c>
      <c r="BF56" s="7"/>
      <c r="BG56" s="7" t="s">
        <v>25</v>
      </c>
      <c r="BH56" s="7" t="s">
        <v>25</v>
      </c>
      <c r="BI56" s="7" t="s">
        <v>31</v>
      </c>
      <c r="BJ56" s="7" t="s">
        <v>25</v>
      </c>
      <c r="BK56" s="7" t="s">
        <v>25</v>
      </c>
      <c r="BL56" s="7"/>
      <c r="BM56" s="7" t="s">
        <v>2338</v>
      </c>
      <c r="BN56" s="7" t="s">
        <v>25</v>
      </c>
      <c r="BO56" s="7" t="s">
        <v>25</v>
      </c>
      <c r="BP56" s="7" t="s">
        <v>4975</v>
      </c>
      <c r="BQ56" s="7" t="s">
        <v>279</v>
      </c>
      <c r="BR56" s="7" t="s">
        <v>105</v>
      </c>
      <c r="BS56" s="7" t="s">
        <v>38</v>
      </c>
      <c r="BT56" s="7" t="s">
        <v>6450</v>
      </c>
      <c r="BU56" s="8"/>
    </row>
    <row r="57" spans="1:73" ht="128.25">
      <c r="A57" s="9">
        <v>533</v>
      </c>
      <c r="B57" s="10">
        <v>44783</v>
      </c>
      <c r="C57" s="11" t="s">
        <v>6451</v>
      </c>
      <c r="D57" s="10">
        <v>17270</v>
      </c>
      <c r="E57" s="29">
        <f ca="1">_xlfn.DAYS(NOW(),Tabella3[[#This Row],[Data di Nascita]])/365.25</f>
        <v>78.310746064339497</v>
      </c>
      <c r="F57" s="11" t="s">
        <v>6452</v>
      </c>
      <c r="G57" s="11" t="s">
        <v>6453</v>
      </c>
      <c r="H57" s="11" t="s">
        <v>439</v>
      </c>
      <c r="I57" s="11" t="s">
        <v>6454</v>
      </c>
      <c r="J57" s="11" t="s">
        <v>6455</v>
      </c>
      <c r="K57" s="17">
        <v>1</v>
      </c>
      <c r="L57" s="18"/>
      <c r="M57" s="18"/>
      <c r="N57" s="18"/>
      <c r="O57" s="18"/>
      <c r="P57" s="18"/>
      <c r="Q57" s="18"/>
      <c r="R57" s="18"/>
      <c r="S57" s="18"/>
      <c r="T57" s="11" t="s">
        <v>6456</v>
      </c>
      <c r="U57" s="18"/>
      <c r="V57" s="18">
        <v>1</v>
      </c>
      <c r="W57" s="18"/>
      <c r="X57" s="11" t="s">
        <v>382</v>
      </c>
      <c r="Y57" s="18"/>
      <c r="Z57" s="18"/>
      <c r="AA57" s="18"/>
      <c r="AB57" s="18">
        <v>1</v>
      </c>
      <c r="AC57" s="18"/>
      <c r="AD57" s="11" t="s">
        <v>6457</v>
      </c>
      <c r="AE57" s="18"/>
      <c r="AF57" s="18"/>
      <c r="AG57" s="18">
        <v>1</v>
      </c>
      <c r="AH57" s="18"/>
      <c r="AI57" s="18"/>
      <c r="AJ57" s="11" t="s">
        <v>382</v>
      </c>
      <c r="AK57" s="18"/>
      <c r="AL57" s="11" t="s">
        <v>6458</v>
      </c>
      <c r="AM57" s="17">
        <v>1</v>
      </c>
      <c r="AN57" s="11" t="s">
        <v>382</v>
      </c>
      <c r="AO57" s="17">
        <v>1</v>
      </c>
      <c r="AP57" s="18"/>
      <c r="AQ57" s="11" t="s">
        <v>382</v>
      </c>
      <c r="AR57" s="17">
        <v>1</v>
      </c>
      <c r="AS57" s="11" t="s">
        <v>382</v>
      </c>
      <c r="AT57" s="17">
        <v>1</v>
      </c>
      <c r="AU57" s="18"/>
      <c r="AV57" s="11" t="s">
        <v>382</v>
      </c>
      <c r="AW57" s="18"/>
      <c r="AX57" s="18"/>
      <c r="AY57" s="11" t="s">
        <v>382</v>
      </c>
      <c r="AZ57" s="11" t="s">
        <v>381</v>
      </c>
      <c r="BA57" s="11" t="s">
        <v>382</v>
      </c>
      <c r="BB57" s="11" t="s">
        <v>382</v>
      </c>
      <c r="BC57" s="11" t="s">
        <v>382</v>
      </c>
      <c r="BD57" s="11" t="s">
        <v>6459</v>
      </c>
      <c r="BE57" s="11" t="s">
        <v>382</v>
      </c>
      <c r="BF57" s="11" t="s">
        <v>382</v>
      </c>
      <c r="BG57" s="11" t="s">
        <v>382</v>
      </c>
      <c r="BH57" s="11" t="s">
        <v>382</v>
      </c>
      <c r="BI57" s="11" t="s">
        <v>382</v>
      </c>
      <c r="BJ57" s="11" t="s">
        <v>382</v>
      </c>
      <c r="BK57" s="11" t="s">
        <v>382</v>
      </c>
      <c r="BL57" s="11" t="s">
        <v>382</v>
      </c>
      <c r="BM57" s="11" t="s">
        <v>6460</v>
      </c>
      <c r="BN57" s="11" t="s">
        <v>6461</v>
      </c>
      <c r="BO57" s="11" t="s">
        <v>382</v>
      </c>
      <c r="BP57" s="11" t="s">
        <v>5804</v>
      </c>
      <c r="BQ57" s="11" t="s">
        <v>318</v>
      </c>
      <c r="BR57" s="11" t="s">
        <v>37</v>
      </c>
      <c r="BS57" s="11" t="s">
        <v>262</v>
      </c>
      <c r="BT57" s="11" t="s">
        <v>6462</v>
      </c>
      <c r="BU57" s="12"/>
    </row>
    <row r="58" spans="1:73" ht="85.5">
      <c r="A58" s="5">
        <v>554</v>
      </c>
      <c r="B58" s="6">
        <v>44820</v>
      </c>
      <c r="C58" s="7" t="s">
        <v>6463</v>
      </c>
      <c r="D58" s="6">
        <v>26444</v>
      </c>
      <c r="E58" s="29">
        <f ca="1">_xlfn.DAYS(NOW(),Tabella3[[#This Row],[Data di Nascita]])/365.25</f>
        <v>53.193702943189599</v>
      </c>
      <c r="F58" s="7" t="s">
        <v>6464</v>
      </c>
      <c r="G58" s="7" t="s">
        <v>6465</v>
      </c>
      <c r="H58" s="7" t="s">
        <v>6466</v>
      </c>
      <c r="I58" s="7" t="s">
        <v>1530</v>
      </c>
      <c r="J58" s="7" t="s">
        <v>6467</v>
      </c>
      <c r="K58" s="17"/>
      <c r="L58" s="17"/>
      <c r="M58" s="17">
        <v>1</v>
      </c>
      <c r="N58" s="18"/>
      <c r="O58" s="17"/>
      <c r="P58" s="17"/>
      <c r="Q58" s="17"/>
      <c r="R58" s="17"/>
      <c r="S58" s="17"/>
      <c r="T58" s="7" t="s">
        <v>6468</v>
      </c>
      <c r="U58" s="17">
        <v>20</v>
      </c>
      <c r="V58" s="17"/>
      <c r="W58" s="17"/>
      <c r="X58" s="7" t="s">
        <v>26</v>
      </c>
      <c r="Y58" s="17"/>
      <c r="Z58" s="17"/>
      <c r="AA58" s="17">
        <v>1</v>
      </c>
      <c r="AB58" s="17"/>
      <c r="AC58" s="17"/>
      <c r="AD58" s="7" t="s">
        <v>8</v>
      </c>
      <c r="AE58" s="17"/>
      <c r="AF58" s="17"/>
      <c r="AG58" s="17"/>
      <c r="AH58" s="17"/>
      <c r="AI58" s="17"/>
      <c r="AJ58" s="7" t="s">
        <v>28</v>
      </c>
      <c r="AK58" s="17">
        <v>1</v>
      </c>
      <c r="AL58" s="7" t="s">
        <v>8</v>
      </c>
      <c r="AM58" s="17"/>
      <c r="AN58" s="7" t="s">
        <v>8</v>
      </c>
      <c r="AO58" s="17">
        <v>1</v>
      </c>
      <c r="AP58" s="17"/>
      <c r="AQ58" s="7" t="s">
        <v>8</v>
      </c>
      <c r="AR58" s="17">
        <v>1</v>
      </c>
      <c r="AS58" s="7" t="s">
        <v>8</v>
      </c>
      <c r="AT58" s="17">
        <v>1</v>
      </c>
      <c r="AU58" s="17"/>
      <c r="AV58" s="7" t="s">
        <v>8</v>
      </c>
      <c r="AW58" s="17"/>
      <c r="AX58" s="17"/>
      <c r="AY58" s="7" t="s">
        <v>8</v>
      </c>
      <c r="AZ58" s="7" t="s">
        <v>8</v>
      </c>
      <c r="BA58" s="7" t="s">
        <v>28</v>
      </c>
      <c r="BB58" s="7" t="s">
        <v>8</v>
      </c>
      <c r="BC58" s="7" t="s">
        <v>6469</v>
      </c>
      <c r="BD58" s="7" t="s">
        <v>8</v>
      </c>
      <c r="BE58" s="7" t="s">
        <v>8</v>
      </c>
      <c r="BF58" s="7"/>
      <c r="BG58" s="7" t="s">
        <v>1066</v>
      </c>
      <c r="BH58" s="7" t="s">
        <v>8</v>
      </c>
      <c r="BI58" s="7" t="s">
        <v>8</v>
      </c>
      <c r="BJ58" s="7" t="s">
        <v>8</v>
      </c>
      <c r="BK58" s="7" t="s">
        <v>28</v>
      </c>
      <c r="BL58" s="7" t="s">
        <v>28</v>
      </c>
      <c r="BM58" s="7" t="s">
        <v>8</v>
      </c>
      <c r="BN58" s="7" t="s">
        <v>8</v>
      </c>
      <c r="BO58" s="7" t="s">
        <v>28</v>
      </c>
      <c r="BP58" s="7" t="s">
        <v>5804</v>
      </c>
      <c r="BQ58" s="7" t="s">
        <v>1571</v>
      </c>
      <c r="BR58" s="7" t="s">
        <v>998</v>
      </c>
      <c r="BS58" s="7" t="s">
        <v>184</v>
      </c>
      <c r="BT58" s="7" t="s">
        <v>6470</v>
      </c>
      <c r="BU58" s="8" t="s">
        <v>1008</v>
      </c>
    </row>
    <row r="59" spans="1:73" ht="128.25">
      <c r="A59" s="9">
        <v>556</v>
      </c>
      <c r="B59" s="10">
        <v>44823</v>
      </c>
      <c r="C59" s="11" t="s">
        <v>6471</v>
      </c>
      <c r="D59" s="10">
        <v>18709</v>
      </c>
      <c r="E59" s="29">
        <f ca="1">_xlfn.DAYS(NOW(),Tabella3[[#This Row],[Data di Nascita]])/365.25</f>
        <v>74.370978781656405</v>
      </c>
      <c r="F59" s="11" t="s">
        <v>6472</v>
      </c>
      <c r="G59" s="11" t="s">
        <v>6473</v>
      </c>
      <c r="H59" s="11" t="s">
        <v>6474</v>
      </c>
      <c r="I59" s="11" t="s">
        <v>618</v>
      </c>
      <c r="J59" s="11" t="s">
        <v>6475</v>
      </c>
      <c r="K59" s="17">
        <v>1</v>
      </c>
      <c r="L59" s="18"/>
      <c r="M59" s="18">
        <v>1</v>
      </c>
      <c r="N59" s="18"/>
      <c r="O59" s="18"/>
      <c r="P59" s="18"/>
      <c r="Q59" s="18"/>
      <c r="R59" s="18"/>
      <c r="S59" s="18"/>
      <c r="T59" s="11" t="s">
        <v>6476</v>
      </c>
      <c r="U59" s="18">
        <v>80</v>
      </c>
      <c r="V59" s="18">
        <v>1</v>
      </c>
      <c r="W59" s="18"/>
      <c r="X59" s="11" t="s">
        <v>26</v>
      </c>
      <c r="Y59" s="18"/>
      <c r="Z59" s="18"/>
      <c r="AA59" s="18">
        <v>1</v>
      </c>
      <c r="AB59" s="18"/>
      <c r="AC59" s="18"/>
      <c r="AD59" s="11" t="s">
        <v>8</v>
      </c>
      <c r="AE59" s="18"/>
      <c r="AF59" s="18"/>
      <c r="AG59" s="18"/>
      <c r="AH59" s="18"/>
      <c r="AI59" s="18"/>
      <c r="AJ59" s="11" t="s">
        <v>28</v>
      </c>
      <c r="AK59" s="17">
        <v>1</v>
      </c>
      <c r="AL59" s="11" t="s">
        <v>8</v>
      </c>
      <c r="AM59" s="18"/>
      <c r="AN59" s="11" t="s">
        <v>8</v>
      </c>
      <c r="AO59" s="17">
        <v>1</v>
      </c>
      <c r="AP59" s="18"/>
      <c r="AQ59" s="11" t="s">
        <v>8</v>
      </c>
      <c r="AR59" s="17">
        <v>1</v>
      </c>
      <c r="AS59" s="11" t="s">
        <v>28</v>
      </c>
      <c r="AT59" s="18"/>
      <c r="AU59" s="18"/>
      <c r="AV59" s="11" t="s">
        <v>28</v>
      </c>
      <c r="AW59" s="18"/>
      <c r="AX59" s="18">
        <v>1</v>
      </c>
      <c r="AY59" s="11" t="s">
        <v>28</v>
      </c>
      <c r="AZ59" s="11" t="s">
        <v>28</v>
      </c>
      <c r="BA59" s="11" t="s">
        <v>8</v>
      </c>
      <c r="BB59" s="11" t="s">
        <v>6322</v>
      </c>
      <c r="BC59" s="11"/>
      <c r="BD59" s="11" t="s">
        <v>6477</v>
      </c>
      <c r="BE59" s="11" t="s">
        <v>8</v>
      </c>
      <c r="BF59" s="11" t="s">
        <v>6478</v>
      </c>
      <c r="BG59" s="11" t="s">
        <v>8</v>
      </c>
      <c r="BH59" s="11" t="s">
        <v>8</v>
      </c>
      <c r="BI59" s="11" t="s">
        <v>908</v>
      </c>
      <c r="BJ59" s="11" t="s">
        <v>8</v>
      </c>
      <c r="BK59" s="11" t="s">
        <v>8</v>
      </c>
      <c r="BL59" s="11" t="s">
        <v>8</v>
      </c>
      <c r="BM59" s="11" t="s">
        <v>8</v>
      </c>
      <c r="BN59" s="11" t="s">
        <v>8</v>
      </c>
      <c r="BO59" s="11" t="s">
        <v>28</v>
      </c>
      <c r="BP59" s="11" t="s">
        <v>4975</v>
      </c>
      <c r="BQ59" s="11" t="s">
        <v>120</v>
      </c>
      <c r="BR59" s="11" t="s">
        <v>153</v>
      </c>
      <c r="BS59" s="11" t="s">
        <v>122</v>
      </c>
      <c r="BT59" s="11" t="s">
        <v>6479</v>
      </c>
      <c r="BU59" s="12" t="s">
        <v>6480</v>
      </c>
    </row>
    <row r="60" spans="1:73" ht="142.5">
      <c r="A60" s="5">
        <v>557</v>
      </c>
      <c r="B60" s="6">
        <v>44824</v>
      </c>
      <c r="C60" s="7" t="s">
        <v>6481</v>
      </c>
      <c r="D60" s="6">
        <v>17054</v>
      </c>
      <c r="E60" s="29">
        <f ca="1">_xlfn.DAYS(NOW(),Tabella3[[#This Row],[Data di Nascita]])/365.25</f>
        <v>78.902121834360031</v>
      </c>
      <c r="F60" s="7" t="s">
        <v>6482</v>
      </c>
      <c r="G60" s="7" t="s">
        <v>6483</v>
      </c>
      <c r="H60" s="7" t="s">
        <v>6484</v>
      </c>
      <c r="I60" s="7" t="s">
        <v>6485</v>
      </c>
      <c r="J60" s="7" t="s">
        <v>6486</v>
      </c>
      <c r="K60" s="17">
        <v>1</v>
      </c>
      <c r="L60" s="17"/>
      <c r="M60" s="17"/>
      <c r="N60" s="18">
        <v>1</v>
      </c>
      <c r="O60" s="17"/>
      <c r="P60" s="17"/>
      <c r="Q60" s="17"/>
      <c r="R60" s="17"/>
      <c r="S60" s="17"/>
      <c r="T60" s="7" t="s">
        <v>995</v>
      </c>
      <c r="U60" s="17"/>
      <c r="V60" s="17">
        <v>1</v>
      </c>
      <c r="W60" s="17"/>
      <c r="X60" s="7"/>
      <c r="Y60" s="17">
        <v>1</v>
      </c>
      <c r="Z60" s="17"/>
      <c r="AA60" s="17"/>
      <c r="AB60" s="17"/>
      <c r="AC60" s="17"/>
      <c r="AD60" s="7" t="s">
        <v>8</v>
      </c>
      <c r="AE60" s="17"/>
      <c r="AF60" s="17"/>
      <c r="AG60" s="17"/>
      <c r="AH60" s="17"/>
      <c r="AI60" s="17"/>
      <c r="AJ60" s="7"/>
      <c r="AK60" s="17"/>
      <c r="AL60" s="7" t="s">
        <v>28</v>
      </c>
      <c r="AM60" s="17">
        <v>1</v>
      </c>
      <c r="AN60" s="7" t="s">
        <v>8</v>
      </c>
      <c r="AO60" s="17">
        <v>1</v>
      </c>
      <c r="AP60" s="17"/>
      <c r="AQ60" s="7" t="s">
        <v>8</v>
      </c>
      <c r="AR60" s="17">
        <v>1</v>
      </c>
      <c r="AS60" s="7" t="s">
        <v>8</v>
      </c>
      <c r="AT60" s="17">
        <v>1</v>
      </c>
      <c r="AU60" s="17"/>
      <c r="AV60" s="7" t="s">
        <v>8</v>
      </c>
      <c r="AW60" s="17"/>
      <c r="AX60" s="17"/>
      <c r="AY60" s="7" t="s">
        <v>8</v>
      </c>
      <c r="AZ60" s="7" t="s">
        <v>8</v>
      </c>
      <c r="BA60" s="7" t="s">
        <v>28</v>
      </c>
      <c r="BB60" s="7" t="s">
        <v>6487</v>
      </c>
      <c r="BC60" s="7"/>
      <c r="BD60" s="7" t="s">
        <v>6488</v>
      </c>
      <c r="BE60" s="7" t="s">
        <v>6489</v>
      </c>
      <c r="BF60" s="7"/>
      <c r="BG60" s="7" t="s">
        <v>8</v>
      </c>
      <c r="BH60" s="7" t="s">
        <v>28</v>
      </c>
      <c r="BI60" s="7" t="s">
        <v>6490</v>
      </c>
      <c r="BJ60" s="7" t="s">
        <v>8</v>
      </c>
      <c r="BK60" s="7" t="s">
        <v>28</v>
      </c>
      <c r="BL60" s="7" t="s">
        <v>8</v>
      </c>
      <c r="BM60" s="7" t="s">
        <v>8</v>
      </c>
      <c r="BN60" s="7" t="s">
        <v>28</v>
      </c>
      <c r="BO60" s="7" t="s">
        <v>6491</v>
      </c>
      <c r="BP60" s="7" t="s">
        <v>5804</v>
      </c>
      <c r="BQ60" s="7" t="s">
        <v>6492</v>
      </c>
      <c r="BR60" s="7" t="s">
        <v>963</v>
      </c>
      <c r="BS60" s="7" t="s">
        <v>122</v>
      </c>
      <c r="BT60" s="7" t="s">
        <v>6493</v>
      </c>
      <c r="BU60" s="8"/>
    </row>
    <row r="61" spans="1:73" ht="128.25">
      <c r="A61" s="9">
        <v>565</v>
      </c>
      <c r="B61" s="10">
        <v>44831</v>
      </c>
      <c r="C61" s="11" t="s">
        <v>6494</v>
      </c>
      <c r="D61" s="10">
        <v>18457</v>
      </c>
      <c r="E61" s="29">
        <f ca="1">_xlfn.DAYS(NOW(),Tabella3[[#This Row],[Data di Nascita]])/365.25</f>
        <v>75.060917180013689</v>
      </c>
      <c r="F61" s="11" t="s">
        <v>6495</v>
      </c>
      <c r="G61" s="11" t="s">
        <v>6496</v>
      </c>
      <c r="H61" s="11" t="s">
        <v>955</v>
      </c>
      <c r="I61" s="11" t="s">
        <v>618</v>
      </c>
      <c r="J61" s="11" t="s">
        <v>2058</v>
      </c>
      <c r="K61" s="17">
        <v>1</v>
      </c>
      <c r="L61" s="18"/>
      <c r="M61" s="18"/>
      <c r="N61" s="18"/>
      <c r="O61" s="18"/>
      <c r="P61" s="18"/>
      <c r="Q61" s="18"/>
      <c r="R61" s="18"/>
      <c r="S61" s="18"/>
      <c r="T61" s="11" t="s">
        <v>995</v>
      </c>
      <c r="U61" s="18"/>
      <c r="V61" s="18">
        <v>1</v>
      </c>
      <c r="W61" s="18"/>
      <c r="X61" s="11" t="s">
        <v>8</v>
      </c>
      <c r="Y61" s="18"/>
      <c r="Z61" s="18"/>
      <c r="AA61" s="18"/>
      <c r="AB61" s="18">
        <v>1</v>
      </c>
      <c r="AC61" s="18"/>
      <c r="AD61" s="11" t="s">
        <v>8</v>
      </c>
      <c r="AE61" s="18"/>
      <c r="AF61" s="18"/>
      <c r="AG61" s="18"/>
      <c r="AH61" s="18"/>
      <c r="AI61" s="18"/>
      <c r="AJ61" s="11" t="s">
        <v>28</v>
      </c>
      <c r="AK61" s="17">
        <v>1</v>
      </c>
      <c r="AL61" s="11" t="s">
        <v>28</v>
      </c>
      <c r="AM61" s="17">
        <v>1</v>
      </c>
      <c r="AN61" s="11" t="s">
        <v>8</v>
      </c>
      <c r="AO61" s="17">
        <v>1</v>
      </c>
      <c r="AP61" s="18"/>
      <c r="AQ61" s="11" t="s">
        <v>8</v>
      </c>
      <c r="AR61" s="17">
        <v>1</v>
      </c>
      <c r="AS61" s="11" t="s">
        <v>28</v>
      </c>
      <c r="AT61" s="18"/>
      <c r="AU61" s="18"/>
      <c r="AV61" s="11" t="s">
        <v>8</v>
      </c>
      <c r="AW61" s="18"/>
      <c r="AX61" s="18"/>
      <c r="AY61" s="11" t="s">
        <v>8</v>
      </c>
      <c r="AZ61" s="11" t="s">
        <v>47</v>
      </c>
      <c r="BA61" s="11" t="s">
        <v>8</v>
      </c>
      <c r="BB61" s="11" t="s">
        <v>8</v>
      </c>
      <c r="BC61" s="11" t="s">
        <v>8</v>
      </c>
      <c r="BD61" s="11" t="s">
        <v>6497</v>
      </c>
      <c r="BE61" s="11" t="s">
        <v>8</v>
      </c>
      <c r="BF61" s="11"/>
      <c r="BG61" s="11" t="s">
        <v>6498</v>
      </c>
      <c r="BH61" s="11" t="s">
        <v>6499</v>
      </c>
      <c r="BI61" s="11" t="s">
        <v>908</v>
      </c>
      <c r="BJ61" s="11" t="s">
        <v>8</v>
      </c>
      <c r="BK61" s="11" t="s">
        <v>28</v>
      </c>
      <c r="BL61" s="11" t="s">
        <v>8</v>
      </c>
      <c r="BM61" s="11" t="s">
        <v>8</v>
      </c>
      <c r="BN61" s="11" t="s">
        <v>8</v>
      </c>
      <c r="BO61" s="11" t="s">
        <v>8</v>
      </c>
      <c r="BP61" s="11" t="s">
        <v>5804</v>
      </c>
      <c r="BQ61" s="11" t="s">
        <v>55</v>
      </c>
      <c r="BR61" s="11" t="s">
        <v>86</v>
      </c>
      <c r="BS61" s="11" t="s">
        <v>122</v>
      </c>
      <c r="BT61" s="11" t="s">
        <v>1007</v>
      </c>
      <c r="BU61" s="12" t="s">
        <v>6480</v>
      </c>
    </row>
    <row r="62" spans="1:73" ht="156.75">
      <c r="A62" s="5">
        <v>601</v>
      </c>
      <c r="B62" s="6">
        <v>44855</v>
      </c>
      <c r="C62" s="7" t="s">
        <v>6500</v>
      </c>
      <c r="D62" s="6">
        <v>26073</v>
      </c>
      <c r="E62" s="29">
        <f ca="1">_xlfn.DAYS(NOW(),Tabella3[[#This Row],[Data di Nascita]])/365.25</f>
        <v>54.209445585215605</v>
      </c>
      <c r="F62" s="7" t="s">
        <v>6501</v>
      </c>
      <c r="G62" s="7" t="s">
        <v>6502</v>
      </c>
      <c r="H62" s="7" t="s">
        <v>6503</v>
      </c>
      <c r="I62" s="7" t="s">
        <v>618</v>
      </c>
      <c r="J62" s="7" t="s">
        <v>1804</v>
      </c>
      <c r="K62" s="17"/>
      <c r="L62" s="17"/>
      <c r="M62" s="18">
        <v>1</v>
      </c>
      <c r="N62" s="17"/>
      <c r="O62" s="17"/>
      <c r="P62" s="17"/>
      <c r="Q62" s="17"/>
      <c r="R62" s="17"/>
      <c r="S62" s="17"/>
      <c r="T62" s="7" t="s">
        <v>6504</v>
      </c>
      <c r="U62" s="17"/>
      <c r="V62" s="17">
        <v>1</v>
      </c>
      <c r="W62" s="17"/>
      <c r="X62" s="7" t="s">
        <v>2009</v>
      </c>
      <c r="Y62" s="17"/>
      <c r="Z62" s="17"/>
      <c r="AA62" s="17">
        <v>1</v>
      </c>
      <c r="AB62" s="17"/>
      <c r="AC62" s="17"/>
      <c r="AD62" s="7" t="s">
        <v>6505</v>
      </c>
      <c r="AE62" s="17"/>
      <c r="AF62" s="17">
        <v>1</v>
      </c>
      <c r="AG62" s="17"/>
      <c r="AH62" s="17"/>
      <c r="AI62" s="17">
        <v>1</v>
      </c>
      <c r="AJ62" s="7" t="s">
        <v>28</v>
      </c>
      <c r="AK62" s="17">
        <v>1</v>
      </c>
      <c r="AL62" s="7" t="s">
        <v>28</v>
      </c>
      <c r="AM62" s="17">
        <v>1</v>
      </c>
      <c r="AN62" s="7" t="s">
        <v>6506</v>
      </c>
      <c r="AO62" s="17">
        <v>0</v>
      </c>
      <c r="AP62" s="17"/>
      <c r="AQ62" s="7" t="s">
        <v>8</v>
      </c>
      <c r="AR62" s="17">
        <v>1</v>
      </c>
      <c r="AS62" s="7" t="s">
        <v>28</v>
      </c>
      <c r="AT62" s="17"/>
      <c r="AU62" s="17"/>
      <c r="AV62" s="7" t="s">
        <v>8</v>
      </c>
      <c r="AW62" s="17"/>
      <c r="AX62" s="17"/>
      <c r="AY62" s="7" t="s">
        <v>8</v>
      </c>
      <c r="AZ62" s="7" t="s">
        <v>8</v>
      </c>
      <c r="BA62" s="7" t="s">
        <v>28</v>
      </c>
      <c r="BB62" s="7" t="s">
        <v>6507</v>
      </c>
      <c r="BC62" s="7" t="s">
        <v>6508</v>
      </c>
      <c r="BD62" s="7"/>
      <c r="BE62" s="7" t="s">
        <v>8</v>
      </c>
      <c r="BF62" s="7"/>
      <c r="BG62" s="7" t="s">
        <v>6509</v>
      </c>
      <c r="BH62" s="7" t="s">
        <v>8</v>
      </c>
      <c r="BI62" s="7" t="s">
        <v>908</v>
      </c>
      <c r="BJ62" s="7" t="s">
        <v>8</v>
      </c>
      <c r="BK62" s="7" t="s">
        <v>6510</v>
      </c>
      <c r="BL62" s="7" t="s">
        <v>28</v>
      </c>
      <c r="BM62" s="7" t="s">
        <v>1111</v>
      </c>
      <c r="BN62" s="7" t="s">
        <v>28</v>
      </c>
      <c r="BO62" s="7" t="s">
        <v>28</v>
      </c>
      <c r="BP62" s="7" t="s">
        <v>4975</v>
      </c>
      <c r="BQ62" s="7" t="s">
        <v>3366</v>
      </c>
      <c r="BR62" s="7" t="s">
        <v>219</v>
      </c>
      <c r="BS62" s="7" t="s">
        <v>122</v>
      </c>
      <c r="BT62" s="7" t="s">
        <v>1112</v>
      </c>
      <c r="BU62" s="8" t="s">
        <v>6511</v>
      </c>
    </row>
    <row r="63" spans="1:73" ht="114">
      <c r="A63" s="9">
        <v>615</v>
      </c>
      <c r="B63" s="10">
        <v>44860</v>
      </c>
      <c r="C63" s="11" t="s">
        <v>6512</v>
      </c>
      <c r="D63" s="10">
        <v>29325</v>
      </c>
      <c r="E63" s="29">
        <f ca="1">_xlfn.DAYS(NOW(),Tabella3[[#This Row],[Data di Nascita]])/365.25</f>
        <v>45.30595482546201</v>
      </c>
      <c r="F63" s="11" t="s">
        <v>6513</v>
      </c>
      <c r="G63" s="11" t="s">
        <v>6514</v>
      </c>
      <c r="H63" s="11" t="s">
        <v>1928</v>
      </c>
      <c r="I63" s="11" t="s">
        <v>618</v>
      </c>
      <c r="J63" s="11"/>
      <c r="K63" s="18"/>
      <c r="L63" s="18"/>
      <c r="M63" s="18"/>
      <c r="N63" s="18"/>
      <c r="O63" s="18"/>
      <c r="P63" s="18"/>
      <c r="Q63" s="18"/>
      <c r="R63" s="18"/>
      <c r="S63" s="18"/>
      <c r="T63" s="11" t="s">
        <v>6515</v>
      </c>
      <c r="U63" s="18"/>
      <c r="V63" s="18">
        <v>10</v>
      </c>
      <c r="W63" s="18"/>
      <c r="X63" s="11" t="s">
        <v>26</v>
      </c>
      <c r="Y63" s="18"/>
      <c r="Z63" s="18"/>
      <c r="AA63" s="18">
        <v>1</v>
      </c>
      <c r="AB63" s="18"/>
      <c r="AC63" s="18"/>
      <c r="AD63" s="11" t="s">
        <v>6322</v>
      </c>
      <c r="AE63" s="18"/>
      <c r="AF63" s="18"/>
      <c r="AG63" s="18"/>
      <c r="AH63" s="18"/>
      <c r="AI63" s="18"/>
      <c r="AJ63" s="11" t="s">
        <v>28</v>
      </c>
      <c r="AK63" s="17">
        <v>1</v>
      </c>
      <c r="AL63" s="11" t="s">
        <v>8</v>
      </c>
      <c r="AM63" s="18"/>
      <c r="AN63" s="11" t="s">
        <v>6516</v>
      </c>
      <c r="AO63" s="17">
        <v>1</v>
      </c>
      <c r="AP63" s="18"/>
      <c r="AQ63" s="11" t="s">
        <v>8</v>
      </c>
      <c r="AR63" s="17">
        <v>1</v>
      </c>
      <c r="AS63" s="11" t="s">
        <v>28</v>
      </c>
      <c r="AT63" s="18"/>
      <c r="AU63" s="18"/>
      <c r="AV63" s="11" t="s">
        <v>8</v>
      </c>
      <c r="AW63" s="18"/>
      <c r="AX63" s="18"/>
      <c r="AY63" s="11" t="s">
        <v>8</v>
      </c>
      <c r="AZ63" s="11" t="s">
        <v>8</v>
      </c>
      <c r="BA63" s="11" t="s">
        <v>6517</v>
      </c>
      <c r="BB63" s="11" t="s">
        <v>8</v>
      </c>
      <c r="BC63" s="11" t="s">
        <v>6518</v>
      </c>
      <c r="BD63" s="11" t="s">
        <v>6519</v>
      </c>
      <c r="BE63" s="11" t="s">
        <v>8</v>
      </c>
      <c r="BF63" s="11" t="s">
        <v>6520</v>
      </c>
      <c r="BG63" s="11" t="s">
        <v>8</v>
      </c>
      <c r="BH63" s="11" t="s">
        <v>6521</v>
      </c>
      <c r="BI63" s="11" t="s">
        <v>31</v>
      </c>
      <c r="BJ63" s="11" t="s">
        <v>8</v>
      </c>
      <c r="BK63" s="11" t="s">
        <v>8</v>
      </c>
      <c r="BL63" s="11" t="s">
        <v>28</v>
      </c>
      <c r="BM63" s="11" t="s">
        <v>28</v>
      </c>
      <c r="BN63" s="11" t="s">
        <v>354</v>
      </c>
      <c r="BO63" s="11" t="s">
        <v>28</v>
      </c>
      <c r="BP63" s="11" t="s">
        <v>4975</v>
      </c>
      <c r="BQ63" s="11" t="s">
        <v>70</v>
      </c>
      <c r="BR63" s="11" t="s">
        <v>389</v>
      </c>
      <c r="BS63" s="11" t="s">
        <v>1181</v>
      </c>
      <c r="BT63" s="11" t="s">
        <v>6522</v>
      </c>
      <c r="BU63" s="12"/>
    </row>
    <row r="64" spans="1:73" ht="384.75">
      <c r="A64" s="5">
        <v>620</v>
      </c>
      <c r="B64" s="6">
        <v>44862</v>
      </c>
      <c r="C64" s="7" t="s">
        <v>6523</v>
      </c>
      <c r="D64" s="6">
        <v>20817</v>
      </c>
      <c r="E64" s="29">
        <f ca="1">_xlfn.DAYS(NOW(),Tabella3[[#This Row],[Data di Nascita]])/365.25</f>
        <v>68.599589322381931</v>
      </c>
      <c r="F64" s="7" t="s">
        <v>6524</v>
      </c>
      <c r="G64" s="7" t="s">
        <v>6525</v>
      </c>
      <c r="H64" s="7" t="s">
        <v>6526</v>
      </c>
      <c r="I64" s="7" t="s">
        <v>618</v>
      </c>
      <c r="J64" s="7" t="s">
        <v>6527</v>
      </c>
      <c r="K64" s="17"/>
      <c r="L64" s="17"/>
      <c r="M64" s="17"/>
      <c r="N64" s="17"/>
      <c r="O64" s="17"/>
      <c r="P64" s="17"/>
      <c r="Q64" s="17"/>
      <c r="R64" s="17"/>
      <c r="S64" s="17"/>
      <c r="T64" s="7" t="s">
        <v>8</v>
      </c>
      <c r="U64" s="17"/>
      <c r="V64" s="17"/>
      <c r="W64" s="17">
        <v>1</v>
      </c>
      <c r="X64" s="7" t="s">
        <v>8</v>
      </c>
      <c r="Y64" s="17"/>
      <c r="Z64" s="17"/>
      <c r="AA64" s="17"/>
      <c r="AB64" s="17">
        <v>1</v>
      </c>
      <c r="AC64" s="17"/>
      <c r="AD64" s="7" t="s">
        <v>6322</v>
      </c>
      <c r="AE64" s="17"/>
      <c r="AF64" s="17"/>
      <c r="AG64" s="17"/>
      <c r="AH64" s="17"/>
      <c r="AI64" s="17"/>
      <c r="AJ64" s="7" t="s">
        <v>7</v>
      </c>
      <c r="AK64" s="17">
        <v>1</v>
      </c>
      <c r="AL64" s="7" t="s">
        <v>785</v>
      </c>
      <c r="AM64" s="17">
        <v>1</v>
      </c>
      <c r="AN64" s="7" t="s">
        <v>8</v>
      </c>
      <c r="AO64" s="17">
        <v>1</v>
      </c>
      <c r="AP64" s="17"/>
      <c r="AQ64" s="7" t="s">
        <v>8</v>
      </c>
      <c r="AR64" s="17">
        <v>1</v>
      </c>
      <c r="AS64" s="7" t="s">
        <v>7</v>
      </c>
      <c r="AT64" s="17"/>
      <c r="AU64" s="17"/>
      <c r="AV64" s="7" t="s">
        <v>8</v>
      </c>
      <c r="AW64" s="17"/>
      <c r="AX64" s="17"/>
      <c r="AY64" s="7" t="s">
        <v>8</v>
      </c>
      <c r="AZ64" s="7" t="s">
        <v>7</v>
      </c>
      <c r="BA64" s="7" t="s">
        <v>8</v>
      </c>
      <c r="BB64" s="7" t="s">
        <v>3334</v>
      </c>
      <c r="BC64" s="7" t="s">
        <v>6528</v>
      </c>
      <c r="BD64" s="7" t="s">
        <v>6529</v>
      </c>
      <c r="BE64" s="7" t="s">
        <v>8</v>
      </c>
      <c r="BF64" s="7"/>
      <c r="BG64" s="7" t="s">
        <v>8</v>
      </c>
      <c r="BH64" s="7" t="s">
        <v>8</v>
      </c>
      <c r="BI64" s="7" t="s">
        <v>8</v>
      </c>
      <c r="BJ64" s="7" t="s">
        <v>6530</v>
      </c>
      <c r="BK64" s="7" t="s">
        <v>6531</v>
      </c>
      <c r="BL64" s="7" t="s">
        <v>8</v>
      </c>
      <c r="BM64" s="7" t="s">
        <v>466</v>
      </c>
      <c r="BN64" s="7" t="s">
        <v>8</v>
      </c>
      <c r="BO64" s="7" t="s">
        <v>8</v>
      </c>
      <c r="BP64" s="7" t="s">
        <v>5804</v>
      </c>
      <c r="BQ64" s="7" t="s">
        <v>431</v>
      </c>
      <c r="BR64" s="7" t="s">
        <v>105</v>
      </c>
      <c r="BS64" s="7" t="s">
        <v>1444</v>
      </c>
      <c r="BT64" s="7" t="s">
        <v>6532</v>
      </c>
      <c r="BU64" s="8" t="s">
        <v>6533</v>
      </c>
    </row>
    <row r="65" spans="1:73" ht="128.25">
      <c r="A65" s="9">
        <v>630</v>
      </c>
      <c r="B65" s="10">
        <v>44873</v>
      </c>
      <c r="C65" s="11" t="s">
        <v>6534</v>
      </c>
      <c r="D65" s="10">
        <v>17937</v>
      </c>
      <c r="E65" s="29">
        <f ca="1">_xlfn.DAYS(NOW(),Tabella3[[#This Row],[Data di Nascita]])/365.25</f>
        <v>76.484599589322386</v>
      </c>
      <c r="F65" s="11" t="s">
        <v>6535</v>
      </c>
      <c r="G65" s="11" t="s">
        <v>6536</v>
      </c>
      <c r="H65" s="11" t="s">
        <v>955</v>
      </c>
      <c r="I65" s="11" t="s">
        <v>1044</v>
      </c>
      <c r="J65" s="11" t="s">
        <v>6537</v>
      </c>
      <c r="K65" s="18"/>
      <c r="L65" s="18"/>
      <c r="M65" s="18">
        <v>1</v>
      </c>
      <c r="N65" s="18"/>
      <c r="O65" s="18"/>
      <c r="P65" s="18"/>
      <c r="Q65" s="18"/>
      <c r="R65" s="18"/>
      <c r="S65" s="18"/>
      <c r="T65" s="11" t="s">
        <v>6538</v>
      </c>
      <c r="U65" s="18">
        <v>20</v>
      </c>
      <c r="V65" s="18"/>
      <c r="W65" s="18"/>
      <c r="X65" s="11" t="s">
        <v>26</v>
      </c>
      <c r="Y65" s="18"/>
      <c r="Z65" s="18"/>
      <c r="AA65" s="18">
        <v>1</v>
      </c>
      <c r="AB65" s="18"/>
      <c r="AC65" s="18"/>
      <c r="AD65" s="11" t="s">
        <v>8</v>
      </c>
      <c r="AE65" s="18"/>
      <c r="AF65" s="18"/>
      <c r="AG65" s="18"/>
      <c r="AH65" s="18"/>
      <c r="AI65" s="18"/>
      <c r="AJ65" s="11" t="s">
        <v>28</v>
      </c>
      <c r="AK65" s="17">
        <v>1</v>
      </c>
      <c r="AL65" s="11" t="s">
        <v>8</v>
      </c>
      <c r="AM65" s="18"/>
      <c r="AN65" s="11" t="s">
        <v>8</v>
      </c>
      <c r="AO65" s="17">
        <v>1</v>
      </c>
      <c r="AP65" s="18"/>
      <c r="AQ65" s="11" t="s">
        <v>8</v>
      </c>
      <c r="AR65" s="17">
        <v>1</v>
      </c>
      <c r="AS65" s="11" t="s">
        <v>8</v>
      </c>
      <c r="AT65" s="17">
        <v>1</v>
      </c>
      <c r="AU65" s="18"/>
      <c r="AV65" s="11" t="s">
        <v>8</v>
      </c>
      <c r="AW65" s="18"/>
      <c r="AX65" s="18"/>
      <c r="AY65" s="11" t="s">
        <v>8</v>
      </c>
      <c r="AZ65" s="11" t="s">
        <v>47</v>
      </c>
      <c r="BA65" s="11" t="s">
        <v>8</v>
      </c>
      <c r="BB65" s="11"/>
      <c r="BC65" s="11"/>
      <c r="BD65" s="11" t="s">
        <v>6539</v>
      </c>
      <c r="BE65" s="11" t="s">
        <v>8</v>
      </c>
      <c r="BF65" s="11"/>
      <c r="BG65" s="11" t="s">
        <v>6540</v>
      </c>
      <c r="BH65" s="11" t="s">
        <v>8</v>
      </c>
      <c r="BI65" s="11" t="s">
        <v>8</v>
      </c>
      <c r="BJ65" s="11" t="s">
        <v>8</v>
      </c>
      <c r="BK65" s="11" t="s">
        <v>8</v>
      </c>
      <c r="BL65" s="11" t="s">
        <v>8</v>
      </c>
      <c r="BM65" s="11" t="s">
        <v>1173</v>
      </c>
      <c r="BN65" s="11" t="s">
        <v>8</v>
      </c>
      <c r="BO65" s="11" t="s">
        <v>8</v>
      </c>
      <c r="BP65" s="11" t="s">
        <v>4975</v>
      </c>
      <c r="BQ65" s="11" t="s">
        <v>431</v>
      </c>
      <c r="BR65" s="11" t="s">
        <v>37</v>
      </c>
      <c r="BS65" s="11" t="s">
        <v>184</v>
      </c>
      <c r="BT65" s="11" t="s">
        <v>6541</v>
      </c>
      <c r="BU65" s="12"/>
    </row>
    <row r="66" spans="1:73" ht="156.75">
      <c r="A66" s="5">
        <v>643</v>
      </c>
      <c r="B66" s="6">
        <v>44883</v>
      </c>
      <c r="C66" s="7" t="s">
        <v>6542</v>
      </c>
      <c r="D66" s="6">
        <v>25931</v>
      </c>
      <c r="E66" s="29">
        <f ca="1">_xlfn.DAYS(NOW(),Tabella3[[#This Row],[Data di Nascita]])/365.25</f>
        <v>54.598220396988367</v>
      </c>
      <c r="F66" s="7" t="s">
        <v>6543</v>
      </c>
      <c r="G66" s="7" t="s">
        <v>6544</v>
      </c>
      <c r="H66" s="7" t="s">
        <v>6545</v>
      </c>
      <c r="I66" s="7" t="s">
        <v>618</v>
      </c>
      <c r="J66" s="7" t="s">
        <v>881</v>
      </c>
      <c r="K66" s="17"/>
      <c r="L66" s="17"/>
      <c r="M66" s="17"/>
      <c r="N66" s="17"/>
      <c r="O66" s="17"/>
      <c r="P66" s="17"/>
      <c r="Q66" s="17"/>
      <c r="R66" s="17"/>
      <c r="S66" s="17"/>
      <c r="T66" s="7" t="s">
        <v>25</v>
      </c>
      <c r="U66" s="17"/>
      <c r="V66" s="17"/>
      <c r="W66" s="17">
        <v>1</v>
      </c>
      <c r="X66" s="7" t="s">
        <v>25</v>
      </c>
      <c r="Y66" s="17"/>
      <c r="Z66" s="17"/>
      <c r="AA66" s="17"/>
      <c r="AB66" s="17">
        <v>1</v>
      </c>
      <c r="AC66" s="17"/>
      <c r="AD66" s="7" t="s">
        <v>6546</v>
      </c>
      <c r="AE66" s="17"/>
      <c r="AF66" s="17">
        <v>1</v>
      </c>
      <c r="AG66" s="17"/>
      <c r="AH66" s="17"/>
      <c r="AI66" s="17"/>
      <c r="AJ66" s="7" t="s">
        <v>28</v>
      </c>
      <c r="AK66" s="17">
        <v>1</v>
      </c>
      <c r="AL66" s="7" t="s">
        <v>25</v>
      </c>
      <c r="AM66" s="17"/>
      <c r="AN66" s="7" t="s">
        <v>6547</v>
      </c>
      <c r="AO66" s="17">
        <v>1</v>
      </c>
      <c r="AP66" s="17"/>
      <c r="AQ66" s="7" t="s">
        <v>25</v>
      </c>
      <c r="AR66" s="17">
        <v>1</v>
      </c>
      <c r="AS66" s="7" t="s">
        <v>25</v>
      </c>
      <c r="AT66" s="17">
        <v>1</v>
      </c>
      <c r="AU66" s="17"/>
      <c r="AV66" s="7" t="s">
        <v>25</v>
      </c>
      <c r="AW66" s="17"/>
      <c r="AX66" s="17"/>
      <c r="AY66" s="7" t="s">
        <v>25</v>
      </c>
      <c r="AZ66" s="7" t="s">
        <v>8</v>
      </c>
      <c r="BA66" s="7" t="s">
        <v>1036</v>
      </c>
      <c r="BB66" s="7" t="s">
        <v>25</v>
      </c>
      <c r="BC66" s="7"/>
      <c r="BD66" s="7"/>
      <c r="BE66" s="7" t="s">
        <v>25</v>
      </c>
      <c r="BF66" s="7"/>
      <c r="BG66" s="7" t="s">
        <v>25</v>
      </c>
      <c r="BH66" s="7" t="s">
        <v>28</v>
      </c>
      <c r="BI66" s="7" t="s">
        <v>6548</v>
      </c>
      <c r="BJ66" s="7" t="s">
        <v>25</v>
      </c>
      <c r="BK66" s="7" t="s">
        <v>25</v>
      </c>
      <c r="BL66" s="7" t="s">
        <v>1036</v>
      </c>
      <c r="BM66" s="7" t="s">
        <v>28</v>
      </c>
      <c r="BN66" s="7" t="s">
        <v>28</v>
      </c>
      <c r="BO66" s="7" t="s">
        <v>25</v>
      </c>
      <c r="BP66" s="7" t="s">
        <v>4975</v>
      </c>
      <c r="BQ66" s="7" t="s">
        <v>318</v>
      </c>
      <c r="BR66" s="7" t="s">
        <v>105</v>
      </c>
      <c r="BS66" s="7" t="s">
        <v>122</v>
      </c>
      <c r="BT66" s="7" t="s">
        <v>6549</v>
      </c>
      <c r="BU66" s="8" t="s">
        <v>6550</v>
      </c>
    </row>
    <row r="67" spans="1:73" ht="171">
      <c r="A67" s="9">
        <v>653</v>
      </c>
      <c r="B67" s="10">
        <v>44895</v>
      </c>
      <c r="C67" s="11" t="s">
        <v>6551</v>
      </c>
      <c r="D67" s="10">
        <v>26999</v>
      </c>
      <c r="E67" s="29">
        <f ca="1">_xlfn.DAYS(NOW(),Tabella3[[#This Row],[Data di Nascita]])/365.25</f>
        <v>51.674195756331279</v>
      </c>
      <c r="F67" s="11" t="s">
        <v>6552</v>
      </c>
      <c r="G67" s="11" t="s">
        <v>6553</v>
      </c>
      <c r="H67" s="11" t="s">
        <v>1989</v>
      </c>
      <c r="I67" s="11" t="s">
        <v>618</v>
      </c>
      <c r="J67" s="11" t="s">
        <v>1359</v>
      </c>
      <c r="K67" s="18"/>
      <c r="L67" s="17">
        <v>1</v>
      </c>
      <c r="M67" s="18"/>
      <c r="N67" s="18"/>
      <c r="O67" s="18"/>
      <c r="P67" s="18"/>
      <c r="Q67" s="18"/>
      <c r="R67" s="18"/>
      <c r="S67" s="18"/>
      <c r="T67" s="11" t="s">
        <v>6554</v>
      </c>
      <c r="U67" s="18">
        <v>30</v>
      </c>
      <c r="V67" s="18"/>
      <c r="W67" s="18"/>
      <c r="X67" s="11" t="s">
        <v>8</v>
      </c>
      <c r="Y67" s="18"/>
      <c r="Z67" s="18"/>
      <c r="AA67" s="18"/>
      <c r="AB67" s="18">
        <v>1</v>
      </c>
      <c r="AC67" s="18"/>
      <c r="AD67" s="11" t="s">
        <v>8</v>
      </c>
      <c r="AE67" s="18"/>
      <c r="AF67" s="18"/>
      <c r="AG67" s="18"/>
      <c r="AH67" s="18"/>
      <c r="AI67" s="18"/>
      <c r="AJ67" s="11" t="s">
        <v>28</v>
      </c>
      <c r="AK67" s="17">
        <v>1</v>
      </c>
      <c r="AL67" s="11" t="s">
        <v>28</v>
      </c>
      <c r="AM67" s="17">
        <v>1</v>
      </c>
      <c r="AN67" s="11" t="s">
        <v>8</v>
      </c>
      <c r="AO67" s="17">
        <v>1</v>
      </c>
      <c r="AP67" s="18"/>
      <c r="AQ67" s="11" t="s">
        <v>8</v>
      </c>
      <c r="AR67" s="17">
        <v>1</v>
      </c>
      <c r="AS67" s="11" t="s">
        <v>28</v>
      </c>
      <c r="AT67" s="18"/>
      <c r="AU67" s="18"/>
      <c r="AV67" s="11" t="s">
        <v>8</v>
      </c>
      <c r="AW67" s="18"/>
      <c r="AX67" s="18"/>
      <c r="AY67" s="11" t="s">
        <v>8</v>
      </c>
      <c r="AZ67" s="11" t="s">
        <v>6555</v>
      </c>
      <c r="BA67" s="11" t="s">
        <v>8</v>
      </c>
      <c r="BB67" s="11" t="s">
        <v>8</v>
      </c>
      <c r="BC67" s="11"/>
      <c r="BD67" s="11"/>
      <c r="BE67" s="11" t="s">
        <v>6556</v>
      </c>
      <c r="BF67" s="11"/>
      <c r="BG67" s="11" t="s">
        <v>972</v>
      </c>
      <c r="BH67" s="11" t="s">
        <v>28</v>
      </c>
      <c r="BI67" s="11" t="s">
        <v>28</v>
      </c>
      <c r="BJ67" s="11" t="s">
        <v>8</v>
      </c>
      <c r="BK67" s="11" t="s">
        <v>28</v>
      </c>
      <c r="BL67" s="11" t="s">
        <v>8</v>
      </c>
      <c r="BM67" s="11" t="s">
        <v>28</v>
      </c>
      <c r="BN67" s="11" t="s">
        <v>8</v>
      </c>
      <c r="BO67" s="11" t="s">
        <v>8</v>
      </c>
      <c r="BP67" s="11" t="s">
        <v>4975</v>
      </c>
      <c r="BQ67" s="11" t="s">
        <v>14</v>
      </c>
      <c r="BR67" s="11" t="s">
        <v>37</v>
      </c>
      <c r="BS67" s="11" t="s">
        <v>169</v>
      </c>
      <c r="BT67" s="11" t="s">
        <v>6557</v>
      </c>
      <c r="BU67" s="12" t="s">
        <v>325</v>
      </c>
    </row>
    <row r="68" spans="1:73" ht="213.75">
      <c r="A68" s="5">
        <v>666</v>
      </c>
      <c r="B68" s="6">
        <v>44901</v>
      </c>
      <c r="C68" s="7" t="s">
        <v>6558</v>
      </c>
      <c r="D68" s="6">
        <v>24130</v>
      </c>
      <c r="E68" s="29">
        <f ca="1">_xlfn.DAYS(NOW(),Tabella3[[#This Row],[Data di Nascita]])/365.25</f>
        <v>59.529089664613281</v>
      </c>
      <c r="F68" s="7"/>
      <c r="G68" s="7" t="s">
        <v>6559</v>
      </c>
      <c r="H68" s="7" t="s">
        <v>1989</v>
      </c>
      <c r="I68" s="7" t="s">
        <v>817</v>
      </c>
      <c r="J68" s="7" t="s">
        <v>6560</v>
      </c>
      <c r="K68" s="17"/>
      <c r="L68" s="17"/>
      <c r="M68" s="17"/>
      <c r="N68" s="17"/>
      <c r="O68" s="17"/>
      <c r="P68" s="17"/>
      <c r="Q68" s="17"/>
      <c r="R68" s="17"/>
      <c r="S68" s="17"/>
      <c r="T68" s="7" t="s">
        <v>8</v>
      </c>
      <c r="U68" s="17"/>
      <c r="V68" s="17"/>
      <c r="W68" s="17">
        <v>1</v>
      </c>
      <c r="X68" s="7" t="s">
        <v>8</v>
      </c>
      <c r="Y68" s="17"/>
      <c r="Z68" s="17"/>
      <c r="AA68" s="17"/>
      <c r="AB68" s="17">
        <v>1</v>
      </c>
      <c r="AC68" s="17"/>
      <c r="AD68" s="7" t="s">
        <v>8</v>
      </c>
      <c r="AE68" s="17"/>
      <c r="AF68" s="17"/>
      <c r="AG68" s="17"/>
      <c r="AH68" s="17"/>
      <c r="AI68" s="17"/>
      <c r="AJ68" s="7" t="s">
        <v>28</v>
      </c>
      <c r="AK68" s="17">
        <v>1</v>
      </c>
      <c r="AL68" s="7" t="s">
        <v>8</v>
      </c>
      <c r="AM68" s="17"/>
      <c r="AN68" s="7" t="s">
        <v>8</v>
      </c>
      <c r="AO68" s="17">
        <v>1</v>
      </c>
      <c r="AP68" s="17"/>
      <c r="AQ68" s="7" t="s">
        <v>8</v>
      </c>
      <c r="AR68" s="17">
        <v>1</v>
      </c>
      <c r="AS68" s="7" t="s">
        <v>8</v>
      </c>
      <c r="AT68" s="17">
        <v>1</v>
      </c>
      <c r="AU68" s="17"/>
      <c r="AV68" s="7" t="s">
        <v>8</v>
      </c>
      <c r="AW68" s="17"/>
      <c r="AX68" s="17"/>
      <c r="AY68" s="7" t="s">
        <v>8</v>
      </c>
      <c r="AZ68" s="7" t="s">
        <v>8</v>
      </c>
      <c r="BA68" s="7" t="s">
        <v>8</v>
      </c>
      <c r="BB68" s="7" t="s">
        <v>8</v>
      </c>
      <c r="BC68" s="7"/>
      <c r="BD68" s="7" t="s">
        <v>6561</v>
      </c>
      <c r="BE68" s="7" t="s">
        <v>8</v>
      </c>
      <c r="BF68" s="7"/>
      <c r="BG68" s="7" t="s">
        <v>8</v>
      </c>
      <c r="BH68" s="7" t="s">
        <v>8</v>
      </c>
      <c r="BI68" s="7" t="s">
        <v>8</v>
      </c>
      <c r="BJ68" s="7" t="s">
        <v>8</v>
      </c>
      <c r="BK68" s="7" t="s">
        <v>8</v>
      </c>
      <c r="BL68" s="7" t="s">
        <v>1307</v>
      </c>
      <c r="BM68" s="7" t="s">
        <v>28</v>
      </c>
      <c r="BN68" s="7" t="s">
        <v>8</v>
      </c>
      <c r="BO68" s="7" t="s">
        <v>8</v>
      </c>
      <c r="BP68" s="7" t="s">
        <v>5804</v>
      </c>
      <c r="BQ68" s="7" t="s">
        <v>1571</v>
      </c>
      <c r="BR68" s="7" t="s">
        <v>355</v>
      </c>
      <c r="BS68" s="7" t="s">
        <v>122</v>
      </c>
      <c r="BT68" s="7" t="s">
        <v>6562</v>
      </c>
      <c r="BU68" s="8" t="s">
        <v>6563</v>
      </c>
    </row>
    <row r="69" spans="1:73" ht="99.75">
      <c r="A69" s="9">
        <v>686</v>
      </c>
      <c r="B69" s="10">
        <v>44917</v>
      </c>
      <c r="C69" s="11" t="s">
        <v>6564</v>
      </c>
      <c r="D69" s="10">
        <v>15109</v>
      </c>
      <c r="E69" s="29">
        <f ca="1">_xlfn.DAYS(NOW(),Tabella3[[#This Row],[Data di Nascita]])/365.25</f>
        <v>84.227241615331963</v>
      </c>
      <c r="F69" s="11"/>
      <c r="G69" s="11" t="s">
        <v>6565</v>
      </c>
      <c r="H69" s="11" t="s">
        <v>126</v>
      </c>
      <c r="I69" s="11" t="s">
        <v>427</v>
      </c>
      <c r="J69" s="11" t="s">
        <v>6566</v>
      </c>
      <c r="K69" s="17">
        <v>1</v>
      </c>
      <c r="L69" s="18"/>
      <c r="M69" s="18"/>
      <c r="N69" s="18">
        <v>1</v>
      </c>
      <c r="O69" s="18"/>
      <c r="P69" s="18"/>
      <c r="Q69" s="18"/>
      <c r="R69" s="18"/>
      <c r="S69" s="18"/>
      <c r="T69" s="11" t="s">
        <v>2023</v>
      </c>
      <c r="U69" s="18">
        <v>30</v>
      </c>
      <c r="V69" s="18">
        <v>1</v>
      </c>
      <c r="W69" s="18"/>
      <c r="X69" s="11" t="s">
        <v>8</v>
      </c>
      <c r="Y69" s="18"/>
      <c r="Z69" s="18"/>
      <c r="AA69" s="18"/>
      <c r="AB69" s="18">
        <v>1</v>
      </c>
      <c r="AC69" s="18"/>
      <c r="AD69" s="11" t="s">
        <v>8</v>
      </c>
      <c r="AE69" s="18"/>
      <c r="AF69" s="18"/>
      <c r="AG69" s="18"/>
      <c r="AH69" s="18"/>
      <c r="AI69" s="18"/>
      <c r="AJ69" s="11" t="s">
        <v>28</v>
      </c>
      <c r="AK69" s="17">
        <v>1</v>
      </c>
      <c r="AL69" s="11" t="s">
        <v>28</v>
      </c>
      <c r="AM69" s="17">
        <v>1</v>
      </c>
      <c r="AN69" s="11" t="s">
        <v>8</v>
      </c>
      <c r="AO69" s="17">
        <v>1</v>
      </c>
      <c r="AP69" s="18"/>
      <c r="AQ69" s="11" t="s">
        <v>28</v>
      </c>
      <c r="AR69" s="17">
        <v>1</v>
      </c>
      <c r="AS69" s="11" t="s">
        <v>8</v>
      </c>
      <c r="AT69" s="17">
        <v>1</v>
      </c>
      <c r="AU69" s="18"/>
      <c r="AV69" s="11" t="s">
        <v>8</v>
      </c>
      <c r="AW69" s="18"/>
      <c r="AX69" s="18"/>
      <c r="AY69" s="11" t="s">
        <v>8</v>
      </c>
      <c r="AZ69" s="11" t="s">
        <v>28</v>
      </c>
      <c r="BA69" s="11" t="s">
        <v>8</v>
      </c>
      <c r="BB69" s="11" t="s">
        <v>8</v>
      </c>
      <c r="BC69" s="11"/>
      <c r="BD69" s="11" t="s">
        <v>6567</v>
      </c>
      <c r="BE69" s="11" t="s">
        <v>8</v>
      </c>
      <c r="BF69" s="11" t="s">
        <v>6568</v>
      </c>
      <c r="BG69" s="11" t="s">
        <v>8</v>
      </c>
      <c r="BH69" s="11" t="s">
        <v>8</v>
      </c>
      <c r="BI69" s="11" t="s">
        <v>8</v>
      </c>
      <c r="BJ69" s="11" t="s">
        <v>8</v>
      </c>
      <c r="BK69" s="11" t="s">
        <v>8</v>
      </c>
      <c r="BL69" s="11" t="s">
        <v>8</v>
      </c>
      <c r="BM69" s="11" t="s">
        <v>28</v>
      </c>
      <c r="BN69" s="11" t="s">
        <v>8</v>
      </c>
      <c r="BO69" s="11" t="s">
        <v>8</v>
      </c>
      <c r="BP69" s="11" t="s">
        <v>5804</v>
      </c>
      <c r="BQ69" s="11" t="s">
        <v>183</v>
      </c>
      <c r="BR69" s="11" t="s">
        <v>71</v>
      </c>
      <c r="BS69" s="11" t="s">
        <v>204</v>
      </c>
      <c r="BT69" s="11" t="s">
        <v>1210</v>
      </c>
      <c r="BU69" s="12" t="s">
        <v>6569</v>
      </c>
    </row>
    <row r="70" spans="1:73" ht="213.75">
      <c r="A70" s="5">
        <v>692</v>
      </c>
      <c r="B70" s="6">
        <v>44935</v>
      </c>
      <c r="C70" s="7" t="s">
        <v>6570</v>
      </c>
      <c r="D70" s="6">
        <v>23940</v>
      </c>
      <c r="E70" s="29">
        <f ca="1">_xlfn.DAYS(NOW(),Tabella3[[#This Row],[Data di Nascita]])/365.25</f>
        <v>60.049281314168375</v>
      </c>
      <c r="F70" s="7" t="s">
        <v>6571</v>
      </c>
      <c r="G70" s="7" t="s">
        <v>6572</v>
      </c>
      <c r="H70" s="7" t="s">
        <v>6573</v>
      </c>
      <c r="I70" s="7" t="s">
        <v>1346</v>
      </c>
      <c r="J70" s="7" t="s">
        <v>6574</v>
      </c>
      <c r="K70" s="17"/>
      <c r="L70" s="17"/>
      <c r="M70" s="17"/>
      <c r="N70" s="17"/>
      <c r="O70" s="17"/>
      <c r="P70" s="17"/>
      <c r="Q70" s="17"/>
      <c r="R70" s="17"/>
      <c r="S70" s="17"/>
      <c r="T70" s="7" t="s">
        <v>309</v>
      </c>
      <c r="U70" s="17"/>
      <c r="V70" s="17"/>
      <c r="W70" s="17">
        <v>1</v>
      </c>
      <c r="X70" s="7" t="s">
        <v>6575</v>
      </c>
      <c r="Y70" s="17"/>
      <c r="Z70" s="17"/>
      <c r="AA70" s="17">
        <v>1</v>
      </c>
      <c r="AB70" s="17"/>
      <c r="AC70" s="17"/>
      <c r="AD70" s="7" t="s">
        <v>25</v>
      </c>
      <c r="AE70" s="17"/>
      <c r="AF70" s="17"/>
      <c r="AG70" s="17"/>
      <c r="AH70" s="17"/>
      <c r="AI70" s="17"/>
      <c r="AJ70" s="7" t="s">
        <v>194</v>
      </c>
      <c r="AK70" s="17">
        <v>1</v>
      </c>
      <c r="AL70" s="7" t="s">
        <v>194</v>
      </c>
      <c r="AM70" s="17">
        <v>1</v>
      </c>
      <c r="AN70" s="7" t="s">
        <v>195</v>
      </c>
      <c r="AO70" s="17">
        <v>1</v>
      </c>
      <c r="AP70" s="17"/>
      <c r="AQ70" s="7" t="s">
        <v>195</v>
      </c>
      <c r="AR70" s="17">
        <v>1</v>
      </c>
      <c r="AS70" s="7" t="s">
        <v>309</v>
      </c>
      <c r="AT70" s="17">
        <v>1</v>
      </c>
      <c r="AU70" s="17"/>
      <c r="AV70" s="7" t="s">
        <v>309</v>
      </c>
      <c r="AW70" s="17"/>
      <c r="AX70" s="17"/>
      <c r="AY70" s="7" t="s">
        <v>6576</v>
      </c>
      <c r="AZ70" s="7" t="s">
        <v>47</v>
      </c>
      <c r="BA70" s="7" t="s">
        <v>3163</v>
      </c>
      <c r="BB70" s="7"/>
      <c r="BC70" s="7"/>
      <c r="BD70" s="7"/>
      <c r="BE70" s="7" t="s">
        <v>309</v>
      </c>
      <c r="BF70" s="7"/>
      <c r="BG70" s="7" t="s">
        <v>6577</v>
      </c>
      <c r="BH70" s="7" t="s">
        <v>6578</v>
      </c>
      <c r="BI70" s="7" t="s">
        <v>6579</v>
      </c>
      <c r="BJ70" s="7" t="s">
        <v>309</v>
      </c>
      <c r="BK70" s="7" t="s">
        <v>3448</v>
      </c>
      <c r="BL70" s="7" t="s">
        <v>3448</v>
      </c>
      <c r="BM70" s="7" t="s">
        <v>1759</v>
      </c>
      <c r="BN70" s="7" t="s">
        <v>6580</v>
      </c>
      <c r="BO70" s="7" t="s">
        <v>309</v>
      </c>
      <c r="BP70" s="7" t="s">
        <v>5804</v>
      </c>
      <c r="BQ70" s="7" t="s">
        <v>6581</v>
      </c>
      <c r="BR70" s="7" t="s">
        <v>355</v>
      </c>
      <c r="BS70" s="7" t="s">
        <v>569</v>
      </c>
      <c r="BT70" s="7" t="s">
        <v>6582</v>
      </c>
      <c r="BU70" s="8" t="s">
        <v>6583</v>
      </c>
    </row>
    <row r="71" spans="1:73" ht="71.25">
      <c r="A71" s="9">
        <v>696</v>
      </c>
      <c r="B71" s="11"/>
      <c r="C71" s="11" t="s">
        <v>6584</v>
      </c>
      <c r="D71" s="10">
        <v>19240</v>
      </c>
      <c r="E71" s="29">
        <f ca="1">_xlfn.DAYS(NOW(),Tabella3[[#This Row],[Data di Nascita]])/365.25</f>
        <v>72.917180013689247</v>
      </c>
      <c r="F71" s="11"/>
      <c r="G71" s="11" t="s">
        <v>6585</v>
      </c>
      <c r="H71" s="11" t="s">
        <v>880</v>
      </c>
      <c r="I71" s="11" t="s">
        <v>1215</v>
      </c>
      <c r="J71" s="11" t="s">
        <v>241</v>
      </c>
      <c r="K71" s="18"/>
      <c r="L71" s="18"/>
      <c r="M71" s="18"/>
      <c r="N71" s="18"/>
      <c r="O71" s="17">
        <v>1</v>
      </c>
      <c r="P71" s="18"/>
      <c r="Q71" s="18"/>
      <c r="R71" s="18"/>
      <c r="S71" s="18"/>
      <c r="T71" s="11" t="s">
        <v>6586</v>
      </c>
      <c r="U71" s="18">
        <v>15</v>
      </c>
      <c r="V71" s="18">
        <v>1</v>
      </c>
      <c r="W71" s="18"/>
      <c r="X71" s="11" t="s">
        <v>8</v>
      </c>
      <c r="Y71" s="18"/>
      <c r="Z71" s="18"/>
      <c r="AA71" s="18"/>
      <c r="AB71" s="18">
        <v>1</v>
      </c>
      <c r="AC71" s="18"/>
      <c r="AD71" s="11" t="s">
        <v>6587</v>
      </c>
      <c r="AE71" s="18"/>
      <c r="AF71" s="18">
        <v>1</v>
      </c>
      <c r="AG71" s="18"/>
      <c r="AH71" s="18"/>
      <c r="AI71" s="18"/>
      <c r="AJ71" s="11" t="s">
        <v>8</v>
      </c>
      <c r="AK71" s="18"/>
      <c r="AL71" s="11" t="s">
        <v>8</v>
      </c>
      <c r="AM71" s="18"/>
      <c r="AN71" s="11" t="s">
        <v>8</v>
      </c>
      <c r="AO71" s="17">
        <v>1</v>
      </c>
      <c r="AP71" s="18"/>
      <c r="AQ71" s="11" t="s">
        <v>8</v>
      </c>
      <c r="AR71" s="17">
        <v>1</v>
      </c>
      <c r="AS71" s="11" t="s">
        <v>8</v>
      </c>
      <c r="AT71" s="17">
        <v>1</v>
      </c>
      <c r="AU71" s="18"/>
      <c r="AV71" s="11" t="s">
        <v>8</v>
      </c>
      <c r="AW71" s="18"/>
      <c r="AX71" s="18"/>
      <c r="AY71" s="11" t="s">
        <v>8</v>
      </c>
      <c r="AZ71" s="11" t="s">
        <v>8</v>
      </c>
      <c r="BA71" s="11" t="s">
        <v>8</v>
      </c>
      <c r="BB71" s="11" t="s">
        <v>8</v>
      </c>
      <c r="BC71" s="11" t="s">
        <v>8</v>
      </c>
      <c r="BD71" s="11" t="s">
        <v>8</v>
      </c>
      <c r="BE71" s="11"/>
      <c r="BF71" s="11"/>
      <c r="BG71" s="11" t="s">
        <v>6588</v>
      </c>
      <c r="BH71" s="11" t="s">
        <v>28</v>
      </c>
      <c r="BI71" s="11" t="s">
        <v>28</v>
      </c>
      <c r="BJ71" s="11" t="s">
        <v>8</v>
      </c>
      <c r="BK71" s="11" t="s">
        <v>8</v>
      </c>
      <c r="BL71" s="11" t="s">
        <v>8</v>
      </c>
      <c r="BM71" s="11" t="s">
        <v>28</v>
      </c>
      <c r="BN71" s="11" t="s">
        <v>8</v>
      </c>
      <c r="BO71" s="11" t="s">
        <v>8</v>
      </c>
      <c r="BP71" s="11" t="s">
        <v>4975</v>
      </c>
      <c r="BQ71" s="11" t="s">
        <v>152</v>
      </c>
      <c r="BR71" s="11" t="s">
        <v>71</v>
      </c>
      <c r="BS71" s="11" t="s">
        <v>1922</v>
      </c>
      <c r="BT71" s="11" t="s">
        <v>6589</v>
      </c>
      <c r="BU71" s="12" t="s">
        <v>880</v>
      </c>
    </row>
    <row r="72" spans="1:73" ht="99.75">
      <c r="A72" s="5">
        <v>702</v>
      </c>
      <c r="B72" s="7"/>
      <c r="C72" s="7" t="s">
        <v>6590</v>
      </c>
      <c r="D72" s="6">
        <v>13328</v>
      </c>
      <c r="E72" s="29">
        <f ca="1">_xlfn.DAYS(NOW(),Tabella3[[#This Row],[Data di Nascita]])/365.25</f>
        <v>89.103353867214238</v>
      </c>
      <c r="F72" s="7"/>
      <c r="G72" s="7" t="s">
        <v>6591</v>
      </c>
      <c r="H72" s="7" t="s">
        <v>1492</v>
      </c>
      <c r="I72" s="7" t="s">
        <v>1457</v>
      </c>
      <c r="J72" s="7" t="s">
        <v>743</v>
      </c>
      <c r="K72" s="17">
        <v>1</v>
      </c>
      <c r="L72" s="17"/>
      <c r="M72" s="18">
        <v>1</v>
      </c>
      <c r="N72" s="17"/>
      <c r="O72" s="17"/>
      <c r="P72" s="17"/>
      <c r="Q72" s="17"/>
      <c r="R72" s="17"/>
      <c r="S72" s="17"/>
      <c r="T72" s="7" t="s">
        <v>6592</v>
      </c>
      <c r="U72" s="17">
        <v>20</v>
      </c>
      <c r="V72" s="17">
        <v>1</v>
      </c>
      <c r="W72" s="17"/>
      <c r="X72" s="7" t="s">
        <v>8</v>
      </c>
      <c r="Y72" s="17"/>
      <c r="Z72" s="17"/>
      <c r="AA72" s="17"/>
      <c r="AB72" s="17">
        <v>1</v>
      </c>
      <c r="AC72" s="17"/>
      <c r="AD72" s="7" t="s">
        <v>8</v>
      </c>
      <c r="AE72" s="17"/>
      <c r="AF72" s="17"/>
      <c r="AG72" s="17"/>
      <c r="AH72" s="17"/>
      <c r="AI72" s="17"/>
      <c r="AJ72" s="7" t="s">
        <v>8</v>
      </c>
      <c r="AK72" s="17"/>
      <c r="AL72" s="7" t="s">
        <v>28</v>
      </c>
      <c r="AM72" s="17">
        <v>1</v>
      </c>
      <c r="AN72" s="7" t="s">
        <v>8</v>
      </c>
      <c r="AO72" s="17">
        <v>1</v>
      </c>
      <c r="AP72" s="17"/>
      <c r="AQ72" s="7" t="s">
        <v>8</v>
      </c>
      <c r="AR72" s="17">
        <v>1</v>
      </c>
      <c r="AS72" s="7" t="s">
        <v>8</v>
      </c>
      <c r="AT72" s="17">
        <v>1</v>
      </c>
      <c r="AU72" s="17"/>
      <c r="AV72" s="7" t="s">
        <v>8</v>
      </c>
      <c r="AW72" s="17"/>
      <c r="AX72" s="17"/>
      <c r="AY72" s="7" t="s">
        <v>8</v>
      </c>
      <c r="AZ72" s="7" t="s">
        <v>8</v>
      </c>
      <c r="BA72" s="7" t="s">
        <v>8</v>
      </c>
      <c r="BB72" s="7" t="s">
        <v>8</v>
      </c>
      <c r="BC72" s="7" t="s">
        <v>8</v>
      </c>
      <c r="BD72" s="7" t="s">
        <v>8</v>
      </c>
      <c r="BE72" s="7" t="s">
        <v>6593</v>
      </c>
      <c r="BF72" s="7"/>
      <c r="BG72" s="7" t="s">
        <v>6594</v>
      </c>
      <c r="BH72" s="7" t="s">
        <v>8</v>
      </c>
      <c r="BI72" s="7" t="s">
        <v>28</v>
      </c>
      <c r="BJ72" s="7" t="s">
        <v>8</v>
      </c>
      <c r="BK72" s="7" t="s">
        <v>8</v>
      </c>
      <c r="BL72" s="7" t="s">
        <v>8</v>
      </c>
      <c r="BM72" s="7" t="s">
        <v>8</v>
      </c>
      <c r="BN72" s="7" t="s">
        <v>28</v>
      </c>
      <c r="BO72" s="7" t="s">
        <v>8</v>
      </c>
      <c r="BP72" s="7" t="s">
        <v>4975</v>
      </c>
      <c r="BQ72" s="7"/>
      <c r="BR72" s="7" t="s">
        <v>355</v>
      </c>
      <c r="BS72" s="7" t="s">
        <v>122</v>
      </c>
      <c r="BT72" s="7" t="s">
        <v>6595</v>
      </c>
      <c r="BU72" s="8"/>
    </row>
    <row r="73" spans="1:73" ht="142.5">
      <c r="A73" s="9">
        <v>705</v>
      </c>
      <c r="B73" s="10">
        <v>44943</v>
      </c>
      <c r="C73" s="11" t="s">
        <v>6596</v>
      </c>
      <c r="D73" s="10">
        <v>28441</v>
      </c>
      <c r="E73" s="29">
        <f ca="1">_xlfn.DAYS(NOW(),Tabella3[[#This Row],[Data di Nascita]])/365.25</f>
        <v>47.72621492128679</v>
      </c>
      <c r="F73" s="11" t="s">
        <v>6597</v>
      </c>
      <c r="G73" s="11" t="s">
        <v>6598</v>
      </c>
      <c r="H73" s="11" t="s">
        <v>6599</v>
      </c>
      <c r="I73" s="11" t="s">
        <v>1346</v>
      </c>
      <c r="J73" s="11" t="s">
        <v>241</v>
      </c>
      <c r="K73" s="18"/>
      <c r="L73" s="18"/>
      <c r="M73" s="18"/>
      <c r="N73" s="18"/>
      <c r="O73" s="17">
        <v>1</v>
      </c>
      <c r="P73" s="18"/>
      <c r="Q73" s="18"/>
      <c r="R73" s="18"/>
      <c r="S73" s="18"/>
      <c r="T73" s="11" t="s">
        <v>6600</v>
      </c>
      <c r="U73" s="18">
        <v>35</v>
      </c>
      <c r="V73" s="18">
        <v>1</v>
      </c>
      <c r="W73" s="18"/>
      <c r="X73" s="11" t="s">
        <v>25</v>
      </c>
      <c r="Y73" s="18"/>
      <c r="Z73" s="18"/>
      <c r="AA73" s="18"/>
      <c r="AB73" s="18">
        <v>1</v>
      </c>
      <c r="AC73" s="18"/>
      <c r="AD73" s="11" t="s">
        <v>25</v>
      </c>
      <c r="AE73" s="18"/>
      <c r="AF73" s="18"/>
      <c r="AG73" s="18"/>
      <c r="AH73" s="18"/>
      <c r="AI73" s="18"/>
      <c r="AJ73" s="11" t="s">
        <v>194</v>
      </c>
      <c r="AK73" s="17">
        <v>1</v>
      </c>
      <c r="AL73" s="11" t="s">
        <v>28</v>
      </c>
      <c r="AM73" s="17">
        <v>1</v>
      </c>
      <c r="AN73" s="11" t="s">
        <v>6601</v>
      </c>
      <c r="AO73" s="17">
        <v>0</v>
      </c>
      <c r="AP73" s="18"/>
      <c r="AQ73" s="11" t="s">
        <v>25</v>
      </c>
      <c r="AR73" s="17">
        <v>1</v>
      </c>
      <c r="AS73" s="11" t="s">
        <v>28</v>
      </c>
      <c r="AT73" s="18"/>
      <c r="AU73" s="18"/>
      <c r="AV73" s="11" t="s">
        <v>25</v>
      </c>
      <c r="AW73" s="18"/>
      <c r="AX73" s="18"/>
      <c r="AY73" s="11" t="s">
        <v>25</v>
      </c>
      <c r="AZ73" s="11"/>
      <c r="BA73" s="11" t="s">
        <v>151</v>
      </c>
      <c r="BB73" s="11" t="s">
        <v>25</v>
      </c>
      <c r="BC73" s="11"/>
      <c r="BD73" s="11"/>
      <c r="BE73" s="11" t="s">
        <v>25</v>
      </c>
      <c r="BF73" s="11"/>
      <c r="BG73" s="11" t="s">
        <v>6602</v>
      </c>
      <c r="BH73" s="11" t="s">
        <v>25</v>
      </c>
      <c r="BI73" s="11" t="s">
        <v>6603</v>
      </c>
      <c r="BJ73" s="11" t="s">
        <v>25</v>
      </c>
      <c r="BK73" s="11" t="s">
        <v>25</v>
      </c>
      <c r="BL73" s="11" t="s">
        <v>1756</v>
      </c>
      <c r="BM73" s="11" t="s">
        <v>25</v>
      </c>
      <c r="BN73" s="11" t="s">
        <v>6604</v>
      </c>
      <c r="BO73" s="11" t="s">
        <v>461</v>
      </c>
      <c r="BP73" s="11" t="s">
        <v>4975</v>
      </c>
      <c r="BQ73" s="11" t="s">
        <v>6605</v>
      </c>
      <c r="BR73" s="11" t="s">
        <v>219</v>
      </c>
      <c r="BS73" s="11" t="s">
        <v>248</v>
      </c>
      <c r="BT73" s="11" t="s">
        <v>6606</v>
      </c>
      <c r="BU73" s="12" t="s">
        <v>6607</v>
      </c>
    </row>
    <row r="74" spans="1:73" ht="156.75">
      <c r="A74" s="5">
        <v>748</v>
      </c>
      <c r="B74" s="6">
        <v>44964</v>
      </c>
      <c r="C74" s="7" t="s">
        <v>6608</v>
      </c>
      <c r="D74" s="6">
        <v>17057</v>
      </c>
      <c r="E74" s="29">
        <f ca="1">_xlfn.DAYS(NOW(),Tabella3[[#This Row],[Data di Nascita]])/365.25</f>
        <v>78.893908281998634</v>
      </c>
      <c r="F74" s="7"/>
      <c r="G74" s="7" t="s">
        <v>6609</v>
      </c>
      <c r="H74" s="7" t="s">
        <v>6610</v>
      </c>
      <c r="I74" s="7" t="s">
        <v>1044</v>
      </c>
      <c r="J74" s="7" t="s">
        <v>6611</v>
      </c>
      <c r="K74" s="17">
        <v>1</v>
      </c>
      <c r="L74" s="17"/>
      <c r="M74" s="17"/>
      <c r="N74" s="17"/>
      <c r="O74" s="17">
        <v>1</v>
      </c>
      <c r="P74" s="17"/>
      <c r="Q74" s="17"/>
      <c r="R74" s="17"/>
      <c r="S74" s="17"/>
      <c r="T74" s="7" t="s">
        <v>6592</v>
      </c>
      <c r="U74" s="17">
        <v>20</v>
      </c>
      <c r="V74" s="17">
        <v>1</v>
      </c>
      <c r="W74" s="17"/>
      <c r="X74" s="7" t="s">
        <v>8</v>
      </c>
      <c r="Y74" s="17"/>
      <c r="Z74" s="17"/>
      <c r="AA74" s="17"/>
      <c r="AB74" s="17">
        <v>1</v>
      </c>
      <c r="AC74" s="17"/>
      <c r="AD74" s="7" t="s">
        <v>6612</v>
      </c>
      <c r="AE74" s="17"/>
      <c r="AF74" s="17"/>
      <c r="AG74" s="17">
        <v>1</v>
      </c>
      <c r="AH74" s="17"/>
      <c r="AI74" s="17"/>
      <c r="AJ74" s="7" t="s">
        <v>28</v>
      </c>
      <c r="AK74" s="17">
        <v>1</v>
      </c>
      <c r="AL74" s="7" t="s">
        <v>28</v>
      </c>
      <c r="AM74" s="17">
        <v>1</v>
      </c>
      <c r="AN74" s="7" t="s">
        <v>8</v>
      </c>
      <c r="AO74" s="17">
        <v>1</v>
      </c>
      <c r="AP74" s="17"/>
      <c r="AQ74" s="7" t="s">
        <v>8</v>
      </c>
      <c r="AR74" s="17">
        <v>1</v>
      </c>
      <c r="AS74" s="7" t="s">
        <v>8</v>
      </c>
      <c r="AT74" s="17">
        <v>1</v>
      </c>
      <c r="AU74" s="17"/>
      <c r="AV74" s="7" t="s">
        <v>8</v>
      </c>
      <c r="AW74" s="17"/>
      <c r="AX74" s="17"/>
      <c r="AY74" s="7"/>
      <c r="AZ74" s="7" t="s">
        <v>28</v>
      </c>
      <c r="BA74" s="7" t="s">
        <v>8</v>
      </c>
      <c r="BB74" s="7"/>
      <c r="BC74" s="7"/>
      <c r="BD74" s="7"/>
      <c r="BE74" s="7"/>
      <c r="BF74" s="7"/>
      <c r="BG74" s="7" t="s">
        <v>28</v>
      </c>
      <c r="BH74" s="7" t="s">
        <v>28</v>
      </c>
      <c r="BI74" s="7" t="s">
        <v>8</v>
      </c>
      <c r="BJ74" s="7" t="s">
        <v>8</v>
      </c>
      <c r="BK74" s="7" t="s">
        <v>1307</v>
      </c>
      <c r="BL74" s="7" t="s">
        <v>8</v>
      </c>
      <c r="BM74" s="7" t="s">
        <v>2704</v>
      </c>
      <c r="BN74" s="7" t="s">
        <v>8</v>
      </c>
      <c r="BO74" s="7" t="s">
        <v>8</v>
      </c>
      <c r="BP74" s="7" t="s">
        <v>5804</v>
      </c>
      <c r="BQ74" s="7" t="s">
        <v>70</v>
      </c>
      <c r="BR74" s="7" t="s">
        <v>389</v>
      </c>
      <c r="BS74" s="7" t="s">
        <v>262</v>
      </c>
      <c r="BT74" s="7" t="s">
        <v>1210</v>
      </c>
      <c r="BU74" s="8" t="s">
        <v>6613</v>
      </c>
    </row>
    <row r="75" spans="1:73" ht="71.25">
      <c r="A75" s="9">
        <v>782</v>
      </c>
      <c r="B75" s="10">
        <v>44979</v>
      </c>
      <c r="C75" s="11" t="s">
        <v>6614</v>
      </c>
      <c r="D75" s="10">
        <v>16156</v>
      </c>
      <c r="E75" s="29">
        <f ca="1">_xlfn.DAYS(NOW(),Tabella3[[#This Row],[Data di Nascita]])/365.25</f>
        <v>81.360711841204647</v>
      </c>
      <c r="F75" s="11" t="s">
        <v>6615</v>
      </c>
      <c r="G75" s="11" t="s">
        <v>6616</v>
      </c>
      <c r="H75" s="11" t="s">
        <v>439</v>
      </c>
      <c r="I75" s="11" t="s">
        <v>618</v>
      </c>
      <c r="J75" s="11" t="s">
        <v>6617</v>
      </c>
      <c r="K75" s="17">
        <v>1</v>
      </c>
      <c r="L75" s="18"/>
      <c r="M75" s="18">
        <v>1</v>
      </c>
      <c r="N75" s="18"/>
      <c r="O75" s="18"/>
      <c r="P75" s="18"/>
      <c r="Q75" s="18"/>
      <c r="R75" s="18"/>
      <c r="S75" s="18"/>
      <c r="T75" s="11" t="s">
        <v>8</v>
      </c>
      <c r="U75" s="18"/>
      <c r="V75" s="18"/>
      <c r="W75" s="18">
        <v>1</v>
      </c>
      <c r="X75" s="11" t="s">
        <v>8</v>
      </c>
      <c r="Y75" s="18"/>
      <c r="Z75" s="18"/>
      <c r="AA75" s="18"/>
      <c r="AB75" s="18">
        <v>1</v>
      </c>
      <c r="AC75" s="18"/>
      <c r="AD75" s="11" t="s">
        <v>8</v>
      </c>
      <c r="AE75" s="18"/>
      <c r="AF75" s="18"/>
      <c r="AG75" s="18"/>
      <c r="AH75" s="18"/>
      <c r="AI75" s="18"/>
      <c r="AJ75" s="11" t="s">
        <v>28</v>
      </c>
      <c r="AK75" s="17">
        <v>1</v>
      </c>
      <c r="AL75" s="11" t="s">
        <v>28</v>
      </c>
      <c r="AM75" s="17">
        <v>1</v>
      </c>
      <c r="AN75" s="11" t="s">
        <v>6618</v>
      </c>
      <c r="AO75" s="17">
        <v>1</v>
      </c>
      <c r="AP75" s="18"/>
      <c r="AQ75" s="11" t="s">
        <v>859</v>
      </c>
      <c r="AR75" s="18"/>
      <c r="AS75" s="11" t="s">
        <v>8</v>
      </c>
      <c r="AT75" s="17">
        <v>1</v>
      </c>
      <c r="AU75" s="18"/>
      <c r="AV75" s="11" t="s">
        <v>8</v>
      </c>
      <c r="AW75" s="18"/>
      <c r="AX75" s="18"/>
      <c r="AY75" s="11"/>
      <c r="AZ75" s="11" t="s">
        <v>8</v>
      </c>
      <c r="BA75" s="11" t="s">
        <v>8</v>
      </c>
      <c r="BB75" s="11"/>
      <c r="BC75" s="11"/>
      <c r="BD75" s="11"/>
      <c r="BE75" s="11"/>
      <c r="BF75" s="11"/>
      <c r="BG75" s="11" t="s">
        <v>28</v>
      </c>
      <c r="BH75" s="11" t="s">
        <v>28</v>
      </c>
      <c r="BI75" s="11" t="s">
        <v>6619</v>
      </c>
      <c r="BJ75" s="11"/>
      <c r="BK75" s="11" t="s">
        <v>1307</v>
      </c>
      <c r="BL75" s="11"/>
      <c r="BM75" s="11" t="s">
        <v>28</v>
      </c>
      <c r="BN75" s="11" t="s">
        <v>8</v>
      </c>
      <c r="BO75" s="11" t="s">
        <v>8</v>
      </c>
      <c r="BP75" s="11" t="s">
        <v>5804</v>
      </c>
      <c r="BQ75" s="11" t="s">
        <v>152</v>
      </c>
      <c r="BR75" s="11" t="s">
        <v>219</v>
      </c>
      <c r="BS75" s="11" t="s">
        <v>525</v>
      </c>
      <c r="BT75" s="11" t="s">
        <v>1210</v>
      </c>
      <c r="BU75" s="12" t="s">
        <v>6620</v>
      </c>
    </row>
    <row r="76" spans="1:73" ht="285">
      <c r="A76" s="5">
        <v>810</v>
      </c>
      <c r="B76" s="6">
        <v>45002</v>
      </c>
      <c r="C76" s="7" t="s">
        <v>6621</v>
      </c>
      <c r="D76" s="6">
        <v>24280</v>
      </c>
      <c r="E76" s="29">
        <f ca="1">_xlfn.DAYS(NOW(),Tabella3[[#This Row],[Data di Nascita]])/365.25</f>
        <v>59.118412046543462</v>
      </c>
      <c r="F76" s="7" t="s">
        <v>6622</v>
      </c>
      <c r="G76" s="7" t="s">
        <v>6623</v>
      </c>
      <c r="H76" s="7" t="s">
        <v>816</v>
      </c>
      <c r="I76" s="7" t="s">
        <v>427</v>
      </c>
      <c r="J76" s="7" t="s">
        <v>6624</v>
      </c>
      <c r="K76" s="17"/>
      <c r="L76" s="17"/>
      <c r="M76" s="17"/>
      <c r="N76" s="17"/>
      <c r="O76" s="17"/>
      <c r="P76" s="17"/>
      <c r="Q76" s="17"/>
      <c r="R76" s="17"/>
      <c r="S76" s="17"/>
      <c r="T76" s="7" t="s">
        <v>6625</v>
      </c>
      <c r="U76" s="17">
        <v>35</v>
      </c>
      <c r="V76" s="17"/>
      <c r="W76" s="17"/>
      <c r="X76" s="7" t="s">
        <v>8</v>
      </c>
      <c r="Y76" s="17"/>
      <c r="Z76" s="17"/>
      <c r="AA76" s="17"/>
      <c r="AB76" s="17">
        <v>1</v>
      </c>
      <c r="AC76" s="17"/>
      <c r="AD76" s="7" t="s">
        <v>1562</v>
      </c>
      <c r="AE76" s="17"/>
      <c r="AF76" s="17"/>
      <c r="AG76" s="17">
        <v>1</v>
      </c>
      <c r="AH76" s="17"/>
      <c r="AI76" s="17"/>
      <c r="AJ76" s="7" t="s">
        <v>28</v>
      </c>
      <c r="AK76" s="17">
        <v>1</v>
      </c>
      <c r="AL76" s="7" t="s">
        <v>28</v>
      </c>
      <c r="AM76" s="17">
        <v>1</v>
      </c>
      <c r="AN76" s="7" t="s">
        <v>8</v>
      </c>
      <c r="AO76" s="17">
        <v>1</v>
      </c>
      <c r="AP76" s="17"/>
      <c r="AQ76" s="7" t="s">
        <v>8</v>
      </c>
      <c r="AR76" s="17">
        <v>1</v>
      </c>
      <c r="AS76" s="7" t="s">
        <v>8</v>
      </c>
      <c r="AT76" s="17">
        <v>1</v>
      </c>
      <c r="AU76" s="17"/>
      <c r="AV76" s="7" t="s">
        <v>8</v>
      </c>
      <c r="AW76" s="17"/>
      <c r="AX76" s="17"/>
      <c r="AY76" s="7" t="s">
        <v>6626</v>
      </c>
      <c r="AZ76" s="7" t="s">
        <v>8</v>
      </c>
      <c r="BA76" s="7" t="s">
        <v>8</v>
      </c>
      <c r="BB76" s="7" t="s">
        <v>8</v>
      </c>
      <c r="BC76" s="7" t="s">
        <v>6627</v>
      </c>
      <c r="BD76" s="7" t="s">
        <v>6628</v>
      </c>
      <c r="BE76" s="7" t="s">
        <v>8</v>
      </c>
      <c r="BF76" s="7" t="s">
        <v>6629</v>
      </c>
      <c r="BG76" s="7" t="s">
        <v>8</v>
      </c>
      <c r="BH76" s="7" t="s">
        <v>1650</v>
      </c>
      <c r="BI76" s="7" t="s">
        <v>8</v>
      </c>
      <c r="BJ76" s="7" t="s">
        <v>8</v>
      </c>
      <c r="BK76" s="7" t="s">
        <v>8</v>
      </c>
      <c r="BL76" s="7" t="s">
        <v>8</v>
      </c>
      <c r="BM76" s="7" t="s">
        <v>1650</v>
      </c>
      <c r="BN76" s="7" t="s">
        <v>8</v>
      </c>
      <c r="BO76" s="7" t="s">
        <v>1650</v>
      </c>
      <c r="BP76" s="7" t="s">
        <v>5804</v>
      </c>
      <c r="BQ76" s="7" t="s">
        <v>6630</v>
      </c>
      <c r="BR76" s="7" t="s">
        <v>105</v>
      </c>
      <c r="BS76" s="7" t="s">
        <v>554</v>
      </c>
      <c r="BT76" s="7" t="s">
        <v>6631</v>
      </c>
      <c r="BU76" s="8" t="s">
        <v>1382</v>
      </c>
    </row>
    <row r="77" spans="1:73" ht="270.75">
      <c r="A77" s="9">
        <v>812</v>
      </c>
      <c r="B77" s="10">
        <v>45005</v>
      </c>
      <c r="C77" s="11" t="s">
        <v>6632</v>
      </c>
      <c r="D77" s="10">
        <v>31207</v>
      </c>
      <c r="E77" s="29">
        <f ca="1">_xlfn.DAYS(NOW(),Tabella3[[#This Row],[Data di Nascita]])/365.25</f>
        <v>40.153319644079396</v>
      </c>
      <c r="F77" s="11" t="s">
        <v>6633</v>
      </c>
      <c r="G77" s="11" t="s">
        <v>6634</v>
      </c>
      <c r="H77" s="11" t="s">
        <v>816</v>
      </c>
      <c r="I77" s="11" t="s">
        <v>1346</v>
      </c>
      <c r="J77" s="11" t="s">
        <v>6635</v>
      </c>
      <c r="K77" s="18"/>
      <c r="L77" s="18"/>
      <c r="M77" s="18"/>
      <c r="N77" s="18"/>
      <c r="O77" s="18"/>
      <c r="P77" s="18"/>
      <c r="Q77" s="18"/>
      <c r="R77" s="18"/>
      <c r="S77" s="18"/>
      <c r="T77" s="11" t="s">
        <v>6636</v>
      </c>
      <c r="U77" s="18">
        <v>8</v>
      </c>
      <c r="V77" s="18"/>
      <c r="W77" s="18"/>
      <c r="X77" s="11" t="s">
        <v>8</v>
      </c>
      <c r="Y77" s="18"/>
      <c r="Z77" s="18"/>
      <c r="AA77" s="18"/>
      <c r="AB77" s="18">
        <v>1</v>
      </c>
      <c r="AC77" s="18"/>
      <c r="AD77" s="11" t="s">
        <v>8</v>
      </c>
      <c r="AE77" s="18"/>
      <c r="AF77" s="18"/>
      <c r="AG77" s="18"/>
      <c r="AH77" s="18"/>
      <c r="AI77" s="18"/>
      <c r="AJ77" s="11" t="s">
        <v>28</v>
      </c>
      <c r="AK77" s="17">
        <v>1</v>
      </c>
      <c r="AL77" s="11" t="s">
        <v>6637</v>
      </c>
      <c r="AM77" s="17">
        <v>1</v>
      </c>
      <c r="AN77" s="11" t="s">
        <v>8</v>
      </c>
      <c r="AO77" s="17">
        <v>1</v>
      </c>
      <c r="AP77" s="18"/>
      <c r="AQ77" s="11" t="s">
        <v>8</v>
      </c>
      <c r="AR77" s="17">
        <v>1</v>
      </c>
      <c r="AS77" s="11" t="s">
        <v>8</v>
      </c>
      <c r="AT77" s="17">
        <v>1</v>
      </c>
      <c r="AU77" s="18"/>
      <c r="AV77" s="11" t="s">
        <v>6638</v>
      </c>
      <c r="AW77" s="18"/>
      <c r="AX77" s="18"/>
      <c r="AY77" s="11" t="s">
        <v>8</v>
      </c>
      <c r="AZ77" s="11" t="s">
        <v>8</v>
      </c>
      <c r="BA77" s="11" t="s">
        <v>8</v>
      </c>
      <c r="BB77" s="11" t="s">
        <v>8</v>
      </c>
      <c r="BC77" s="11" t="s">
        <v>1546</v>
      </c>
      <c r="BD77" s="11" t="s">
        <v>8</v>
      </c>
      <c r="BE77" s="11" t="s">
        <v>8</v>
      </c>
      <c r="BF77" s="11" t="s">
        <v>6639</v>
      </c>
      <c r="BG77" s="11" t="s">
        <v>8</v>
      </c>
      <c r="BH77" s="11" t="s">
        <v>28</v>
      </c>
      <c r="BI77" s="11" t="s">
        <v>28</v>
      </c>
      <c r="BJ77" s="11" t="s">
        <v>8</v>
      </c>
      <c r="BK77" s="11" t="s">
        <v>1036</v>
      </c>
      <c r="BL77" s="11" t="s">
        <v>8</v>
      </c>
      <c r="BM77" s="11" t="s">
        <v>6640</v>
      </c>
      <c r="BN77" s="11" t="s">
        <v>28</v>
      </c>
      <c r="BO77" s="11" t="s">
        <v>1036</v>
      </c>
      <c r="BP77" s="11" t="s">
        <v>4975</v>
      </c>
      <c r="BQ77" s="11" t="s">
        <v>6641</v>
      </c>
      <c r="BR77" s="11" t="s">
        <v>71</v>
      </c>
      <c r="BS77" s="11" t="s">
        <v>508</v>
      </c>
      <c r="BT77" s="11" t="s">
        <v>6642</v>
      </c>
      <c r="BU77" s="12" t="s">
        <v>1382</v>
      </c>
    </row>
    <row r="78" spans="1:73" ht="256.5">
      <c r="A78" s="5">
        <v>825</v>
      </c>
      <c r="B78" s="6">
        <v>45013</v>
      </c>
      <c r="C78" s="7" t="s">
        <v>6643</v>
      </c>
      <c r="D78" s="6">
        <v>22217</v>
      </c>
      <c r="E78" s="29">
        <f ca="1">_xlfn.DAYS(NOW(),Tabella3[[#This Row],[Data di Nascita]])/365.25</f>
        <v>64.766598220396986</v>
      </c>
      <c r="F78" s="7" t="s">
        <v>6644</v>
      </c>
      <c r="G78" s="7" t="s">
        <v>6645</v>
      </c>
      <c r="H78" s="7" t="s">
        <v>816</v>
      </c>
      <c r="I78" s="7" t="s">
        <v>1346</v>
      </c>
      <c r="J78" s="7" t="s">
        <v>6646</v>
      </c>
      <c r="K78" s="17"/>
      <c r="L78" s="17"/>
      <c r="M78" s="17"/>
      <c r="N78" s="17"/>
      <c r="O78" s="17"/>
      <c r="P78" s="17"/>
      <c r="Q78" s="17"/>
      <c r="R78" s="17"/>
      <c r="S78" s="17"/>
      <c r="T78" s="7" t="s">
        <v>6647</v>
      </c>
      <c r="U78" s="17">
        <v>7.5</v>
      </c>
      <c r="V78" s="17"/>
      <c r="W78" s="17"/>
      <c r="X78" s="7" t="s">
        <v>8</v>
      </c>
      <c r="Y78" s="17"/>
      <c r="Z78" s="17"/>
      <c r="AA78" s="17"/>
      <c r="AB78" s="17">
        <v>1</v>
      </c>
      <c r="AC78" s="17"/>
      <c r="AD78" s="7" t="s">
        <v>6648</v>
      </c>
      <c r="AE78" s="17"/>
      <c r="AF78" s="17"/>
      <c r="AG78" s="17">
        <v>1</v>
      </c>
      <c r="AH78" s="17"/>
      <c r="AI78" s="17">
        <v>1</v>
      </c>
      <c r="AJ78" s="7" t="s">
        <v>28</v>
      </c>
      <c r="AK78" s="17">
        <v>1</v>
      </c>
      <c r="AL78" s="7" t="s">
        <v>8</v>
      </c>
      <c r="AM78" s="17"/>
      <c r="AN78" s="7" t="s">
        <v>6649</v>
      </c>
      <c r="AO78" s="17">
        <v>1</v>
      </c>
      <c r="AP78" s="17"/>
      <c r="AQ78" s="7" t="s">
        <v>8</v>
      </c>
      <c r="AR78" s="17">
        <v>1</v>
      </c>
      <c r="AS78" s="7" t="s">
        <v>28</v>
      </c>
      <c r="AT78" s="17"/>
      <c r="AU78" s="17"/>
      <c r="AV78" s="7" t="s">
        <v>8</v>
      </c>
      <c r="AW78" s="17"/>
      <c r="AX78" s="17"/>
      <c r="AY78" s="7" t="s">
        <v>8</v>
      </c>
      <c r="AZ78" s="7" t="s">
        <v>8</v>
      </c>
      <c r="BA78" s="7" t="s">
        <v>6650</v>
      </c>
      <c r="BB78" s="7" t="s">
        <v>6651</v>
      </c>
      <c r="BC78" s="7"/>
      <c r="BD78" s="7" t="s">
        <v>6652</v>
      </c>
      <c r="BE78" s="7" t="s">
        <v>8</v>
      </c>
      <c r="BF78" s="7" t="s">
        <v>6653</v>
      </c>
      <c r="BG78" s="7" t="s">
        <v>8</v>
      </c>
      <c r="BH78" s="7" t="s">
        <v>28</v>
      </c>
      <c r="BI78" s="7" t="s">
        <v>28</v>
      </c>
      <c r="BJ78" s="7" t="s">
        <v>8</v>
      </c>
      <c r="BK78" s="7" t="s">
        <v>6654</v>
      </c>
      <c r="BL78" s="7" t="s">
        <v>28</v>
      </c>
      <c r="BM78" s="7" t="s">
        <v>6640</v>
      </c>
      <c r="BN78" s="7" t="s">
        <v>28</v>
      </c>
      <c r="BO78" s="7" t="s">
        <v>1650</v>
      </c>
      <c r="BP78" s="7" t="s">
        <v>5804</v>
      </c>
      <c r="BQ78" s="7" t="s">
        <v>6655</v>
      </c>
      <c r="BR78" s="7" t="s">
        <v>71</v>
      </c>
      <c r="BS78" s="7" t="s">
        <v>169</v>
      </c>
      <c r="BT78" s="7" t="s">
        <v>6656</v>
      </c>
      <c r="BU78" s="8" t="s">
        <v>1477</v>
      </c>
    </row>
    <row r="79" spans="1:73" ht="42.75">
      <c r="A79" s="9">
        <v>851</v>
      </c>
      <c r="B79" s="10">
        <v>45023</v>
      </c>
      <c r="C79" s="11" t="s">
        <v>6657</v>
      </c>
      <c r="D79" s="10">
        <v>20464</v>
      </c>
      <c r="E79" s="29">
        <f ca="1">_xlfn.DAYS(NOW(),Tabella3[[#This Row],[Data di Nascita]])/365.25</f>
        <v>69.566050650239561</v>
      </c>
      <c r="F79" s="11" t="s">
        <v>6658</v>
      </c>
      <c r="G79" s="11" t="s">
        <v>6659</v>
      </c>
      <c r="H79" s="11" t="s">
        <v>1492</v>
      </c>
      <c r="I79" s="11" t="s">
        <v>427</v>
      </c>
      <c r="J79" s="11" t="s">
        <v>6660</v>
      </c>
      <c r="K79" s="18"/>
      <c r="L79" s="18"/>
      <c r="M79" s="18"/>
      <c r="N79" s="18"/>
      <c r="O79" s="17">
        <v>1</v>
      </c>
      <c r="P79" s="18"/>
      <c r="Q79" s="18"/>
      <c r="R79" s="18"/>
      <c r="S79" s="18"/>
      <c r="T79" s="11" t="s">
        <v>8</v>
      </c>
      <c r="U79" s="18"/>
      <c r="V79" s="18"/>
      <c r="W79" s="18">
        <v>1</v>
      </c>
      <c r="X79" s="11" t="s">
        <v>8</v>
      </c>
      <c r="Y79" s="18"/>
      <c r="Z79" s="18"/>
      <c r="AA79" s="18"/>
      <c r="AB79" s="18">
        <v>1</v>
      </c>
      <c r="AC79" s="18"/>
      <c r="AD79" s="11" t="s">
        <v>8</v>
      </c>
      <c r="AE79" s="18"/>
      <c r="AF79" s="18"/>
      <c r="AG79" s="18"/>
      <c r="AH79" s="18"/>
      <c r="AI79" s="18"/>
      <c r="AJ79" s="11" t="s">
        <v>8</v>
      </c>
      <c r="AK79" s="18"/>
      <c r="AL79" s="11" t="s">
        <v>28</v>
      </c>
      <c r="AM79" s="17">
        <v>1</v>
      </c>
      <c r="AN79" s="11" t="s">
        <v>8</v>
      </c>
      <c r="AO79" s="17">
        <v>1</v>
      </c>
      <c r="AP79" s="18"/>
      <c r="AQ79" s="11" t="s">
        <v>8</v>
      </c>
      <c r="AR79" s="17">
        <v>1</v>
      </c>
      <c r="AS79" s="11" t="s">
        <v>28</v>
      </c>
      <c r="AT79" s="18"/>
      <c r="AU79" s="18"/>
      <c r="AV79" s="11" t="s">
        <v>8</v>
      </c>
      <c r="AW79" s="18"/>
      <c r="AX79" s="18"/>
      <c r="AY79" s="11" t="s">
        <v>8</v>
      </c>
      <c r="AZ79" s="11" t="s">
        <v>8</v>
      </c>
      <c r="BA79" s="11" t="s">
        <v>28</v>
      </c>
      <c r="BB79" s="11"/>
      <c r="BC79" s="11"/>
      <c r="BD79" s="11" t="s">
        <v>6661</v>
      </c>
      <c r="BE79" s="11" t="s">
        <v>8</v>
      </c>
      <c r="BF79" s="11"/>
      <c r="BG79" s="11" t="s">
        <v>28</v>
      </c>
      <c r="BH79" s="11" t="s">
        <v>8</v>
      </c>
      <c r="BI79" s="11" t="s">
        <v>908</v>
      </c>
      <c r="BJ79" s="11" t="s">
        <v>8</v>
      </c>
      <c r="BK79" s="11" t="s">
        <v>8</v>
      </c>
      <c r="BL79" s="11" t="s">
        <v>8</v>
      </c>
      <c r="BM79" s="11" t="s">
        <v>8</v>
      </c>
      <c r="BN79" s="11" t="s">
        <v>28</v>
      </c>
      <c r="BO79" s="11" t="s">
        <v>28</v>
      </c>
      <c r="BP79" s="11" t="s">
        <v>4975</v>
      </c>
      <c r="BQ79" s="11"/>
      <c r="BR79" s="11" t="s">
        <v>219</v>
      </c>
      <c r="BS79" s="11" t="s">
        <v>248</v>
      </c>
      <c r="BT79" s="11"/>
      <c r="BU79" s="12"/>
    </row>
    <row r="80" spans="1:73" ht="28.5">
      <c r="A80" s="5">
        <v>862</v>
      </c>
      <c r="B80" s="6">
        <v>45029</v>
      </c>
      <c r="C80" s="7" t="s">
        <v>6662</v>
      </c>
      <c r="D80" s="6">
        <v>23517</v>
      </c>
      <c r="E80" s="29">
        <f ca="1">_xlfn.DAYS(NOW(),Tabella3[[#This Row],[Data di Nascita]])/365.25</f>
        <v>61.207392197125259</v>
      </c>
      <c r="F80" s="7" t="s">
        <v>6663</v>
      </c>
      <c r="G80" s="7" t="s">
        <v>6664</v>
      </c>
      <c r="H80" s="7" t="s">
        <v>3199</v>
      </c>
      <c r="I80" s="7" t="s">
        <v>6665</v>
      </c>
      <c r="J80" s="7" t="s">
        <v>241</v>
      </c>
      <c r="K80" s="17"/>
      <c r="L80" s="17"/>
      <c r="M80" s="17"/>
      <c r="N80" s="17"/>
      <c r="O80" s="17">
        <v>1</v>
      </c>
      <c r="P80" s="17"/>
      <c r="Q80" s="17"/>
      <c r="R80" s="17"/>
      <c r="S80" s="17"/>
      <c r="T80" s="7" t="s">
        <v>5795</v>
      </c>
      <c r="U80" s="17"/>
      <c r="V80" s="17"/>
      <c r="W80" s="17">
        <v>1</v>
      </c>
      <c r="X80" s="7" t="s">
        <v>25</v>
      </c>
      <c r="Y80" s="17"/>
      <c r="Z80" s="17"/>
      <c r="AA80" s="17"/>
      <c r="AB80" s="17">
        <v>1</v>
      </c>
      <c r="AC80" s="17"/>
      <c r="AD80" s="7" t="s">
        <v>25</v>
      </c>
      <c r="AE80" s="17"/>
      <c r="AF80" s="17"/>
      <c r="AG80" s="17"/>
      <c r="AH80" s="17"/>
      <c r="AI80" s="17"/>
      <c r="AJ80" s="7" t="s">
        <v>28</v>
      </c>
      <c r="AK80" s="17">
        <v>1</v>
      </c>
      <c r="AL80" s="7" t="s">
        <v>28</v>
      </c>
      <c r="AM80" s="17">
        <v>1</v>
      </c>
      <c r="AN80" s="7" t="s">
        <v>8</v>
      </c>
      <c r="AO80" s="17">
        <v>1</v>
      </c>
      <c r="AP80" s="17"/>
      <c r="AQ80" s="7" t="s">
        <v>8</v>
      </c>
      <c r="AR80" s="17">
        <v>1</v>
      </c>
      <c r="AS80" s="7" t="s">
        <v>8</v>
      </c>
      <c r="AT80" s="17">
        <v>1</v>
      </c>
      <c r="AU80" s="17"/>
      <c r="AV80" s="7" t="s">
        <v>8</v>
      </c>
      <c r="AW80" s="17"/>
      <c r="AX80" s="17"/>
      <c r="AY80" s="7" t="s">
        <v>8</v>
      </c>
      <c r="AZ80" s="7" t="s">
        <v>28</v>
      </c>
      <c r="BA80" s="7" t="s">
        <v>8</v>
      </c>
      <c r="BB80" s="7" t="s">
        <v>8</v>
      </c>
      <c r="BC80" s="7"/>
      <c r="BD80" s="7" t="s">
        <v>6666</v>
      </c>
      <c r="BE80" s="7" t="s">
        <v>8</v>
      </c>
      <c r="BF80" s="7"/>
      <c r="BG80" s="7" t="s">
        <v>8</v>
      </c>
      <c r="BH80" s="7" t="s">
        <v>8</v>
      </c>
      <c r="BI80" s="7" t="s">
        <v>8</v>
      </c>
      <c r="BJ80" s="7" t="s">
        <v>8</v>
      </c>
      <c r="BK80" s="7" t="s">
        <v>8</v>
      </c>
      <c r="BL80" s="7" t="s">
        <v>8</v>
      </c>
      <c r="BM80" s="7" t="s">
        <v>8</v>
      </c>
      <c r="BN80" s="7" t="s">
        <v>8</v>
      </c>
      <c r="BO80" s="7" t="s">
        <v>28</v>
      </c>
      <c r="BP80" s="7" t="s">
        <v>4975</v>
      </c>
      <c r="BQ80" s="7" t="s">
        <v>507</v>
      </c>
      <c r="BR80" s="7" t="s">
        <v>219</v>
      </c>
      <c r="BS80" s="7" t="s">
        <v>122</v>
      </c>
      <c r="BT80" s="7"/>
      <c r="BU80" s="8"/>
    </row>
    <row r="81" spans="1:73" ht="299.25">
      <c r="A81" s="9">
        <v>870</v>
      </c>
      <c r="B81" s="10">
        <v>45033</v>
      </c>
      <c r="C81" s="11" t="s">
        <v>6667</v>
      </c>
      <c r="D81" s="10">
        <v>32651</v>
      </c>
      <c r="E81" s="29">
        <f ca="1">_xlfn.DAYS(NOW(),Tabella3[[#This Row],[Data di Nascita]])/365.25</f>
        <v>36.199863107460644</v>
      </c>
      <c r="F81" s="11" t="s">
        <v>6668</v>
      </c>
      <c r="G81" s="11" t="s">
        <v>6669</v>
      </c>
      <c r="H81" s="11" t="s">
        <v>816</v>
      </c>
      <c r="I81" s="11" t="s">
        <v>6670</v>
      </c>
      <c r="J81" s="11" t="s">
        <v>6671</v>
      </c>
      <c r="K81" s="18"/>
      <c r="L81" s="18"/>
      <c r="M81" s="18"/>
      <c r="N81" s="18"/>
      <c r="O81" s="18"/>
      <c r="P81" s="18"/>
      <c r="Q81" s="18"/>
      <c r="R81" s="18"/>
      <c r="S81" s="18"/>
      <c r="T81" s="11" t="s">
        <v>5895</v>
      </c>
      <c r="U81" s="18"/>
      <c r="V81" s="18"/>
      <c r="W81" s="18">
        <v>1</v>
      </c>
      <c r="X81" s="11" t="s">
        <v>8</v>
      </c>
      <c r="Y81" s="18"/>
      <c r="Z81" s="18"/>
      <c r="AA81" s="18"/>
      <c r="AB81" s="18">
        <v>1</v>
      </c>
      <c r="AC81" s="18"/>
      <c r="AD81" s="11" t="s">
        <v>6672</v>
      </c>
      <c r="AE81" s="18"/>
      <c r="AF81" s="18"/>
      <c r="AG81" s="18">
        <v>1</v>
      </c>
      <c r="AH81" s="18"/>
      <c r="AI81" s="18"/>
      <c r="AJ81" s="11" t="s">
        <v>8</v>
      </c>
      <c r="AK81" s="18"/>
      <c r="AL81" s="11" t="s">
        <v>28</v>
      </c>
      <c r="AM81" s="17">
        <v>1</v>
      </c>
      <c r="AN81" s="11" t="s">
        <v>8</v>
      </c>
      <c r="AO81" s="17">
        <v>1</v>
      </c>
      <c r="AP81" s="18"/>
      <c r="AQ81" s="11" t="s">
        <v>8</v>
      </c>
      <c r="AR81" s="17">
        <v>1</v>
      </c>
      <c r="AS81" s="11" t="s">
        <v>28</v>
      </c>
      <c r="AT81" s="18"/>
      <c r="AU81" s="18"/>
      <c r="AV81" s="11" t="s">
        <v>28</v>
      </c>
      <c r="AW81" s="18"/>
      <c r="AX81" s="18">
        <v>1</v>
      </c>
      <c r="AY81" s="11" t="s">
        <v>8</v>
      </c>
      <c r="AZ81" s="11" t="s">
        <v>28</v>
      </c>
      <c r="BA81" s="11" t="s">
        <v>28</v>
      </c>
      <c r="BB81" s="11" t="s">
        <v>6673</v>
      </c>
      <c r="BC81" s="11" t="s">
        <v>6674</v>
      </c>
      <c r="BD81" s="11" t="s">
        <v>6675</v>
      </c>
      <c r="BE81" s="11" t="s">
        <v>8</v>
      </c>
      <c r="BF81" s="11"/>
      <c r="BG81" s="11" t="s">
        <v>1486</v>
      </c>
      <c r="BH81" s="11" t="s">
        <v>28</v>
      </c>
      <c r="BI81" s="11" t="s">
        <v>28</v>
      </c>
      <c r="BJ81" s="11" t="s">
        <v>8</v>
      </c>
      <c r="BK81" s="11" t="s">
        <v>1036</v>
      </c>
      <c r="BL81" s="11" t="s">
        <v>28</v>
      </c>
      <c r="BM81" s="11" t="s">
        <v>6640</v>
      </c>
      <c r="BN81" s="11" t="s">
        <v>28</v>
      </c>
      <c r="BO81" s="11" t="s">
        <v>28</v>
      </c>
      <c r="BP81" s="11" t="s">
        <v>5804</v>
      </c>
      <c r="BQ81" s="11" t="s">
        <v>507</v>
      </c>
      <c r="BR81" s="11" t="s">
        <v>71</v>
      </c>
      <c r="BS81" s="11" t="s">
        <v>420</v>
      </c>
      <c r="BT81" s="11" t="s">
        <v>6676</v>
      </c>
      <c r="BU81" s="12" t="s">
        <v>6677</v>
      </c>
    </row>
    <row r="82" spans="1:73" ht="99.75">
      <c r="A82" s="5">
        <v>899</v>
      </c>
      <c r="B82" s="6">
        <v>45049</v>
      </c>
      <c r="C82" s="7" t="s">
        <v>6678</v>
      </c>
      <c r="D82" s="6">
        <v>15342</v>
      </c>
      <c r="E82" s="29">
        <f ca="1">_xlfn.DAYS(NOW(),Tabella3[[#This Row],[Data di Nascita]])/365.25</f>
        <v>83.589322381930188</v>
      </c>
      <c r="F82" s="7" t="s">
        <v>6679</v>
      </c>
      <c r="G82" s="7" t="s">
        <v>6680</v>
      </c>
      <c r="H82" s="7" t="s">
        <v>1340</v>
      </c>
      <c r="I82" s="7" t="s">
        <v>1264</v>
      </c>
      <c r="J82" s="7" t="s">
        <v>1371</v>
      </c>
      <c r="K82" s="17">
        <v>1</v>
      </c>
      <c r="L82" s="17"/>
      <c r="M82" s="17"/>
      <c r="N82" s="18"/>
      <c r="O82" s="17"/>
      <c r="P82" s="17"/>
      <c r="Q82" s="17"/>
      <c r="R82" s="17"/>
      <c r="S82" s="17"/>
      <c r="T82" s="7" t="s">
        <v>8</v>
      </c>
      <c r="U82" s="17"/>
      <c r="V82" s="17"/>
      <c r="W82" s="17">
        <v>1</v>
      </c>
      <c r="X82" s="7" t="s">
        <v>8</v>
      </c>
      <c r="Y82" s="17"/>
      <c r="Z82" s="17"/>
      <c r="AA82" s="17"/>
      <c r="AB82" s="17">
        <v>1</v>
      </c>
      <c r="AC82" s="17"/>
      <c r="AD82" s="7" t="s">
        <v>8</v>
      </c>
      <c r="AE82" s="17"/>
      <c r="AF82" s="17"/>
      <c r="AG82" s="17"/>
      <c r="AH82" s="17"/>
      <c r="AI82" s="17"/>
      <c r="AJ82" s="7" t="s">
        <v>8</v>
      </c>
      <c r="AK82" s="17"/>
      <c r="AL82" s="7" t="s">
        <v>28</v>
      </c>
      <c r="AM82" s="17">
        <v>1</v>
      </c>
      <c r="AN82" s="7"/>
      <c r="AO82" s="17">
        <v>1</v>
      </c>
      <c r="AP82" s="17">
        <v>1</v>
      </c>
      <c r="AQ82" s="7"/>
      <c r="AR82" s="17"/>
      <c r="AS82" s="7" t="s">
        <v>28</v>
      </c>
      <c r="AT82" s="17"/>
      <c r="AU82" s="17"/>
      <c r="AV82" s="7" t="s">
        <v>8</v>
      </c>
      <c r="AW82" s="17"/>
      <c r="AX82" s="17"/>
      <c r="AY82" s="7"/>
      <c r="AZ82" s="7" t="s">
        <v>8</v>
      </c>
      <c r="BA82" s="7"/>
      <c r="BB82" s="7"/>
      <c r="BC82" s="7"/>
      <c r="BD82" s="7"/>
      <c r="BE82" s="7"/>
      <c r="BF82" s="7"/>
      <c r="BG82" s="7" t="s">
        <v>6681</v>
      </c>
      <c r="BH82" s="7" t="s">
        <v>352</v>
      </c>
      <c r="BI82" s="7" t="s">
        <v>6682</v>
      </c>
      <c r="BJ82" s="7" t="s">
        <v>8</v>
      </c>
      <c r="BK82" s="7" t="s">
        <v>8</v>
      </c>
      <c r="BL82" s="7" t="s">
        <v>8</v>
      </c>
      <c r="BM82" s="7" t="s">
        <v>8</v>
      </c>
      <c r="BN82" s="7" t="s">
        <v>6683</v>
      </c>
      <c r="BO82" s="7" t="s">
        <v>8</v>
      </c>
      <c r="BP82" s="7" t="s">
        <v>4975</v>
      </c>
      <c r="BQ82" s="7" t="s">
        <v>168</v>
      </c>
      <c r="BR82" s="7" t="s">
        <v>71</v>
      </c>
      <c r="BS82" s="7" t="s">
        <v>1444</v>
      </c>
      <c r="BT82" s="7"/>
      <c r="BU82" s="8"/>
    </row>
    <row r="83" spans="1:73" ht="71.25">
      <c r="A83" s="9">
        <v>927</v>
      </c>
      <c r="B83" s="10">
        <v>45069</v>
      </c>
      <c r="C83" s="11" t="s">
        <v>6684</v>
      </c>
      <c r="D83" s="10">
        <v>20473</v>
      </c>
      <c r="E83" s="29">
        <f ca="1">_xlfn.DAYS(NOW(),Tabella3[[#This Row],[Data di Nascita]])/365.25</f>
        <v>69.541409993155369</v>
      </c>
      <c r="F83" s="11" t="s">
        <v>6685</v>
      </c>
      <c r="G83" s="11" t="s">
        <v>6686</v>
      </c>
      <c r="H83" s="11" t="s">
        <v>2917</v>
      </c>
      <c r="I83" s="11" t="s">
        <v>618</v>
      </c>
      <c r="J83" s="11" t="s">
        <v>6687</v>
      </c>
      <c r="K83" s="18"/>
      <c r="L83" s="18"/>
      <c r="M83" s="18"/>
      <c r="N83" s="18">
        <v>1</v>
      </c>
      <c r="O83" s="18"/>
      <c r="P83" s="18"/>
      <c r="Q83" s="18"/>
      <c r="R83" s="18"/>
      <c r="S83" s="18"/>
      <c r="T83" s="11" t="s">
        <v>6688</v>
      </c>
      <c r="U83" s="18"/>
      <c r="V83" s="18">
        <v>1</v>
      </c>
      <c r="W83" s="18"/>
      <c r="X83" s="11" t="s">
        <v>6689</v>
      </c>
      <c r="Y83" s="18"/>
      <c r="Z83" s="18"/>
      <c r="AA83" s="18"/>
      <c r="AB83" s="18"/>
      <c r="AC83" s="18"/>
      <c r="AD83" s="11" t="s">
        <v>25</v>
      </c>
      <c r="AE83" s="18"/>
      <c r="AF83" s="18"/>
      <c r="AG83" s="18"/>
      <c r="AH83" s="18"/>
      <c r="AI83" s="18"/>
      <c r="AJ83" s="11" t="s">
        <v>6690</v>
      </c>
      <c r="AK83" s="17">
        <v>1</v>
      </c>
      <c r="AL83" s="11" t="s">
        <v>25</v>
      </c>
      <c r="AM83" s="18"/>
      <c r="AN83" s="11" t="s">
        <v>6691</v>
      </c>
      <c r="AO83" s="17">
        <v>1</v>
      </c>
      <c r="AP83" s="18"/>
      <c r="AQ83" s="11" t="s">
        <v>25</v>
      </c>
      <c r="AR83" s="17">
        <v>1</v>
      </c>
      <c r="AS83" s="11" t="s">
        <v>28</v>
      </c>
      <c r="AT83" s="18"/>
      <c r="AU83" s="18"/>
      <c r="AV83" s="11" t="s">
        <v>25</v>
      </c>
      <c r="AW83" s="18"/>
      <c r="AX83" s="18"/>
      <c r="AY83" s="11" t="s">
        <v>25</v>
      </c>
      <c r="AZ83" s="11" t="s">
        <v>47</v>
      </c>
      <c r="BA83" s="11" t="s">
        <v>26</v>
      </c>
      <c r="BB83" s="11"/>
      <c r="BC83" s="11"/>
      <c r="BD83" s="11" t="s">
        <v>6692</v>
      </c>
      <c r="BE83" s="11" t="s">
        <v>8</v>
      </c>
      <c r="BF83" s="11" t="s">
        <v>6693</v>
      </c>
      <c r="BG83" s="11" t="s">
        <v>25</v>
      </c>
      <c r="BH83" s="11" t="s">
        <v>25</v>
      </c>
      <c r="BI83" s="11" t="s">
        <v>25</v>
      </c>
      <c r="BJ83" s="11" t="s">
        <v>25</v>
      </c>
      <c r="BK83" s="11" t="s">
        <v>25</v>
      </c>
      <c r="BL83" s="11" t="s">
        <v>25</v>
      </c>
      <c r="BM83" s="11" t="s">
        <v>6694</v>
      </c>
      <c r="BN83" s="11" t="s">
        <v>26</v>
      </c>
      <c r="BO83" s="11" t="s">
        <v>25</v>
      </c>
      <c r="BP83" s="11" t="s">
        <v>4975</v>
      </c>
      <c r="BQ83" s="11" t="s">
        <v>183</v>
      </c>
      <c r="BR83" s="11" t="s">
        <v>37</v>
      </c>
      <c r="BS83" s="11" t="s">
        <v>56</v>
      </c>
      <c r="BT83" s="11"/>
      <c r="BU83" s="12"/>
    </row>
    <row r="84" spans="1:73" ht="85.5">
      <c r="A84" s="5">
        <v>929</v>
      </c>
      <c r="B84" s="6">
        <v>45069</v>
      </c>
      <c r="C84" s="7" t="s">
        <v>6695</v>
      </c>
      <c r="D84" s="6">
        <v>24940</v>
      </c>
      <c r="E84" s="29">
        <f ca="1">_xlfn.DAYS(NOW(),Tabella3[[#This Row],[Data di Nascita]])/365.25</f>
        <v>57.311430527036279</v>
      </c>
      <c r="F84" s="7" t="s">
        <v>6696</v>
      </c>
      <c r="G84" s="7" t="s">
        <v>6697</v>
      </c>
      <c r="H84" s="7" t="s">
        <v>1116</v>
      </c>
      <c r="I84" s="7" t="s">
        <v>618</v>
      </c>
      <c r="J84" s="7" t="s">
        <v>6698</v>
      </c>
      <c r="K84" s="17">
        <v>1</v>
      </c>
      <c r="L84" s="17"/>
      <c r="M84" s="17"/>
      <c r="N84" s="17"/>
      <c r="O84" s="17"/>
      <c r="P84" s="17"/>
      <c r="Q84" s="17"/>
      <c r="R84" s="17"/>
      <c r="S84" s="17"/>
      <c r="T84" s="7" t="s">
        <v>6699</v>
      </c>
      <c r="U84" s="17"/>
      <c r="V84" s="17"/>
      <c r="W84" s="17"/>
      <c r="X84" s="7" t="s">
        <v>8</v>
      </c>
      <c r="Y84" s="17"/>
      <c r="Z84" s="17"/>
      <c r="AA84" s="17"/>
      <c r="AB84" s="17">
        <v>1</v>
      </c>
      <c r="AC84" s="17"/>
      <c r="AD84" s="7" t="s">
        <v>6700</v>
      </c>
      <c r="AE84" s="17"/>
      <c r="AF84" s="17"/>
      <c r="AG84" s="17">
        <v>1</v>
      </c>
      <c r="AH84" s="17"/>
      <c r="AI84" s="17"/>
      <c r="AJ84" s="7" t="s">
        <v>28</v>
      </c>
      <c r="AK84" s="17">
        <v>1</v>
      </c>
      <c r="AL84" s="7" t="s">
        <v>8</v>
      </c>
      <c r="AM84" s="17"/>
      <c r="AN84" s="7" t="s">
        <v>6701</v>
      </c>
      <c r="AO84" s="17">
        <v>0</v>
      </c>
      <c r="AP84" s="17"/>
      <c r="AQ84" s="7" t="s">
        <v>8</v>
      </c>
      <c r="AR84" s="17">
        <v>1</v>
      </c>
      <c r="AS84" s="7" t="s">
        <v>28</v>
      </c>
      <c r="AT84" s="17"/>
      <c r="AU84" s="17"/>
      <c r="AV84" s="7" t="s">
        <v>6702</v>
      </c>
      <c r="AW84" s="17"/>
      <c r="AX84" s="17">
        <v>1</v>
      </c>
      <c r="AY84" s="7"/>
      <c r="AZ84" s="7" t="s">
        <v>47</v>
      </c>
      <c r="BA84" s="7" t="s">
        <v>26</v>
      </c>
      <c r="BB84" s="7"/>
      <c r="BC84" s="7"/>
      <c r="BD84" s="7" t="s">
        <v>6703</v>
      </c>
      <c r="BE84" s="7" t="s">
        <v>8</v>
      </c>
      <c r="BF84" s="7"/>
      <c r="BG84" s="7" t="s">
        <v>6704</v>
      </c>
      <c r="BH84" s="7" t="s">
        <v>28</v>
      </c>
      <c r="BI84" s="7" t="s">
        <v>8</v>
      </c>
      <c r="BJ84" s="7" t="s">
        <v>1807</v>
      </c>
      <c r="BK84" s="7"/>
      <c r="BL84" s="7"/>
      <c r="BM84" s="7" t="s">
        <v>6705</v>
      </c>
      <c r="BN84" s="7" t="s">
        <v>28</v>
      </c>
      <c r="BO84" s="7" t="s">
        <v>8</v>
      </c>
      <c r="BP84" s="7" t="s">
        <v>4975</v>
      </c>
      <c r="BQ84" s="7" t="s">
        <v>183</v>
      </c>
      <c r="BR84" s="7"/>
      <c r="BS84" s="7"/>
      <c r="BT84" s="7"/>
      <c r="BU84" s="8"/>
    </row>
    <row r="85" spans="1:73" ht="313.5">
      <c r="A85" s="9">
        <v>938</v>
      </c>
      <c r="B85" s="10">
        <v>45076</v>
      </c>
      <c r="C85" s="11" t="s">
        <v>6706</v>
      </c>
      <c r="D85" s="10">
        <v>26191</v>
      </c>
      <c r="E85" s="29">
        <f ca="1">_xlfn.DAYS(NOW(),Tabella3[[#This Row],[Data di Nascita]])/365.25</f>
        <v>53.886379192334019</v>
      </c>
      <c r="F85" s="11" t="s">
        <v>6707</v>
      </c>
      <c r="G85" s="11" t="s">
        <v>6708</v>
      </c>
      <c r="H85" s="11" t="s">
        <v>6709</v>
      </c>
      <c r="I85" s="11" t="s">
        <v>618</v>
      </c>
      <c r="J85" s="11" t="s">
        <v>881</v>
      </c>
      <c r="K85" s="18"/>
      <c r="L85" s="18"/>
      <c r="M85" s="18"/>
      <c r="N85" s="18"/>
      <c r="O85" s="18"/>
      <c r="P85" s="18"/>
      <c r="Q85" s="18"/>
      <c r="R85" s="18"/>
      <c r="S85" s="18"/>
      <c r="T85" s="11" t="s">
        <v>6710</v>
      </c>
      <c r="U85" s="18">
        <v>6</v>
      </c>
      <c r="V85" s="18"/>
      <c r="W85" s="18"/>
      <c r="X85" s="11" t="s">
        <v>486</v>
      </c>
      <c r="Y85" s="18"/>
      <c r="Z85" s="18"/>
      <c r="AA85" s="18"/>
      <c r="AB85" s="18"/>
      <c r="AC85" s="18"/>
      <c r="AD85" s="11" t="s">
        <v>309</v>
      </c>
      <c r="AE85" s="18"/>
      <c r="AF85" s="18"/>
      <c r="AG85" s="18"/>
      <c r="AH85" s="18"/>
      <c r="AI85" s="18"/>
      <c r="AJ85" s="11" t="s">
        <v>28</v>
      </c>
      <c r="AK85" s="17">
        <v>1</v>
      </c>
      <c r="AL85" s="11" t="s">
        <v>28</v>
      </c>
      <c r="AM85" s="17">
        <v>1</v>
      </c>
      <c r="AN85" s="11" t="s">
        <v>309</v>
      </c>
      <c r="AO85" s="17">
        <v>1</v>
      </c>
      <c r="AP85" s="18"/>
      <c r="AQ85" s="11" t="s">
        <v>309</v>
      </c>
      <c r="AR85" s="17">
        <v>1</v>
      </c>
      <c r="AS85" s="11" t="s">
        <v>309</v>
      </c>
      <c r="AT85" s="17">
        <v>1</v>
      </c>
      <c r="AU85" s="18"/>
      <c r="AV85" s="11" t="s">
        <v>309</v>
      </c>
      <c r="AW85" s="18"/>
      <c r="AX85" s="18"/>
      <c r="AY85" s="11" t="s">
        <v>309</v>
      </c>
      <c r="AZ85" s="11" t="s">
        <v>28</v>
      </c>
      <c r="BA85" s="11" t="s">
        <v>309</v>
      </c>
      <c r="BB85" s="11" t="s">
        <v>309</v>
      </c>
      <c r="BC85" s="11"/>
      <c r="BD85" s="11" t="s">
        <v>6711</v>
      </c>
      <c r="BE85" s="11" t="s">
        <v>25</v>
      </c>
      <c r="BF85" s="11"/>
      <c r="BG85" s="11" t="s">
        <v>25</v>
      </c>
      <c r="BH85" s="11" t="s">
        <v>25</v>
      </c>
      <c r="BI85" s="11" t="s">
        <v>25</v>
      </c>
      <c r="BJ85" s="11" t="s">
        <v>25</v>
      </c>
      <c r="BK85" s="11" t="s">
        <v>25</v>
      </c>
      <c r="BL85" s="11" t="s">
        <v>25</v>
      </c>
      <c r="BM85" s="11" t="s">
        <v>26</v>
      </c>
      <c r="BN85" s="11" t="s">
        <v>309</v>
      </c>
      <c r="BO85" s="11" t="s">
        <v>309</v>
      </c>
      <c r="BP85" s="11" t="s">
        <v>4975</v>
      </c>
      <c r="BQ85" s="11" t="s">
        <v>6712</v>
      </c>
      <c r="BR85" s="11" t="s">
        <v>37</v>
      </c>
      <c r="BS85" s="11" t="s">
        <v>72</v>
      </c>
      <c r="BT85" s="11" t="s">
        <v>6713</v>
      </c>
      <c r="BU85" s="12" t="s">
        <v>1838</v>
      </c>
    </row>
    <row r="86" spans="1:73" ht="299.25">
      <c r="A86" s="5">
        <v>956</v>
      </c>
      <c r="B86" s="6">
        <v>45093</v>
      </c>
      <c r="C86" s="7" t="s">
        <v>6714</v>
      </c>
      <c r="D86" s="6">
        <v>22796</v>
      </c>
      <c r="E86" s="29">
        <f ca="1">_xlfn.DAYS(NOW(),Tabella3[[#This Row],[Data di Nascita]])/365.25</f>
        <v>63.181382614647504</v>
      </c>
      <c r="F86" s="7" t="s">
        <v>6715</v>
      </c>
      <c r="G86" s="7" t="s">
        <v>6716</v>
      </c>
      <c r="H86" s="7" t="s">
        <v>6717</v>
      </c>
      <c r="I86" s="7" t="s">
        <v>6718</v>
      </c>
      <c r="J86" s="7" t="s">
        <v>6719</v>
      </c>
      <c r="K86" s="17"/>
      <c r="L86" s="17"/>
      <c r="M86" s="17"/>
      <c r="N86" s="17"/>
      <c r="O86" s="17"/>
      <c r="P86" s="17"/>
      <c r="Q86" s="17">
        <v>1</v>
      </c>
      <c r="R86" s="17"/>
      <c r="S86" s="17"/>
      <c r="T86" s="7" t="s">
        <v>25</v>
      </c>
      <c r="U86" s="17"/>
      <c r="V86" s="17"/>
      <c r="W86" s="17">
        <v>1</v>
      </c>
      <c r="X86" s="7" t="s">
        <v>25</v>
      </c>
      <c r="Y86" s="17"/>
      <c r="Z86" s="17"/>
      <c r="AA86" s="17"/>
      <c r="AB86" s="17">
        <v>1</v>
      </c>
      <c r="AC86" s="17"/>
      <c r="AD86" s="7" t="s">
        <v>25</v>
      </c>
      <c r="AE86" s="17"/>
      <c r="AF86" s="17"/>
      <c r="AG86" s="17"/>
      <c r="AH86" s="17"/>
      <c r="AI86" s="17"/>
      <c r="AJ86" s="7" t="s">
        <v>8</v>
      </c>
      <c r="AK86" s="17"/>
      <c r="AL86" s="7" t="s">
        <v>25</v>
      </c>
      <c r="AM86" s="17"/>
      <c r="AN86" s="7" t="s">
        <v>25</v>
      </c>
      <c r="AO86" s="17">
        <v>1</v>
      </c>
      <c r="AP86" s="17"/>
      <c r="AQ86" s="7" t="s">
        <v>859</v>
      </c>
      <c r="AR86" s="17"/>
      <c r="AS86" s="7" t="s">
        <v>25</v>
      </c>
      <c r="AT86" s="17">
        <v>1</v>
      </c>
      <c r="AU86" s="17"/>
      <c r="AV86" s="7" t="s">
        <v>25</v>
      </c>
      <c r="AW86" s="17"/>
      <c r="AX86" s="17"/>
      <c r="AY86" s="7" t="s">
        <v>25</v>
      </c>
      <c r="AZ86" s="7" t="s">
        <v>860</v>
      </c>
      <c r="BA86" s="7" t="s">
        <v>26</v>
      </c>
      <c r="BB86" s="7"/>
      <c r="BC86" s="7"/>
      <c r="BD86" s="7" t="s">
        <v>6720</v>
      </c>
      <c r="BE86" s="7" t="s">
        <v>25</v>
      </c>
      <c r="BF86" s="7"/>
      <c r="BG86" s="7" t="s">
        <v>25</v>
      </c>
      <c r="BH86" s="7" t="s">
        <v>309</v>
      </c>
      <c r="BI86" s="7" t="s">
        <v>25</v>
      </c>
      <c r="BJ86" s="7" t="s">
        <v>25</v>
      </c>
      <c r="BK86" s="7" t="s">
        <v>25</v>
      </c>
      <c r="BL86" s="7" t="s">
        <v>25</v>
      </c>
      <c r="BM86" s="7" t="s">
        <v>28</v>
      </c>
      <c r="BN86" s="7" t="s">
        <v>25</v>
      </c>
      <c r="BO86" s="7" t="s">
        <v>25</v>
      </c>
      <c r="BP86" s="7" t="s">
        <v>4975</v>
      </c>
      <c r="BQ86" s="7" t="s">
        <v>6721</v>
      </c>
      <c r="BR86" s="7" t="s">
        <v>71</v>
      </c>
      <c r="BS86" s="7" t="s">
        <v>38</v>
      </c>
      <c r="BT86" s="7" t="s">
        <v>6722</v>
      </c>
      <c r="BU86" s="8" t="s">
        <v>6723</v>
      </c>
    </row>
    <row r="87" spans="1:73" ht="299.25">
      <c r="A87" s="9">
        <v>958</v>
      </c>
      <c r="B87" s="10">
        <v>45096</v>
      </c>
      <c r="C87" s="11" t="s">
        <v>6724</v>
      </c>
      <c r="D87" s="10">
        <v>15266</v>
      </c>
      <c r="E87" s="29">
        <f ca="1">_xlfn.DAYS(NOW(),Tabella3[[#This Row],[Data di Nascita]])/365.25</f>
        <v>83.797399041752229</v>
      </c>
      <c r="F87" s="11" t="s">
        <v>6725</v>
      </c>
      <c r="G87" s="11" t="s">
        <v>6726</v>
      </c>
      <c r="H87" s="11" t="s">
        <v>6727</v>
      </c>
      <c r="I87" s="11" t="s">
        <v>618</v>
      </c>
      <c r="J87" s="11" t="s">
        <v>6728</v>
      </c>
      <c r="K87" s="17">
        <v>1</v>
      </c>
      <c r="L87" s="18"/>
      <c r="M87" s="18">
        <v>1</v>
      </c>
      <c r="N87" s="18"/>
      <c r="O87" s="18"/>
      <c r="P87" s="18"/>
      <c r="Q87" s="18"/>
      <c r="R87" s="18"/>
      <c r="S87" s="18"/>
      <c r="T87" s="11" t="s">
        <v>6729</v>
      </c>
      <c r="U87" s="18">
        <v>20</v>
      </c>
      <c r="V87" s="18">
        <v>1</v>
      </c>
      <c r="W87" s="18"/>
      <c r="X87" s="11" t="s">
        <v>486</v>
      </c>
      <c r="Y87" s="18"/>
      <c r="Z87" s="18"/>
      <c r="AA87" s="18"/>
      <c r="AB87" s="18"/>
      <c r="AC87" s="18"/>
      <c r="AD87" s="11" t="s">
        <v>6730</v>
      </c>
      <c r="AE87" s="18"/>
      <c r="AF87" s="18">
        <v>1</v>
      </c>
      <c r="AG87" s="18"/>
      <c r="AH87" s="18"/>
      <c r="AI87" s="18"/>
      <c r="AJ87" s="11" t="s">
        <v>8</v>
      </c>
      <c r="AK87" s="18"/>
      <c r="AL87" s="11" t="s">
        <v>28</v>
      </c>
      <c r="AM87" s="17">
        <v>1</v>
      </c>
      <c r="AN87" s="11" t="s">
        <v>6731</v>
      </c>
      <c r="AO87" s="17">
        <v>1</v>
      </c>
      <c r="AP87" s="18"/>
      <c r="AQ87" s="11" t="s">
        <v>25</v>
      </c>
      <c r="AR87" s="17">
        <v>1</v>
      </c>
      <c r="AS87" s="11" t="s">
        <v>28</v>
      </c>
      <c r="AT87" s="18"/>
      <c r="AU87" s="18"/>
      <c r="AV87" s="11" t="s">
        <v>28</v>
      </c>
      <c r="AW87" s="18"/>
      <c r="AX87" s="18">
        <v>1</v>
      </c>
      <c r="AY87" s="11" t="s">
        <v>25</v>
      </c>
      <c r="AZ87" s="11" t="s">
        <v>28</v>
      </c>
      <c r="BA87" s="11" t="s">
        <v>25</v>
      </c>
      <c r="BB87" s="11" t="s">
        <v>25</v>
      </c>
      <c r="BC87" s="11"/>
      <c r="BD87" s="11" t="s">
        <v>6732</v>
      </c>
      <c r="BE87" s="11" t="s">
        <v>25</v>
      </c>
      <c r="BF87" s="11"/>
      <c r="BG87" s="11" t="s">
        <v>6733</v>
      </c>
      <c r="BH87" s="11" t="s">
        <v>26</v>
      </c>
      <c r="BI87" s="11" t="s">
        <v>31</v>
      </c>
      <c r="BJ87" s="11" t="s">
        <v>25</v>
      </c>
      <c r="BK87" s="11" t="s">
        <v>25</v>
      </c>
      <c r="BL87" s="11" t="s">
        <v>25</v>
      </c>
      <c r="BM87" s="11" t="s">
        <v>25</v>
      </c>
      <c r="BN87" s="11" t="s">
        <v>25</v>
      </c>
      <c r="BO87" s="11" t="s">
        <v>26</v>
      </c>
      <c r="BP87" s="11" t="s">
        <v>4975</v>
      </c>
      <c r="BQ87" s="11" t="s">
        <v>1466</v>
      </c>
      <c r="BR87" s="11" t="s">
        <v>404</v>
      </c>
      <c r="BS87" s="11" t="s">
        <v>122</v>
      </c>
      <c r="BT87" s="11" t="s">
        <v>6722</v>
      </c>
      <c r="BU87" s="12" t="s">
        <v>6734</v>
      </c>
    </row>
    <row r="88" spans="1:73" ht="299.25">
      <c r="A88" s="5">
        <v>962</v>
      </c>
      <c r="B88" s="6">
        <v>45099</v>
      </c>
      <c r="C88" s="7" t="s">
        <v>6735</v>
      </c>
      <c r="D88" s="6">
        <v>26905</v>
      </c>
      <c r="E88" s="29">
        <f ca="1">_xlfn.DAYS(NOW(),Tabella3[[#This Row],[Data di Nascita]])/365.25</f>
        <v>51.931553730321696</v>
      </c>
      <c r="F88" s="7" t="s">
        <v>6736</v>
      </c>
      <c r="G88" s="7" t="s">
        <v>6737</v>
      </c>
      <c r="H88" s="7" t="s">
        <v>6738</v>
      </c>
      <c r="I88" s="7" t="s">
        <v>618</v>
      </c>
      <c r="J88" s="7" t="s">
        <v>6739</v>
      </c>
      <c r="K88" s="17"/>
      <c r="L88" s="17"/>
      <c r="M88" s="17"/>
      <c r="N88" s="17"/>
      <c r="O88" s="17"/>
      <c r="P88" s="17"/>
      <c r="Q88" s="17"/>
      <c r="R88" s="17">
        <v>1</v>
      </c>
      <c r="S88" s="17"/>
      <c r="T88" s="7" t="s">
        <v>6740</v>
      </c>
      <c r="U88" s="17">
        <v>17.5</v>
      </c>
      <c r="V88" s="17"/>
      <c r="W88" s="17"/>
      <c r="X88" s="7" t="s">
        <v>486</v>
      </c>
      <c r="Y88" s="17"/>
      <c r="Z88" s="17"/>
      <c r="AA88" s="17"/>
      <c r="AB88" s="17"/>
      <c r="AC88" s="17"/>
      <c r="AD88" s="7" t="s">
        <v>6741</v>
      </c>
      <c r="AE88" s="17"/>
      <c r="AF88" s="17">
        <v>1</v>
      </c>
      <c r="AG88" s="17">
        <v>1</v>
      </c>
      <c r="AH88" s="17"/>
      <c r="AI88" s="17"/>
      <c r="AJ88" s="7" t="s">
        <v>28</v>
      </c>
      <c r="AK88" s="17">
        <v>1</v>
      </c>
      <c r="AL88" s="7" t="s">
        <v>25</v>
      </c>
      <c r="AM88" s="17"/>
      <c r="AN88" s="7" t="s">
        <v>25</v>
      </c>
      <c r="AO88" s="17">
        <v>1</v>
      </c>
      <c r="AP88" s="17"/>
      <c r="AQ88" s="7" t="s">
        <v>25</v>
      </c>
      <c r="AR88" s="17">
        <v>1</v>
      </c>
      <c r="AS88" s="7" t="s">
        <v>25</v>
      </c>
      <c r="AT88" s="17">
        <v>1</v>
      </c>
      <c r="AU88" s="17"/>
      <c r="AV88" s="7" t="s">
        <v>25</v>
      </c>
      <c r="AW88" s="17"/>
      <c r="AX88" s="17"/>
      <c r="AY88" s="7" t="s">
        <v>25</v>
      </c>
      <c r="AZ88" s="7" t="s">
        <v>8</v>
      </c>
      <c r="BA88" s="7" t="s">
        <v>26</v>
      </c>
      <c r="BB88" s="7" t="s">
        <v>25</v>
      </c>
      <c r="BC88" s="7"/>
      <c r="BD88" s="7" t="s">
        <v>6742</v>
      </c>
      <c r="BE88" s="7" t="s">
        <v>25</v>
      </c>
      <c r="BF88" s="7"/>
      <c r="BG88" s="7" t="s">
        <v>26</v>
      </c>
      <c r="BH88" s="7" t="s">
        <v>28</v>
      </c>
      <c r="BI88" s="7" t="s">
        <v>6743</v>
      </c>
      <c r="BJ88" s="7" t="s">
        <v>25</v>
      </c>
      <c r="BK88" s="7" t="s">
        <v>26</v>
      </c>
      <c r="BL88" s="7" t="s">
        <v>25</v>
      </c>
      <c r="BM88" s="7" t="s">
        <v>25</v>
      </c>
      <c r="BN88" s="7" t="s">
        <v>25</v>
      </c>
      <c r="BO88" s="7" t="s">
        <v>26</v>
      </c>
      <c r="BP88" s="7" t="s">
        <v>4975</v>
      </c>
      <c r="BQ88" s="7" t="s">
        <v>6744</v>
      </c>
      <c r="BR88" s="7" t="s">
        <v>37</v>
      </c>
      <c r="BS88" s="7" t="s">
        <v>122</v>
      </c>
      <c r="BT88" s="7" t="s">
        <v>1837</v>
      </c>
      <c r="BU88" s="8" t="s">
        <v>6745</v>
      </c>
    </row>
    <row r="89" spans="1:73" ht="28.5">
      <c r="A89" s="9">
        <v>965</v>
      </c>
      <c r="B89" s="10">
        <v>45104</v>
      </c>
      <c r="C89" s="11" t="s">
        <v>6746</v>
      </c>
      <c r="D89" s="10">
        <v>32966</v>
      </c>
      <c r="E89" s="29">
        <f ca="1">_xlfn.DAYS(NOW(),Tabella3[[#This Row],[Data di Nascita]])/365.25</f>
        <v>35.337440109514034</v>
      </c>
      <c r="F89" s="11" t="s">
        <v>6747</v>
      </c>
      <c r="G89" s="11" t="s">
        <v>6748</v>
      </c>
      <c r="H89" s="11" t="s">
        <v>6749</v>
      </c>
      <c r="I89" s="11" t="s">
        <v>817</v>
      </c>
      <c r="J89" s="11" t="s">
        <v>6750</v>
      </c>
      <c r="K89" s="18"/>
      <c r="L89" s="18"/>
      <c r="M89" s="18">
        <v>1</v>
      </c>
      <c r="N89" s="18"/>
      <c r="O89" s="18"/>
      <c r="P89" s="18"/>
      <c r="Q89" s="18"/>
      <c r="R89" s="18"/>
      <c r="S89" s="18"/>
      <c r="T89" s="11" t="s">
        <v>6751</v>
      </c>
      <c r="U89" s="18">
        <v>17</v>
      </c>
      <c r="V89" s="18"/>
      <c r="W89" s="18"/>
      <c r="X89" s="11" t="s">
        <v>272</v>
      </c>
      <c r="Y89" s="18"/>
      <c r="Z89" s="18"/>
      <c r="AA89" s="18">
        <v>1</v>
      </c>
      <c r="AB89" s="18"/>
      <c r="AC89" s="18"/>
      <c r="AD89" s="11" t="s">
        <v>6752</v>
      </c>
      <c r="AE89" s="18"/>
      <c r="AF89" s="18">
        <v>1</v>
      </c>
      <c r="AG89" s="18"/>
      <c r="AH89" s="18"/>
      <c r="AI89" s="18"/>
      <c r="AJ89" s="11" t="s">
        <v>381</v>
      </c>
      <c r="AK89" s="17">
        <v>1</v>
      </c>
      <c r="AL89" s="11" t="s">
        <v>8</v>
      </c>
      <c r="AM89" s="18"/>
      <c r="AN89" s="11" t="s">
        <v>8</v>
      </c>
      <c r="AO89" s="17">
        <v>1</v>
      </c>
      <c r="AP89" s="18"/>
      <c r="AQ89" s="11" t="s">
        <v>8</v>
      </c>
      <c r="AR89" s="17">
        <v>1</v>
      </c>
      <c r="AS89" s="11" t="s">
        <v>8</v>
      </c>
      <c r="AT89" s="17">
        <v>1</v>
      </c>
      <c r="AU89" s="18"/>
      <c r="AV89" s="11" t="s">
        <v>8</v>
      </c>
      <c r="AW89" s="18"/>
      <c r="AX89" s="18"/>
      <c r="AY89" s="11"/>
      <c r="AZ89" s="11" t="s">
        <v>8</v>
      </c>
      <c r="BA89" s="11" t="s">
        <v>28</v>
      </c>
      <c r="BB89" s="11"/>
      <c r="BC89" s="11" t="s">
        <v>6753</v>
      </c>
      <c r="BD89" s="11" t="s">
        <v>6754</v>
      </c>
      <c r="BE89" s="11"/>
      <c r="BF89" s="11"/>
      <c r="BG89" s="11" t="s">
        <v>8</v>
      </c>
      <c r="BH89" s="11" t="s">
        <v>28</v>
      </c>
      <c r="BI89" s="11" t="s">
        <v>28</v>
      </c>
      <c r="BJ89" s="11" t="s">
        <v>8</v>
      </c>
      <c r="BK89" s="11"/>
      <c r="BL89" s="11"/>
      <c r="BM89" s="11" t="s">
        <v>8</v>
      </c>
      <c r="BN89" s="11" t="s">
        <v>28</v>
      </c>
      <c r="BO89" s="11" t="s">
        <v>8</v>
      </c>
      <c r="BP89" s="11" t="s">
        <v>5804</v>
      </c>
      <c r="BQ89" s="11" t="s">
        <v>70</v>
      </c>
      <c r="BR89" s="11" t="s">
        <v>37</v>
      </c>
      <c r="BS89" s="11" t="s">
        <v>6755</v>
      </c>
      <c r="BT89" s="11"/>
      <c r="BU89" s="12"/>
    </row>
    <row r="90" spans="1:73" ht="57">
      <c r="A90" s="5">
        <v>976</v>
      </c>
      <c r="B90" s="6">
        <v>45117</v>
      </c>
      <c r="C90" s="7" t="s">
        <v>6756</v>
      </c>
      <c r="D90" s="6">
        <v>22527</v>
      </c>
      <c r="E90" s="29">
        <f ca="1">_xlfn.DAYS(NOW(),Tabella3[[#This Row],[Data di Nascita]])/365.25</f>
        <v>63.917864476386036</v>
      </c>
      <c r="F90" s="7" t="s">
        <v>6757</v>
      </c>
      <c r="G90" s="7" t="s">
        <v>6758</v>
      </c>
      <c r="H90" s="7" t="s">
        <v>1492</v>
      </c>
      <c r="I90" s="7" t="s">
        <v>6759</v>
      </c>
      <c r="J90" s="7" t="s">
        <v>6760</v>
      </c>
      <c r="K90" s="17">
        <v>1</v>
      </c>
      <c r="L90" s="17"/>
      <c r="M90" s="17"/>
      <c r="N90" s="17"/>
      <c r="O90" s="17"/>
      <c r="P90" s="17"/>
      <c r="Q90" s="17"/>
      <c r="R90" s="17"/>
      <c r="S90" s="17"/>
      <c r="T90" s="7" t="s">
        <v>6761</v>
      </c>
      <c r="U90" s="17">
        <v>22</v>
      </c>
      <c r="V90" s="17">
        <v>1</v>
      </c>
      <c r="W90" s="17"/>
      <c r="X90" s="7" t="s">
        <v>6762</v>
      </c>
      <c r="Y90" s="17"/>
      <c r="Z90" s="17"/>
      <c r="AA90" s="17"/>
      <c r="AB90" s="17"/>
      <c r="AC90" s="17"/>
      <c r="AD90" s="7" t="s">
        <v>6763</v>
      </c>
      <c r="AE90" s="17"/>
      <c r="AF90" s="17"/>
      <c r="AG90" s="17">
        <v>1</v>
      </c>
      <c r="AH90" s="17"/>
      <c r="AI90" s="17"/>
      <c r="AJ90" s="7" t="s">
        <v>8</v>
      </c>
      <c r="AK90" s="17"/>
      <c r="AL90" s="7" t="s">
        <v>28</v>
      </c>
      <c r="AM90" s="17">
        <v>1</v>
      </c>
      <c r="AN90" s="7" t="s">
        <v>6764</v>
      </c>
      <c r="AO90" s="17">
        <v>0</v>
      </c>
      <c r="AP90" s="17"/>
      <c r="AQ90" s="7" t="s">
        <v>6765</v>
      </c>
      <c r="AR90" s="17"/>
      <c r="AS90" s="7" t="s">
        <v>28</v>
      </c>
      <c r="AT90" s="17"/>
      <c r="AU90" s="17"/>
      <c r="AV90" s="7" t="s">
        <v>8</v>
      </c>
      <c r="AW90" s="17"/>
      <c r="AX90" s="17"/>
      <c r="AY90" s="7"/>
      <c r="AZ90" s="7" t="s">
        <v>6766</v>
      </c>
      <c r="BA90" s="7" t="s">
        <v>28</v>
      </c>
      <c r="BB90" s="7"/>
      <c r="BC90" s="7"/>
      <c r="BD90" s="7" t="s">
        <v>6767</v>
      </c>
      <c r="BE90" s="7" t="s">
        <v>8</v>
      </c>
      <c r="BF90" s="7"/>
      <c r="BG90" s="7" t="s">
        <v>6768</v>
      </c>
      <c r="BH90" s="7" t="s">
        <v>28</v>
      </c>
      <c r="BI90" s="7" t="s">
        <v>6769</v>
      </c>
      <c r="BJ90" s="7" t="s">
        <v>8</v>
      </c>
      <c r="BK90" s="7"/>
      <c r="BL90" s="7"/>
      <c r="BM90" s="7" t="s">
        <v>6770</v>
      </c>
      <c r="BN90" s="7" t="s">
        <v>28</v>
      </c>
      <c r="BO90" s="7" t="s">
        <v>28</v>
      </c>
      <c r="BP90" s="7" t="s">
        <v>6771</v>
      </c>
      <c r="BQ90" s="7" t="s">
        <v>495</v>
      </c>
      <c r="BR90" s="7" t="s">
        <v>37</v>
      </c>
      <c r="BS90" s="7" t="s">
        <v>6772</v>
      </c>
      <c r="BT90" s="7"/>
      <c r="BU90" s="8"/>
    </row>
    <row r="91" spans="1:73" ht="42.75">
      <c r="A91" s="9">
        <v>986</v>
      </c>
      <c r="B91" s="10">
        <v>45121</v>
      </c>
      <c r="C91" s="11" t="s">
        <v>6773</v>
      </c>
      <c r="D91" s="10">
        <v>27569</v>
      </c>
      <c r="E91" s="29">
        <f ca="1">_xlfn.DAYS(NOW(),Tabella3[[#This Row],[Data di Nascita]])/365.25</f>
        <v>50.113620807665981</v>
      </c>
      <c r="F91" s="11" t="s">
        <v>4966</v>
      </c>
      <c r="G91" s="11" t="s">
        <v>4967</v>
      </c>
      <c r="H91" s="11" t="s">
        <v>6774</v>
      </c>
      <c r="I91" s="11" t="s">
        <v>1358</v>
      </c>
      <c r="J91" s="11" t="s">
        <v>6775</v>
      </c>
      <c r="K91" s="18"/>
      <c r="L91" s="18"/>
      <c r="M91" s="18"/>
      <c r="N91" s="18"/>
      <c r="O91" s="18"/>
      <c r="P91" s="18"/>
      <c r="Q91" s="18"/>
      <c r="R91" s="18"/>
      <c r="S91" s="18"/>
      <c r="T91" s="11" t="s">
        <v>6776</v>
      </c>
      <c r="U91" s="18"/>
      <c r="V91" s="18"/>
      <c r="W91" s="18">
        <v>1</v>
      </c>
      <c r="X91" s="11" t="s">
        <v>272</v>
      </c>
      <c r="Y91" s="18"/>
      <c r="Z91" s="18"/>
      <c r="AA91" s="18">
        <v>1</v>
      </c>
      <c r="AB91" s="18"/>
      <c r="AC91" s="18"/>
      <c r="AD91" s="11" t="s">
        <v>6777</v>
      </c>
      <c r="AE91" s="18"/>
      <c r="AF91" s="18"/>
      <c r="AG91" s="18"/>
      <c r="AH91" s="18"/>
      <c r="AI91" s="18"/>
      <c r="AJ91" s="11" t="s">
        <v>381</v>
      </c>
      <c r="AK91" s="17">
        <v>1</v>
      </c>
      <c r="AL91" s="11" t="s">
        <v>8</v>
      </c>
      <c r="AM91" s="18"/>
      <c r="AN91" s="11" t="s">
        <v>8</v>
      </c>
      <c r="AO91" s="17">
        <v>1</v>
      </c>
      <c r="AP91" s="18"/>
      <c r="AQ91" s="11" t="s">
        <v>8</v>
      </c>
      <c r="AR91" s="17">
        <v>1</v>
      </c>
      <c r="AS91" s="11" t="s">
        <v>8</v>
      </c>
      <c r="AT91" s="17">
        <v>1</v>
      </c>
      <c r="AU91" s="18"/>
      <c r="AV91" s="11" t="s">
        <v>8</v>
      </c>
      <c r="AW91" s="18"/>
      <c r="AX91" s="18"/>
      <c r="AY91" s="11"/>
      <c r="AZ91" s="11" t="s">
        <v>8</v>
      </c>
      <c r="BA91" s="11" t="s">
        <v>28</v>
      </c>
      <c r="BB91" s="11"/>
      <c r="BC91" s="11"/>
      <c r="BD91" s="11" t="s">
        <v>3081</v>
      </c>
      <c r="BE91" s="11" t="s">
        <v>8</v>
      </c>
      <c r="BF91" s="11"/>
      <c r="BG91" s="11" t="s">
        <v>8</v>
      </c>
      <c r="BH91" s="11" t="s">
        <v>28</v>
      </c>
      <c r="BI91" s="11" t="s">
        <v>1856</v>
      </c>
      <c r="BJ91" s="11" t="s">
        <v>8</v>
      </c>
      <c r="BK91" s="11" t="s">
        <v>28</v>
      </c>
      <c r="BL91" s="11"/>
      <c r="BM91" s="11" t="s">
        <v>6778</v>
      </c>
      <c r="BN91" s="11" t="s">
        <v>6779</v>
      </c>
      <c r="BO91" s="11" t="s">
        <v>28</v>
      </c>
      <c r="BP91" s="11" t="s">
        <v>4975</v>
      </c>
      <c r="BQ91" s="11" t="s">
        <v>2953</v>
      </c>
      <c r="BR91" s="11" t="s">
        <v>3220</v>
      </c>
      <c r="BS91" s="11" t="s">
        <v>6780</v>
      </c>
      <c r="BT91" s="11"/>
      <c r="BU91" s="12"/>
    </row>
    <row r="92" spans="1:73" ht="57">
      <c r="A92" s="5">
        <v>1020</v>
      </c>
      <c r="B92" s="6">
        <v>45159</v>
      </c>
      <c r="C92" s="7" t="s">
        <v>6781</v>
      </c>
      <c r="D92" s="6">
        <v>27974</v>
      </c>
      <c r="E92" s="29">
        <f ca="1">_xlfn.DAYS(NOW(),Tabella3[[#This Row],[Data di Nascita]])/365.25</f>
        <v>49.00479123887748</v>
      </c>
      <c r="F92" s="7" t="s">
        <v>6782</v>
      </c>
      <c r="G92" s="7" t="s">
        <v>6783</v>
      </c>
      <c r="H92" s="7" t="s">
        <v>6784</v>
      </c>
      <c r="I92" s="7" t="s">
        <v>6785</v>
      </c>
      <c r="J92" s="7" t="s">
        <v>6786</v>
      </c>
      <c r="K92" s="17"/>
      <c r="L92" s="17"/>
      <c r="M92" s="17"/>
      <c r="N92" s="17"/>
      <c r="O92" s="17">
        <v>1</v>
      </c>
      <c r="P92" s="17"/>
      <c r="Q92" s="17"/>
      <c r="R92" s="17"/>
      <c r="S92" s="17"/>
      <c r="T92" s="7" t="s">
        <v>8</v>
      </c>
      <c r="U92" s="17"/>
      <c r="V92" s="17"/>
      <c r="W92" s="17">
        <v>1</v>
      </c>
      <c r="X92" s="7" t="s">
        <v>6787</v>
      </c>
      <c r="Y92" s="17"/>
      <c r="Z92" s="17"/>
      <c r="AA92" s="17">
        <v>1</v>
      </c>
      <c r="AB92" s="17"/>
      <c r="AC92" s="17"/>
      <c r="AD92" s="7" t="s">
        <v>6788</v>
      </c>
      <c r="AE92" s="17"/>
      <c r="AF92" s="17">
        <v>1</v>
      </c>
      <c r="AG92" s="17"/>
      <c r="AH92" s="17"/>
      <c r="AI92" s="17"/>
      <c r="AJ92" s="7" t="s">
        <v>8</v>
      </c>
      <c r="AK92" s="17"/>
      <c r="AL92" s="7" t="s">
        <v>8</v>
      </c>
      <c r="AM92" s="17"/>
      <c r="AN92" s="7" t="s">
        <v>8</v>
      </c>
      <c r="AO92" s="17">
        <v>1</v>
      </c>
      <c r="AP92" s="17"/>
      <c r="AQ92" s="7" t="s">
        <v>8</v>
      </c>
      <c r="AR92" s="17">
        <v>1</v>
      </c>
      <c r="AS92" s="7" t="s">
        <v>6789</v>
      </c>
      <c r="AT92" s="17">
        <v>1</v>
      </c>
      <c r="AU92" s="17"/>
      <c r="AV92" s="7" t="s">
        <v>8</v>
      </c>
      <c r="AW92" s="17"/>
      <c r="AX92" s="17"/>
      <c r="AY92" s="7" t="s">
        <v>28</v>
      </c>
      <c r="AZ92" s="7" t="s">
        <v>28</v>
      </c>
      <c r="BA92" s="7" t="s">
        <v>28</v>
      </c>
      <c r="BB92" s="7"/>
      <c r="BC92" s="7" t="s">
        <v>6790</v>
      </c>
      <c r="BD92" s="7" t="s">
        <v>6791</v>
      </c>
      <c r="BE92" s="7" t="s">
        <v>8</v>
      </c>
      <c r="BF92" s="7"/>
      <c r="BG92" s="7" t="s">
        <v>8</v>
      </c>
      <c r="BH92" s="7" t="s">
        <v>5194</v>
      </c>
      <c r="BI92" s="7" t="s">
        <v>8</v>
      </c>
      <c r="BJ92" s="7" t="s">
        <v>8</v>
      </c>
      <c r="BK92" s="7"/>
      <c r="BL92" s="7"/>
      <c r="BM92" s="7" t="s">
        <v>8</v>
      </c>
      <c r="BN92" s="7" t="s">
        <v>47</v>
      </c>
      <c r="BO92" s="7" t="s">
        <v>354</v>
      </c>
      <c r="BP92" s="7" t="s">
        <v>6792</v>
      </c>
      <c r="BQ92" s="7" t="s">
        <v>6793</v>
      </c>
      <c r="BR92" s="7" t="s">
        <v>355</v>
      </c>
      <c r="BS92" s="7" t="s">
        <v>262</v>
      </c>
      <c r="BT92" s="7"/>
      <c r="BU92" s="8"/>
    </row>
    <row r="93" spans="1:73" ht="270.75">
      <c r="A93" s="9">
        <v>1030</v>
      </c>
      <c r="B93" s="10">
        <v>45163</v>
      </c>
      <c r="C93" s="11" t="s">
        <v>6794</v>
      </c>
      <c r="D93" s="10">
        <v>20509</v>
      </c>
      <c r="E93" s="29">
        <f ca="1">_xlfn.DAYS(NOW(),Tabella3[[#This Row],[Data di Nascita]])/365.25</f>
        <v>69.442847364818618</v>
      </c>
      <c r="F93" s="11" t="s">
        <v>6795</v>
      </c>
      <c r="G93" s="11" t="s">
        <v>6796</v>
      </c>
      <c r="H93" s="11" t="s">
        <v>6797</v>
      </c>
      <c r="I93" s="11" t="s">
        <v>6798</v>
      </c>
      <c r="J93" s="11" t="s">
        <v>6799</v>
      </c>
      <c r="K93" s="17">
        <v>1</v>
      </c>
      <c r="L93" s="18"/>
      <c r="M93" s="18"/>
      <c r="N93" s="18"/>
      <c r="O93" s="18"/>
      <c r="P93" s="18"/>
      <c r="Q93" s="18"/>
      <c r="R93" s="18"/>
      <c r="S93" s="18"/>
      <c r="T93" s="11" t="s">
        <v>6800</v>
      </c>
      <c r="U93" s="18">
        <v>40</v>
      </c>
      <c r="V93" s="18"/>
      <c r="W93" s="18"/>
      <c r="X93" s="11" t="s">
        <v>8</v>
      </c>
      <c r="Y93" s="18"/>
      <c r="Z93" s="18"/>
      <c r="AA93" s="18"/>
      <c r="AB93" s="18">
        <v>1</v>
      </c>
      <c r="AC93" s="18"/>
      <c r="AD93" s="11" t="s">
        <v>25</v>
      </c>
      <c r="AE93" s="18"/>
      <c r="AF93" s="18"/>
      <c r="AG93" s="18"/>
      <c r="AH93" s="18"/>
      <c r="AI93" s="18"/>
      <c r="AJ93" s="11" t="s">
        <v>6801</v>
      </c>
      <c r="AK93" s="17">
        <v>1</v>
      </c>
      <c r="AL93" s="11" t="s">
        <v>8</v>
      </c>
      <c r="AM93" s="18"/>
      <c r="AN93" s="11" t="s">
        <v>6322</v>
      </c>
      <c r="AO93" s="17">
        <v>1</v>
      </c>
      <c r="AP93" s="18"/>
      <c r="AQ93" s="11" t="s">
        <v>6802</v>
      </c>
      <c r="AR93" s="17">
        <v>1</v>
      </c>
      <c r="AS93" s="11" t="s">
        <v>8</v>
      </c>
      <c r="AT93" s="17">
        <v>1</v>
      </c>
      <c r="AU93" s="18"/>
      <c r="AV93" s="11" t="s">
        <v>8</v>
      </c>
      <c r="AW93" s="18"/>
      <c r="AX93" s="18"/>
      <c r="AY93" s="11" t="s">
        <v>8</v>
      </c>
      <c r="AZ93" s="11" t="s">
        <v>860</v>
      </c>
      <c r="BA93" s="11" t="s">
        <v>6803</v>
      </c>
      <c r="BB93" s="11" t="s">
        <v>6804</v>
      </c>
      <c r="BC93" s="11"/>
      <c r="BD93" s="11"/>
      <c r="BE93" s="11" t="s">
        <v>8</v>
      </c>
      <c r="BF93" s="11"/>
      <c r="BG93" s="11" t="s">
        <v>6805</v>
      </c>
      <c r="BH93" s="11" t="s">
        <v>6806</v>
      </c>
      <c r="BI93" s="11" t="s">
        <v>1075</v>
      </c>
      <c r="BJ93" s="11" t="s">
        <v>8</v>
      </c>
      <c r="BK93" s="11"/>
      <c r="BL93" s="11"/>
      <c r="BM93" s="11" t="s">
        <v>6807</v>
      </c>
      <c r="BN93" s="11" t="s">
        <v>8</v>
      </c>
      <c r="BO93" s="11" t="s">
        <v>8</v>
      </c>
      <c r="BP93" s="11" t="s">
        <v>4975</v>
      </c>
      <c r="BQ93" s="11" t="s">
        <v>6808</v>
      </c>
      <c r="BR93" s="11" t="s">
        <v>71</v>
      </c>
      <c r="BS93" s="11" t="s">
        <v>508</v>
      </c>
      <c r="BT93" s="11" t="s">
        <v>6809</v>
      </c>
      <c r="BU93" s="12"/>
    </row>
    <row r="94" spans="1:73" ht="199.5">
      <c r="A94" s="5">
        <v>1034</v>
      </c>
      <c r="B94" s="6">
        <v>45167</v>
      </c>
      <c r="C94" s="7" t="s">
        <v>6810</v>
      </c>
      <c r="D94" s="6">
        <v>23562</v>
      </c>
      <c r="E94" s="29">
        <f ca="1">_xlfn.DAYS(NOW(),Tabella3[[#This Row],[Data di Nascita]])/365.25</f>
        <v>61.08418891170431</v>
      </c>
      <c r="F94" s="7" t="s">
        <v>6811</v>
      </c>
      <c r="G94" s="7" t="s">
        <v>6812</v>
      </c>
      <c r="H94" s="7" t="s">
        <v>6813</v>
      </c>
      <c r="I94" s="7" t="s">
        <v>1346</v>
      </c>
      <c r="J94" s="7" t="s">
        <v>6814</v>
      </c>
      <c r="K94" s="17"/>
      <c r="L94" s="17"/>
      <c r="M94" s="17"/>
      <c r="N94" s="17"/>
      <c r="O94" s="17"/>
      <c r="P94" s="17">
        <v>1</v>
      </c>
      <c r="Q94" s="17"/>
      <c r="R94" s="17"/>
      <c r="S94" s="17"/>
      <c r="T94" s="7" t="s">
        <v>6815</v>
      </c>
      <c r="U94" s="17">
        <v>1.5</v>
      </c>
      <c r="V94" s="17">
        <v>1</v>
      </c>
      <c r="W94" s="17"/>
      <c r="X94" s="7" t="s">
        <v>486</v>
      </c>
      <c r="Y94" s="17"/>
      <c r="Z94" s="17"/>
      <c r="AA94" s="17"/>
      <c r="AB94" s="17"/>
      <c r="AC94" s="17"/>
      <c r="AD94" s="7" t="s">
        <v>25</v>
      </c>
      <c r="AE94" s="17"/>
      <c r="AF94" s="17"/>
      <c r="AG94" s="17"/>
      <c r="AH94" s="17"/>
      <c r="AI94" s="17"/>
      <c r="AJ94" s="7" t="s">
        <v>28</v>
      </c>
      <c r="AK94" s="17">
        <v>1</v>
      </c>
      <c r="AL94" s="7" t="s">
        <v>1420</v>
      </c>
      <c r="AM94" s="17">
        <v>1</v>
      </c>
      <c r="AN94" s="7" t="s">
        <v>25</v>
      </c>
      <c r="AO94" s="17">
        <v>1</v>
      </c>
      <c r="AP94" s="17"/>
      <c r="AQ94" s="7" t="s">
        <v>25</v>
      </c>
      <c r="AR94" s="17">
        <v>1</v>
      </c>
      <c r="AS94" s="7" t="s">
        <v>1420</v>
      </c>
      <c r="AT94" s="17"/>
      <c r="AU94" s="17"/>
      <c r="AV94" s="7" t="s">
        <v>25</v>
      </c>
      <c r="AW94" s="17"/>
      <c r="AX94" s="17"/>
      <c r="AY94" s="7" t="s">
        <v>25</v>
      </c>
      <c r="AZ94" s="7"/>
      <c r="BA94" s="7" t="s">
        <v>3718</v>
      </c>
      <c r="BB94" s="7" t="s">
        <v>25</v>
      </c>
      <c r="BC94" s="7"/>
      <c r="BD94" s="7" t="s">
        <v>6816</v>
      </c>
      <c r="BE94" s="7" t="s">
        <v>8</v>
      </c>
      <c r="BF94" s="7"/>
      <c r="BG94" s="7" t="s">
        <v>6817</v>
      </c>
      <c r="BH94" s="7" t="s">
        <v>351</v>
      </c>
      <c r="BI94" s="7" t="s">
        <v>47</v>
      </c>
      <c r="BJ94" s="7" t="s">
        <v>25</v>
      </c>
      <c r="BK94" s="7" t="s">
        <v>25</v>
      </c>
      <c r="BL94" s="7" t="s">
        <v>28</v>
      </c>
      <c r="BM94" s="7" t="s">
        <v>6818</v>
      </c>
      <c r="BN94" s="7" t="s">
        <v>34</v>
      </c>
      <c r="BO94" s="7" t="s">
        <v>461</v>
      </c>
      <c r="BP94" s="7" t="s">
        <v>5804</v>
      </c>
      <c r="BQ94" s="7" t="s">
        <v>6819</v>
      </c>
      <c r="BR94" s="7" t="s">
        <v>404</v>
      </c>
      <c r="BS94" s="7" t="s">
        <v>1922</v>
      </c>
      <c r="BT94" s="7" t="s">
        <v>6820</v>
      </c>
      <c r="BU94" s="8" t="s">
        <v>6821</v>
      </c>
    </row>
    <row r="95" spans="1:73" ht="409.5">
      <c r="A95" s="9">
        <v>1046</v>
      </c>
      <c r="B95" s="10">
        <v>45176</v>
      </c>
      <c r="C95" s="11" t="s">
        <v>6822</v>
      </c>
      <c r="D95" s="10">
        <v>25536</v>
      </c>
      <c r="E95" s="29">
        <f ca="1">_xlfn.DAYS(NOW(),Tabella3[[#This Row],[Data di Nascita]])/365.25</f>
        <v>55.679671457905542</v>
      </c>
      <c r="F95" s="11" t="s">
        <v>6823</v>
      </c>
      <c r="G95" s="11" t="s">
        <v>6824</v>
      </c>
      <c r="H95" s="11" t="s">
        <v>6825</v>
      </c>
      <c r="I95" s="11" t="s">
        <v>6826</v>
      </c>
      <c r="J95" s="11" t="s">
        <v>6827</v>
      </c>
      <c r="K95" s="18"/>
      <c r="L95" s="18"/>
      <c r="M95" s="18"/>
      <c r="N95" s="18"/>
      <c r="O95" s="17">
        <v>1</v>
      </c>
      <c r="P95" s="18"/>
      <c r="Q95" s="18"/>
      <c r="R95" s="18"/>
      <c r="S95" s="18"/>
      <c r="T95" s="11" t="s">
        <v>25</v>
      </c>
      <c r="U95" s="18"/>
      <c r="V95" s="18"/>
      <c r="W95" s="18">
        <v>1</v>
      </c>
      <c r="X95" s="11" t="s">
        <v>566</v>
      </c>
      <c r="Y95" s="18"/>
      <c r="Z95" s="18"/>
      <c r="AA95" s="18">
        <v>1</v>
      </c>
      <c r="AB95" s="18"/>
      <c r="AC95" s="18"/>
      <c r="AD95" s="11" t="s">
        <v>6828</v>
      </c>
      <c r="AE95" s="18"/>
      <c r="AF95" s="18">
        <v>1</v>
      </c>
      <c r="AG95" s="18"/>
      <c r="AH95" s="18"/>
      <c r="AI95" s="18"/>
      <c r="AJ95" s="11" t="s">
        <v>28</v>
      </c>
      <c r="AK95" s="17">
        <v>1</v>
      </c>
      <c r="AL95" s="11" t="s">
        <v>6829</v>
      </c>
      <c r="AM95" s="17">
        <v>1</v>
      </c>
      <c r="AN95" s="11" t="s">
        <v>8</v>
      </c>
      <c r="AO95" s="17">
        <v>1</v>
      </c>
      <c r="AP95" s="18"/>
      <c r="AQ95" s="11" t="s">
        <v>6830</v>
      </c>
      <c r="AR95" s="17">
        <v>1</v>
      </c>
      <c r="AS95" s="11" t="s">
        <v>28</v>
      </c>
      <c r="AT95" s="18"/>
      <c r="AU95" s="18"/>
      <c r="AV95" s="11" t="s">
        <v>6831</v>
      </c>
      <c r="AW95" s="18">
        <v>1</v>
      </c>
      <c r="AX95" s="18"/>
      <c r="AY95" s="11" t="s">
        <v>8</v>
      </c>
      <c r="AZ95" s="11" t="s">
        <v>6832</v>
      </c>
      <c r="BA95" s="11" t="s">
        <v>28</v>
      </c>
      <c r="BB95" s="11" t="s">
        <v>6833</v>
      </c>
      <c r="BC95" s="11" t="s">
        <v>6834</v>
      </c>
      <c r="BD95" s="11"/>
      <c r="BE95" s="11" t="s">
        <v>8</v>
      </c>
      <c r="BF95" s="11" t="s">
        <v>6835</v>
      </c>
      <c r="BG95" s="11" t="s">
        <v>6836</v>
      </c>
      <c r="BH95" s="11" t="s">
        <v>6837</v>
      </c>
      <c r="BI95" s="11" t="s">
        <v>6838</v>
      </c>
      <c r="BJ95" s="11" t="s">
        <v>8</v>
      </c>
      <c r="BK95" s="11"/>
      <c r="BL95" s="11"/>
      <c r="BM95" s="11" t="s">
        <v>6839</v>
      </c>
      <c r="BN95" s="11" t="s">
        <v>6840</v>
      </c>
      <c r="BO95" s="11" t="s">
        <v>1285</v>
      </c>
      <c r="BP95" s="11" t="s">
        <v>4975</v>
      </c>
      <c r="BQ95" s="11" t="s">
        <v>36</v>
      </c>
      <c r="BR95" s="11" t="s">
        <v>71</v>
      </c>
      <c r="BS95" s="11" t="s">
        <v>219</v>
      </c>
      <c r="BT95" s="11" t="s">
        <v>6841</v>
      </c>
      <c r="BU95" s="12" t="s">
        <v>6842</v>
      </c>
    </row>
    <row r="96" spans="1:73" ht="409.5">
      <c r="A96" s="5">
        <v>1074</v>
      </c>
      <c r="B96" s="6">
        <v>45198</v>
      </c>
      <c r="C96" s="7" t="s">
        <v>6843</v>
      </c>
      <c r="D96" s="6">
        <v>31455</v>
      </c>
      <c r="E96" s="29">
        <f ca="1">_xlfn.DAYS(NOW(),Tabella3[[#This Row],[Data di Nascita]])/365.25</f>
        <v>39.474332648870636</v>
      </c>
      <c r="F96" s="7" t="s">
        <v>6844</v>
      </c>
      <c r="G96" s="7" t="s">
        <v>6845</v>
      </c>
      <c r="H96" s="7" t="s">
        <v>880</v>
      </c>
      <c r="I96" s="7" t="s">
        <v>742</v>
      </c>
      <c r="J96" s="7" t="s">
        <v>743</v>
      </c>
      <c r="K96" s="17">
        <v>1</v>
      </c>
      <c r="L96" s="17"/>
      <c r="M96" s="18">
        <v>1</v>
      </c>
      <c r="N96" s="17"/>
      <c r="O96" s="17"/>
      <c r="P96" s="17"/>
      <c r="Q96" s="17"/>
      <c r="R96" s="17"/>
      <c r="S96" s="17"/>
      <c r="T96" s="7" t="s">
        <v>6846</v>
      </c>
      <c r="U96" s="17">
        <v>21</v>
      </c>
      <c r="V96" s="17"/>
      <c r="W96" s="17"/>
      <c r="X96" s="7" t="s">
        <v>8</v>
      </c>
      <c r="Y96" s="17"/>
      <c r="Z96" s="17"/>
      <c r="AA96" s="17"/>
      <c r="AB96" s="17">
        <v>1</v>
      </c>
      <c r="AC96" s="17"/>
      <c r="AD96" s="7" t="s">
        <v>6847</v>
      </c>
      <c r="AE96" s="17"/>
      <c r="AF96" s="17">
        <v>1</v>
      </c>
      <c r="AG96" s="17"/>
      <c r="AH96" s="17"/>
      <c r="AI96" s="17"/>
      <c r="AJ96" s="7" t="s">
        <v>6228</v>
      </c>
      <c r="AK96" s="17">
        <v>1</v>
      </c>
      <c r="AL96" s="7" t="s">
        <v>28</v>
      </c>
      <c r="AM96" s="17">
        <v>1</v>
      </c>
      <c r="AN96" s="7" t="s">
        <v>8</v>
      </c>
      <c r="AO96" s="17">
        <v>1</v>
      </c>
      <c r="AP96" s="17"/>
      <c r="AQ96" s="7" t="s">
        <v>8</v>
      </c>
      <c r="AR96" s="17">
        <v>1</v>
      </c>
      <c r="AS96" s="7" t="s">
        <v>28</v>
      </c>
      <c r="AT96" s="17"/>
      <c r="AU96" s="17"/>
      <c r="AV96" s="7" t="s">
        <v>8</v>
      </c>
      <c r="AW96" s="17"/>
      <c r="AX96" s="17"/>
      <c r="AY96" s="7" t="s">
        <v>6848</v>
      </c>
      <c r="AZ96" s="7" t="s">
        <v>28</v>
      </c>
      <c r="BA96" s="7" t="s">
        <v>28</v>
      </c>
      <c r="BB96" s="7" t="s">
        <v>8</v>
      </c>
      <c r="BC96" s="7"/>
      <c r="BD96" s="7" t="s">
        <v>6849</v>
      </c>
      <c r="BE96" s="7" t="s">
        <v>8</v>
      </c>
      <c r="BF96" s="7" t="s">
        <v>6850</v>
      </c>
      <c r="BG96" s="7" t="s">
        <v>8</v>
      </c>
      <c r="BH96" s="7" t="s">
        <v>28</v>
      </c>
      <c r="BI96" s="7" t="s">
        <v>28</v>
      </c>
      <c r="BJ96" s="7" t="s">
        <v>8</v>
      </c>
      <c r="BK96" s="7" t="s">
        <v>8</v>
      </c>
      <c r="BL96" s="7" t="s">
        <v>28</v>
      </c>
      <c r="BM96" s="7" t="s">
        <v>28</v>
      </c>
      <c r="BN96" s="7" t="s">
        <v>8</v>
      </c>
      <c r="BO96" s="7" t="s">
        <v>8</v>
      </c>
      <c r="BP96" s="7" t="s">
        <v>5804</v>
      </c>
      <c r="BQ96" s="7" t="s">
        <v>318</v>
      </c>
      <c r="BR96" s="7" t="s">
        <v>355</v>
      </c>
      <c r="BS96" s="7" t="s">
        <v>56</v>
      </c>
      <c r="BT96" s="7" t="s">
        <v>2089</v>
      </c>
      <c r="BU96" s="8" t="s">
        <v>6851</v>
      </c>
    </row>
    <row r="97" spans="1:73" ht="171">
      <c r="A97" s="9">
        <v>1076</v>
      </c>
      <c r="B97" s="10">
        <v>45201</v>
      </c>
      <c r="C97" s="11" t="s">
        <v>6852</v>
      </c>
      <c r="D97" s="10">
        <v>20713</v>
      </c>
      <c r="E97" s="29">
        <f ca="1">_xlfn.DAYS(NOW(),Tabella3[[#This Row],[Data di Nascita]])/365.25</f>
        <v>68.884325804243673</v>
      </c>
      <c r="F97" s="11" t="s">
        <v>6853</v>
      </c>
      <c r="G97" s="11" t="s">
        <v>6854</v>
      </c>
      <c r="H97" s="11" t="s">
        <v>816</v>
      </c>
      <c r="I97" s="11" t="s">
        <v>6855</v>
      </c>
      <c r="J97" s="11" t="s">
        <v>6856</v>
      </c>
      <c r="K97" s="17">
        <v>1</v>
      </c>
      <c r="L97" s="18"/>
      <c r="M97" s="18">
        <v>1</v>
      </c>
      <c r="N97" s="18"/>
      <c r="O97" s="18"/>
      <c r="P97" s="18"/>
      <c r="Q97" s="18"/>
      <c r="R97" s="18"/>
      <c r="S97" s="18"/>
      <c r="T97" s="11" t="s">
        <v>8</v>
      </c>
      <c r="U97" s="18"/>
      <c r="V97" s="18"/>
      <c r="W97" s="18">
        <v>1</v>
      </c>
      <c r="X97" s="11" t="s">
        <v>8</v>
      </c>
      <c r="Y97" s="18"/>
      <c r="Z97" s="18"/>
      <c r="AA97" s="18"/>
      <c r="AB97" s="18"/>
      <c r="AC97" s="18"/>
      <c r="AD97" s="11" t="s">
        <v>25</v>
      </c>
      <c r="AE97" s="18"/>
      <c r="AF97" s="18"/>
      <c r="AG97" s="18"/>
      <c r="AH97" s="18"/>
      <c r="AI97" s="18"/>
      <c r="AJ97" s="11" t="s">
        <v>6228</v>
      </c>
      <c r="AK97" s="17">
        <v>1</v>
      </c>
      <c r="AL97" s="11" t="s">
        <v>28</v>
      </c>
      <c r="AM97" s="17">
        <v>1</v>
      </c>
      <c r="AN97" s="11" t="s">
        <v>28</v>
      </c>
      <c r="AO97" s="17">
        <v>0</v>
      </c>
      <c r="AP97" s="18"/>
      <c r="AQ97" s="11" t="s">
        <v>28</v>
      </c>
      <c r="AR97" s="17">
        <v>1</v>
      </c>
      <c r="AS97" s="11" t="s">
        <v>28</v>
      </c>
      <c r="AT97" s="18"/>
      <c r="AU97" s="18"/>
      <c r="AV97" s="11" t="s">
        <v>8</v>
      </c>
      <c r="AW97" s="18"/>
      <c r="AX97" s="18"/>
      <c r="AY97" s="11" t="s">
        <v>8</v>
      </c>
      <c r="AZ97" s="11" t="s">
        <v>8</v>
      </c>
      <c r="BA97" s="11" t="s">
        <v>8</v>
      </c>
      <c r="BB97" s="11" t="s">
        <v>8</v>
      </c>
      <c r="BC97" s="11" t="s">
        <v>6857</v>
      </c>
      <c r="BD97" s="11" t="s">
        <v>6858</v>
      </c>
      <c r="BE97" s="11" t="s">
        <v>8</v>
      </c>
      <c r="BF97" s="11"/>
      <c r="BG97" s="11" t="s">
        <v>8</v>
      </c>
      <c r="BH97" s="11" t="s">
        <v>28</v>
      </c>
      <c r="BI97" s="11" t="s">
        <v>28</v>
      </c>
      <c r="BJ97" s="11" t="s">
        <v>8</v>
      </c>
      <c r="BK97" s="11" t="s">
        <v>28</v>
      </c>
      <c r="BL97" s="11" t="s">
        <v>8</v>
      </c>
      <c r="BM97" s="11" t="s">
        <v>28</v>
      </c>
      <c r="BN97" s="11" t="s">
        <v>8</v>
      </c>
      <c r="BO97" s="11" t="s">
        <v>8</v>
      </c>
      <c r="BP97" s="11" t="s">
        <v>4975</v>
      </c>
      <c r="BQ97" s="11" t="s">
        <v>152</v>
      </c>
      <c r="BR97" s="11" t="s">
        <v>355</v>
      </c>
      <c r="BS97" s="11" t="s">
        <v>450</v>
      </c>
      <c r="BT97" s="11" t="s">
        <v>6859</v>
      </c>
      <c r="BU97" s="12" t="s">
        <v>6860</v>
      </c>
    </row>
    <row r="98" spans="1:73" ht="128.25">
      <c r="A98" s="5">
        <v>1103</v>
      </c>
      <c r="B98" s="6">
        <v>45218</v>
      </c>
      <c r="C98" s="7" t="s">
        <v>6861</v>
      </c>
      <c r="D98" s="6">
        <v>19530</v>
      </c>
      <c r="E98" s="29">
        <f ca="1">_xlfn.DAYS(NOW(),Tabella3[[#This Row],[Data di Nascita]])/365.25</f>
        <v>72.123203285420942</v>
      </c>
      <c r="F98" s="7" t="s">
        <v>6862</v>
      </c>
      <c r="G98" s="7" t="s">
        <v>6863</v>
      </c>
      <c r="H98" s="7" t="s">
        <v>724</v>
      </c>
      <c r="I98" s="7" t="s">
        <v>742</v>
      </c>
      <c r="J98" s="7" t="s">
        <v>326</v>
      </c>
      <c r="K98" s="17"/>
      <c r="L98" s="17"/>
      <c r="M98" s="17"/>
      <c r="N98" s="17"/>
      <c r="O98" s="17"/>
      <c r="P98" s="17"/>
      <c r="Q98" s="17"/>
      <c r="R98" s="17"/>
      <c r="S98" s="17"/>
      <c r="T98" s="7" t="s">
        <v>6864</v>
      </c>
      <c r="U98" s="17">
        <v>12</v>
      </c>
      <c r="V98" s="17">
        <v>1</v>
      </c>
      <c r="W98" s="17"/>
      <c r="X98" s="7" t="s">
        <v>486</v>
      </c>
      <c r="Y98" s="17"/>
      <c r="Z98" s="17"/>
      <c r="AA98" s="17"/>
      <c r="AB98" s="17"/>
      <c r="AC98" s="17"/>
      <c r="AD98" s="7" t="s">
        <v>25</v>
      </c>
      <c r="AE98" s="17"/>
      <c r="AF98" s="17"/>
      <c r="AG98" s="17"/>
      <c r="AH98" s="17"/>
      <c r="AI98" s="17"/>
      <c r="AJ98" s="7" t="s">
        <v>6228</v>
      </c>
      <c r="AK98" s="17">
        <v>1</v>
      </c>
      <c r="AL98" s="7" t="s">
        <v>28</v>
      </c>
      <c r="AM98" s="17">
        <v>1</v>
      </c>
      <c r="AN98" s="7" t="s">
        <v>8</v>
      </c>
      <c r="AO98" s="17">
        <v>1</v>
      </c>
      <c r="AP98" s="17"/>
      <c r="AQ98" s="7" t="s">
        <v>28</v>
      </c>
      <c r="AR98" s="17">
        <v>1</v>
      </c>
      <c r="AS98" s="7" t="s">
        <v>28</v>
      </c>
      <c r="AT98" s="17"/>
      <c r="AU98" s="17"/>
      <c r="AV98" s="7" t="s">
        <v>8</v>
      </c>
      <c r="AW98" s="17"/>
      <c r="AX98" s="17"/>
      <c r="AY98" s="7" t="s">
        <v>8</v>
      </c>
      <c r="AZ98" s="7" t="s">
        <v>8</v>
      </c>
      <c r="BA98" s="7" t="s">
        <v>8</v>
      </c>
      <c r="BB98" s="7" t="s">
        <v>8</v>
      </c>
      <c r="BC98" s="7" t="s">
        <v>6865</v>
      </c>
      <c r="BD98" s="7" t="s">
        <v>6866</v>
      </c>
      <c r="BE98" s="7" t="s">
        <v>8</v>
      </c>
      <c r="BF98" s="7"/>
      <c r="BG98" s="7" t="s">
        <v>8</v>
      </c>
      <c r="BH98" s="7" t="s">
        <v>8</v>
      </c>
      <c r="BI98" s="7" t="s">
        <v>8</v>
      </c>
      <c r="BJ98" s="7" t="s">
        <v>8</v>
      </c>
      <c r="BK98" s="7" t="s">
        <v>8</v>
      </c>
      <c r="BL98" s="7" t="s">
        <v>8</v>
      </c>
      <c r="BM98" s="7" t="s">
        <v>28</v>
      </c>
      <c r="BN98" s="7" t="s">
        <v>28</v>
      </c>
      <c r="BO98" s="7" t="s">
        <v>8</v>
      </c>
      <c r="BP98" s="7" t="s">
        <v>5804</v>
      </c>
      <c r="BQ98" s="7" t="s">
        <v>55</v>
      </c>
      <c r="BR98" s="7" t="s">
        <v>219</v>
      </c>
      <c r="BS98" s="7" t="s">
        <v>248</v>
      </c>
      <c r="BT98" s="7" t="s">
        <v>6867</v>
      </c>
      <c r="BU98" s="8" t="s">
        <v>1977</v>
      </c>
    </row>
    <row r="99" spans="1:73" ht="199.5">
      <c r="A99" s="9">
        <v>1119</v>
      </c>
      <c r="B99" s="10">
        <v>45230</v>
      </c>
      <c r="C99" s="11" t="s">
        <v>6868</v>
      </c>
      <c r="D99" s="10">
        <v>22710</v>
      </c>
      <c r="E99" s="29">
        <f ca="1">_xlfn.DAYS(NOW(),Tabella3[[#This Row],[Data di Nascita]])/365.25</f>
        <v>63.416837782340863</v>
      </c>
      <c r="F99" s="11" t="s">
        <v>6869</v>
      </c>
      <c r="G99" s="11" t="s">
        <v>6870</v>
      </c>
      <c r="H99" s="11" t="s">
        <v>1492</v>
      </c>
      <c r="I99" s="11" t="s">
        <v>1971</v>
      </c>
      <c r="J99" s="11" t="s">
        <v>94</v>
      </c>
      <c r="K99" s="18"/>
      <c r="L99" s="18"/>
      <c r="M99" s="18"/>
      <c r="N99" s="18"/>
      <c r="O99" s="18"/>
      <c r="P99" s="18"/>
      <c r="Q99" s="18"/>
      <c r="R99" s="18"/>
      <c r="S99" s="18"/>
      <c r="T99" s="11" t="s">
        <v>8</v>
      </c>
      <c r="U99" s="18"/>
      <c r="V99" s="18"/>
      <c r="W99" s="18">
        <v>1</v>
      </c>
      <c r="X99" s="11" t="s">
        <v>8</v>
      </c>
      <c r="Y99" s="18"/>
      <c r="Z99" s="18"/>
      <c r="AA99" s="18"/>
      <c r="AB99" s="18">
        <v>1</v>
      </c>
      <c r="AC99" s="18"/>
      <c r="AD99" s="11" t="s">
        <v>6871</v>
      </c>
      <c r="AE99" s="18"/>
      <c r="AF99" s="18">
        <v>1</v>
      </c>
      <c r="AG99" s="18"/>
      <c r="AH99" s="18"/>
      <c r="AI99" s="18"/>
      <c r="AJ99" s="11" t="s">
        <v>6872</v>
      </c>
      <c r="AK99" s="17">
        <v>1</v>
      </c>
      <c r="AL99" s="11" t="s">
        <v>28</v>
      </c>
      <c r="AM99" s="17">
        <v>1</v>
      </c>
      <c r="AN99" s="11" t="s">
        <v>8</v>
      </c>
      <c r="AO99" s="17">
        <v>1</v>
      </c>
      <c r="AP99" s="18"/>
      <c r="AQ99" s="11" t="s">
        <v>8</v>
      </c>
      <c r="AR99" s="17">
        <v>1</v>
      </c>
      <c r="AS99" s="11" t="s">
        <v>8</v>
      </c>
      <c r="AT99" s="17">
        <v>1</v>
      </c>
      <c r="AU99" s="18"/>
      <c r="AV99" s="11" t="s">
        <v>8</v>
      </c>
      <c r="AW99" s="18"/>
      <c r="AX99" s="18"/>
      <c r="AY99" s="11" t="s">
        <v>28</v>
      </c>
      <c r="AZ99" s="11" t="s">
        <v>8</v>
      </c>
      <c r="BA99" s="11" t="s">
        <v>28</v>
      </c>
      <c r="BB99" s="11" t="s">
        <v>6873</v>
      </c>
      <c r="BC99" s="11"/>
      <c r="BD99" s="11" t="s">
        <v>6874</v>
      </c>
      <c r="BE99" s="11" t="s">
        <v>8</v>
      </c>
      <c r="BF99" s="11"/>
      <c r="BG99" s="11" t="s">
        <v>28</v>
      </c>
      <c r="BH99" s="11" t="s">
        <v>28</v>
      </c>
      <c r="BI99" s="11" t="s">
        <v>28</v>
      </c>
      <c r="BJ99" s="11" t="s">
        <v>8</v>
      </c>
      <c r="BK99" s="11" t="s">
        <v>8</v>
      </c>
      <c r="BL99" s="11" t="s">
        <v>28</v>
      </c>
      <c r="BM99" s="11" t="s">
        <v>6340</v>
      </c>
      <c r="BN99" s="11" t="s">
        <v>8</v>
      </c>
      <c r="BO99" s="11" t="s">
        <v>2069</v>
      </c>
      <c r="BP99" s="11" t="s">
        <v>4975</v>
      </c>
      <c r="BQ99" s="11" t="s">
        <v>70</v>
      </c>
      <c r="BR99" s="11" t="s">
        <v>71</v>
      </c>
      <c r="BS99" s="11" t="s">
        <v>1181</v>
      </c>
      <c r="BT99" s="11" t="s">
        <v>6875</v>
      </c>
      <c r="BU99" s="12" t="s">
        <v>6876</v>
      </c>
    </row>
    <row r="100" spans="1:73" ht="199.5">
      <c r="A100" s="5">
        <v>1129</v>
      </c>
      <c r="B100" s="6">
        <v>45237</v>
      </c>
      <c r="C100" s="7" t="s">
        <v>6877</v>
      </c>
      <c r="D100" s="6">
        <v>24047</v>
      </c>
      <c r="E100" s="29">
        <f ca="1">_xlfn.DAYS(NOW(),Tabella3[[#This Row],[Data di Nascita]])/365.25</f>
        <v>59.756331279945243</v>
      </c>
      <c r="F100" s="7" t="s">
        <v>6878</v>
      </c>
      <c r="G100" s="7" t="s">
        <v>6879</v>
      </c>
      <c r="H100" s="7" t="s">
        <v>880</v>
      </c>
      <c r="I100" s="7" t="s">
        <v>742</v>
      </c>
      <c r="J100" s="7" t="s">
        <v>428</v>
      </c>
      <c r="K100" s="17">
        <v>1</v>
      </c>
      <c r="L100" s="17"/>
      <c r="M100" s="17"/>
      <c r="N100" s="17"/>
      <c r="O100" s="17"/>
      <c r="P100" s="17"/>
      <c r="Q100" s="17"/>
      <c r="R100" s="17"/>
      <c r="S100" s="17"/>
      <c r="T100" s="7" t="s">
        <v>8</v>
      </c>
      <c r="U100" s="17"/>
      <c r="V100" s="17"/>
      <c r="W100" s="17">
        <v>1</v>
      </c>
      <c r="X100" s="7" t="s">
        <v>354</v>
      </c>
      <c r="Y100" s="17"/>
      <c r="Z100" s="17">
        <v>1</v>
      </c>
      <c r="AA100" s="17"/>
      <c r="AB100" s="17"/>
      <c r="AC100" s="17"/>
      <c r="AD100" s="7" t="s">
        <v>6880</v>
      </c>
      <c r="AE100" s="17"/>
      <c r="AF100" s="17">
        <v>1</v>
      </c>
      <c r="AG100" s="17"/>
      <c r="AH100" s="17"/>
      <c r="AI100" s="17"/>
      <c r="AJ100" s="7" t="s">
        <v>8</v>
      </c>
      <c r="AK100" s="17"/>
      <c r="AL100" s="7" t="s">
        <v>8</v>
      </c>
      <c r="AM100" s="17"/>
      <c r="AN100" s="7" t="s">
        <v>8</v>
      </c>
      <c r="AO100" s="17">
        <v>1</v>
      </c>
      <c r="AP100" s="17"/>
      <c r="AQ100" s="7" t="s">
        <v>8</v>
      </c>
      <c r="AR100" s="17">
        <v>1</v>
      </c>
      <c r="AS100" s="7" t="s">
        <v>8</v>
      </c>
      <c r="AT100" s="17">
        <v>1</v>
      </c>
      <c r="AU100" s="17"/>
      <c r="AV100" s="7" t="s">
        <v>28</v>
      </c>
      <c r="AW100" s="17"/>
      <c r="AX100" s="17">
        <v>1</v>
      </c>
      <c r="AY100" s="7" t="s">
        <v>8</v>
      </c>
      <c r="AZ100" s="7" t="s">
        <v>8</v>
      </c>
      <c r="BA100" s="7" t="s">
        <v>28</v>
      </c>
      <c r="BB100" s="7" t="s">
        <v>6881</v>
      </c>
      <c r="BC100" s="7"/>
      <c r="BD100" s="7" t="s">
        <v>6882</v>
      </c>
      <c r="BE100" s="7" t="s">
        <v>8</v>
      </c>
      <c r="BF100" s="7"/>
      <c r="BG100" s="7" t="s">
        <v>28</v>
      </c>
      <c r="BH100" s="7" t="s">
        <v>28</v>
      </c>
      <c r="BI100" s="7" t="s">
        <v>28</v>
      </c>
      <c r="BJ100" s="7" t="s">
        <v>28</v>
      </c>
      <c r="BK100" s="7" t="s">
        <v>5275</v>
      </c>
      <c r="BL100" s="7" t="s">
        <v>28</v>
      </c>
      <c r="BM100" s="7" t="s">
        <v>6883</v>
      </c>
      <c r="BN100" s="7" t="s">
        <v>28</v>
      </c>
      <c r="BO100" s="7" t="s">
        <v>8</v>
      </c>
      <c r="BP100" s="7" t="s">
        <v>4975</v>
      </c>
      <c r="BQ100" s="7" t="s">
        <v>168</v>
      </c>
      <c r="BR100" s="7" t="s">
        <v>219</v>
      </c>
      <c r="BS100" s="7" t="s">
        <v>370</v>
      </c>
      <c r="BT100" s="7" t="s">
        <v>6884</v>
      </c>
      <c r="BU100" s="8" t="s">
        <v>1977</v>
      </c>
    </row>
    <row r="101" spans="1:73" ht="114">
      <c r="A101" s="9">
        <v>1145</v>
      </c>
      <c r="B101" s="10">
        <v>45245</v>
      </c>
      <c r="C101" s="11" t="s">
        <v>6885</v>
      </c>
      <c r="D101" s="10">
        <v>26329</v>
      </c>
      <c r="E101" s="29">
        <f ca="1">_xlfn.DAYS(NOW(),Tabella3[[#This Row],[Data di Nascita]])/365.25</f>
        <v>53.508555783709788</v>
      </c>
      <c r="F101" s="11" t="s">
        <v>6886</v>
      </c>
      <c r="G101" s="11" t="s">
        <v>6887</v>
      </c>
      <c r="H101" s="11" t="s">
        <v>1116</v>
      </c>
      <c r="I101" s="11" t="s">
        <v>1346</v>
      </c>
      <c r="J101" s="11" t="s">
        <v>1865</v>
      </c>
      <c r="K101" s="18"/>
      <c r="L101" s="18"/>
      <c r="M101" s="18"/>
      <c r="N101" s="18"/>
      <c r="O101" s="17">
        <v>1</v>
      </c>
      <c r="P101" s="18"/>
      <c r="Q101" s="18"/>
      <c r="R101" s="18"/>
      <c r="S101" s="18"/>
      <c r="T101" s="11" t="s">
        <v>6888</v>
      </c>
      <c r="U101" s="18">
        <v>5</v>
      </c>
      <c r="V101" s="18">
        <v>1</v>
      </c>
      <c r="W101" s="18"/>
      <c r="X101" s="11" t="s">
        <v>354</v>
      </c>
      <c r="Y101" s="18"/>
      <c r="Z101" s="18">
        <v>1</v>
      </c>
      <c r="AA101" s="18"/>
      <c r="AB101" s="18"/>
      <c r="AC101" s="18"/>
      <c r="AD101" s="11" t="s">
        <v>25</v>
      </c>
      <c r="AE101" s="18"/>
      <c r="AF101" s="18"/>
      <c r="AG101" s="18"/>
      <c r="AH101" s="18"/>
      <c r="AI101" s="18"/>
      <c r="AJ101" s="11" t="s">
        <v>8</v>
      </c>
      <c r="AK101" s="18"/>
      <c r="AL101" s="11" t="s">
        <v>8</v>
      </c>
      <c r="AM101" s="18"/>
      <c r="AN101" s="11" t="s">
        <v>8</v>
      </c>
      <c r="AO101" s="17">
        <v>1</v>
      </c>
      <c r="AP101" s="18"/>
      <c r="AQ101" s="11" t="s">
        <v>8</v>
      </c>
      <c r="AR101" s="17">
        <v>1</v>
      </c>
      <c r="AS101" s="11" t="s">
        <v>28</v>
      </c>
      <c r="AT101" s="18"/>
      <c r="AU101" s="18"/>
      <c r="AV101" s="11" t="s">
        <v>8</v>
      </c>
      <c r="AW101" s="18"/>
      <c r="AX101" s="18"/>
      <c r="AY101" s="11" t="s">
        <v>8</v>
      </c>
      <c r="AZ101" s="11" t="s">
        <v>28</v>
      </c>
      <c r="BA101" s="11" t="s">
        <v>28</v>
      </c>
      <c r="BB101" s="11" t="s">
        <v>8</v>
      </c>
      <c r="BC101" s="11"/>
      <c r="BD101" s="11" t="s">
        <v>132</v>
      </c>
      <c r="BE101" s="11" t="s">
        <v>8</v>
      </c>
      <c r="BF101" s="11" t="s">
        <v>6889</v>
      </c>
      <c r="BG101" s="11" t="s">
        <v>28</v>
      </c>
      <c r="BH101" s="11" t="s">
        <v>8</v>
      </c>
      <c r="BI101" s="11" t="s">
        <v>28</v>
      </c>
      <c r="BJ101" s="11" t="s">
        <v>8</v>
      </c>
      <c r="BK101" s="11" t="s">
        <v>8</v>
      </c>
      <c r="BL101" s="11" t="s">
        <v>28</v>
      </c>
      <c r="BM101" s="11" t="s">
        <v>2069</v>
      </c>
      <c r="BN101" s="11" t="s">
        <v>28</v>
      </c>
      <c r="BO101" s="11" t="s">
        <v>8</v>
      </c>
      <c r="BP101" s="11" t="s">
        <v>4975</v>
      </c>
      <c r="BQ101" s="11" t="s">
        <v>403</v>
      </c>
      <c r="BR101" s="11" t="s">
        <v>71</v>
      </c>
      <c r="BS101" s="11" t="s">
        <v>184</v>
      </c>
      <c r="BT101" s="11" t="s">
        <v>6890</v>
      </c>
      <c r="BU101" s="12" t="s">
        <v>2019</v>
      </c>
    </row>
    <row r="102" spans="1:73" ht="185.25">
      <c r="A102" s="5">
        <v>1149</v>
      </c>
      <c r="B102" s="6">
        <v>45247</v>
      </c>
      <c r="C102" s="7" t="s">
        <v>6891</v>
      </c>
      <c r="D102" s="6">
        <v>23905</v>
      </c>
      <c r="E102" s="29">
        <f ca="1">_xlfn.DAYS(NOW(),Tabella3[[#This Row],[Data di Nascita]])/365.25</f>
        <v>60.145106091717999</v>
      </c>
      <c r="F102" s="7" t="s">
        <v>6892</v>
      </c>
      <c r="G102" s="7" t="s">
        <v>6893</v>
      </c>
      <c r="H102" s="7" t="s">
        <v>816</v>
      </c>
      <c r="I102" s="7" t="s">
        <v>742</v>
      </c>
      <c r="J102" s="7" t="s">
        <v>6894</v>
      </c>
      <c r="K102" s="17"/>
      <c r="L102" s="17"/>
      <c r="M102" s="17"/>
      <c r="N102" s="17"/>
      <c r="O102" s="17">
        <v>1</v>
      </c>
      <c r="P102" s="17"/>
      <c r="Q102" s="17"/>
      <c r="R102" s="17"/>
      <c r="S102" s="17"/>
      <c r="T102" s="7" t="s">
        <v>8</v>
      </c>
      <c r="U102" s="17"/>
      <c r="V102" s="17"/>
      <c r="W102" s="17">
        <v>1</v>
      </c>
      <c r="X102" s="7" t="s">
        <v>486</v>
      </c>
      <c r="Y102" s="17"/>
      <c r="Z102" s="17"/>
      <c r="AA102" s="17"/>
      <c r="AB102" s="17"/>
      <c r="AC102" s="17"/>
      <c r="AD102" s="7" t="s">
        <v>25</v>
      </c>
      <c r="AE102" s="17"/>
      <c r="AF102" s="17"/>
      <c r="AG102" s="17"/>
      <c r="AH102" s="17"/>
      <c r="AI102" s="17"/>
      <c r="AJ102" s="7" t="s">
        <v>6228</v>
      </c>
      <c r="AK102" s="17">
        <v>1</v>
      </c>
      <c r="AL102" s="7" t="s">
        <v>28</v>
      </c>
      <c r="AM102" s="17">
        <v>1</v>
      </c>
      <c r="AN102" s="7" t="s">
        <v>8</v>
      </c>
      <c r="AO102" s="17">
        <v>1</v>
      </c>
      <c r="AP102" s="17"/>
      <c r="AQ102" s="7" t="s">
        <v>8</v>
      </c>
      <c r="AR102" s="17">
        <v>1</v>
      </c>
      <c r="AS102" s="7" t="s">
        <v>28</v>
      </c>
      <c r="AT102" s="17"/>
      <c r="AU102" s="17"/>
      <c r="AV102" s="7" t="s">
        <v>8</v>
      </c>
      <c r="AW102" s="17"/>
      <c r="AX102" s="17"/>
      <c r="AY102" s="7" t="s">
        <v>8</v>
      </c>
      <c r="AZ102" s="7" t="s">
        <v>8</v>
      </c>
      <c r="BA102" s="7" t="s">
        <v>28</v>
      </c>
      <c r="BB102" s="7" t="s">
        <v>6895</v>
      </c>
      <c r="BC102" s="7"/>
      <c r="BD102" s="7" t="s">
        <v>6896</v>
      </c>
      <c r="BE102" s="7" t="s">
        <v>8</v>
      </c>
      <c r="BF102" s="7"/>
      <c r="BG102" s="7" t="s">
        <v>8</v>
      </c>
      <c r="BH102" s="7" t="s">
        <v>28</v>
      </c>
      <c r="BI102" s="7" t="s">
        <v>8</v>
      </c>
      <c r="BJ102" s="7" t="s">
        <v>8</v>
      </c>
      <c r="BK102" s="7" t="s">
        <v>8</v>
      </c>
      <c r="BL102" s="7" t="s">
        <v>28</v>
      </c>
      <c r="BM102" s="7" t="s">
        <v>2069</v>
      </c>
      <c r="BN102" s="7" t="s">
        <v>8</v>
      </c>
      <c r="BO102" s="7" t="s">
        <v>8</v>
      </c>
      <c r="BP102" s="7" t="s">
        <v>4975</v>
      </c>
      <c r="BQ102" s="7" t="s">
        <v>55</v>
      </c>
      <c r="BR102" s="7" t="s">
        <v>355</v>
      </c>
      <c r="BS102" s="7" t="s">
        <v>319</v>
      </c>
      <c r="BT102" s="7" t="s">
        <v>6897</v>
      </c>
      <c r="BU102" s="8" t="s">
        <v>6898</v>
      </c>
    </row>
    <row r="103" spans="1:73" ht="299.25">
      <c r="A103" s="9">
        <v>1156</v>
      </c>
      <c r="B103" s="10">
        <v>45251</v>
      </c>
      <c r="C103" s="11" t="s">
        <v>6899</v>
      </c>
      <c r="D103" s="10">
        <v>27283</v>
      </c>
      <c r="E103" s="29">
        <f ca="1">_xlfn.DAYS(NOW(),Tabella3[[#This Row],[Data di Nascita]])/365.25</f>
        <v>50.896646132785762</v>
      </c>
      <c r="F103" s="11" t="s">
        <v>6900</v>
      </c>
      <c r="G103" s="11" t="s">
        <v>6901</v>
      </c>
      <c r="H103" s="11" t="s">
        <v>2142</v>
      </c>
      <c r="I103" s="11" t="s">
        <v>1346</v>
      </c>
      <c r="J103" s="11" t="s">
        <v>297</v>
      </c>
      <c r="K103" s="18"/>
      <c r="L103" s="18"/>
      <c r="M103" s="18"/>
      <c r="N103" s="18"/>
      <c r="O103" s="18"/>
      <c r="P103" s="18"/>
      <c r="Q103" s="18"/>
      <c r="R103" s="18"/>
      <c r="S103" s="18"/>
      <c r="T103" s="11" t="s">
        <v>6902</v>
      </c>
      <c r="U103" s="18"/>
      <c r="V103" s="18"/>
      <c r="W103" s="18"/>
      <c r="X103" s="11" t="s">
        <v>7</v>
      </c>
      <c r="Y103" s="18"/>
      <c r="Z103" s="18"/>
      <c r="AA103" s="18"/>
      <c r="AB103" s="18"/>
      <c r="AC103" s="18"/>
      <c r="AD103" s="11" t="s">
        <v>6903</v>
      </c>
      <c r="AE103" s="18"/>
      <c r="AF103" s="18"/>
      <c r="AG103" s="18"/>
      <c r="AH103" s="18"/>
      <c r="AI103" s="18">
        <v>1</v>
      </c>
      <c r="AJ103" s="11" t="s">
        <v>7</v>
      </c>
      <c r="AK103" s="17">
        <v>1</v>
      </c>
      <c r="AL103" s="11" t="s">
        <v>8</v>
      </c>
      <c r="AM103" s="18"/>
      <c r="AN103" s="11" t="s">
        <v>8</v>
      </c>
      <c r="AO103" s="17">
        <v>1</v>
      </c>
      <c r="AP103" s="18"/>
      <c r="AQ103" s="11" t="s">
        <v>8</v>
      </c>
      <c r="AR103" s="17">
        <v>1</v>
      </c>
      <c r="AS103" s="11" t="s">
        <v>8</v>
      </c>
      <c r="AT103" s="17">
        <v>1</v>
      </c>
      <c r="AU103" s="18"/>
      <c r="AV103" s="11" t="s">
        <v>8</v>
      </c>
      <c r="AW103" s="18"/>
      <c r="AX103" s="18"/>
      <c r="AY103" s="11" t="s">
        <v>6904</v>
      </c>
      <c r="AZ103" s="11" t="s">
        <v>7</v>
      </c>
      <c r="BA103" s="11" t="s">
        <v>8</v>
      </c>
      <c r="BB103" s="11" t="s">
        <v>8</v>
      </c>
      <c r="BC103" s="11" t="s">
        <v>8</v>
      </c>
      <c r="BD103" s="11" t="s">
        <v>8</v>
      </c>
      <c r="BE103" s="11" t="s">
        <v>8</v>
      </c>
      <c r="BF103" s="11"/>
      <c r="BG103" s="11" t="s">
        <v>8</v>
      </c>
      <c r="BH103" s="11" t="s">
        <v>6905</v>
      </c>
      <c r="BI103" s="11" t="s">
        <v>7</v>
      </c>
      <c r="BJ103" s="11" t="s">
        <v>8</v>
      </c>
      <c r="BK103" s="11" t="s">
        <v>6906</v>
      </c>
      <c r="BL103" s="11" t="s">
        <v>8</v>
      </c>
      <c r="BM103" s="11" t="s">
        <v>6907</v>
      </c>
      <c r="BN103" s="11" t="s">
        <v>8</v>
      </c>
      <c r="BO103" s="11" t="s">
        <v>7</v>
      </c>
      <c r="BP103" s="11" t="s">
        <v>4975</v>
      </c>
      <c r="BQ103" s="11" t="s">
        <v>14</v>
      </c>
      <c r="BR103" s="11" t="s">
        <v>153</v>
      </c>
      <c r="BS103" s="11" t="s">
        <v>105</v>
      </c>
      <c r="BT103" s="11" t="s">
        <v>6908</v>
      </c>
      <c r="BU103" s="12" t="s">
        <v>6909</v>
      </c>
    </row>
    <row r="104" spans="1:73" ht="114">
      <c r="A104" s="5">
        <v>1164</v>
      </c>
      <c r="B104" s="6">
        <v>45254</v>
      </c>
      <c r="C104" s="7" t="s">
        <v>6910</v>
      </c>
      <c r="D104" s="6">
        <v>18837</v>
      </c>
      <c r="E104" s="29">
        <f ca="1">_xlfn.DAYS(NOW(),Tabella3[[#This Row],[Data di Nascita]])/365.25</f>
        <v>74.020533880903486</v>
      </c>
      <c r="F104" s="7" t="s">
        <v>6911</v>
      </c>
      <c r="G104" s="7" t="s">
        <v>6912</v>
      </c>
      <c r="H104" s="7" t="s">
        <v>955</v>
      </c>
      <c r="I104" s="7" t="s">
        <v>742</v>
      </c>
      <c r="J104" s="7" t="s">
        <v>6913</v>
      </c>
      <c r="K104" s="17">
        <v>1</v>
      </c>
      <c r="L104" s="17"/>
      <c r="M104" s="17"/>
      <c r="N104" s="17"/>
      <c r="O104" s="17"/>
      <c r="P104" s="17"/>
      <c r="Q104" s="17"/>
      <c r="R104" s="17"/>
      <c r="S104" s="17"/>
      <c r="T104" s="7" t="s">
        <v>8</v>
      </c>
      <c r="U104" s="17"/>
      <c r="V104" s="17"/>
      <c r="W104" s="17">
        <v>1</v>
      </c>
      <c r="X104" s="7" t="s">
        <v>8</v>
      </c>
      <c r="Y104" s="17"/>
      <c r="Z104" s="17"/>
      <c r="AA104" s="17"/>
      <c r="AB104" s="17">
        <v>1</v>
      </c>
      <c r="AC104" s="17"/>
      <c r="AD104" s="7" t="s">
        <v>6914</v>
      </c>
      <c r="AE104" s="17"/>
      <c r="AF104" s="17"/>
      <c r="AG104" s="17">
        <v>1</v>
      </c>
      <c r="AH104" s="17"/>
      <c r="AI104" s="17"/>
      <c r="AJ104" s="7" t="s">
        <v>6915</v>
      </c>
      <c r="AK104" s="17">
        <v>1</v>
      </c>
      <c r="AL104" s="7" t="s">
        <v>8</v>
      </c>
      <c r="AM104" s="17"/>
      <c r="AN104" s="7" t="s">
        <v>8</v>
      </c>
      <c r="AO104" s="17">
        <v>1</v>
      </c>
      <c r="AP104" s="17"/>
      <c r="AQ104" s="7" t="s">
        <v>8</v>
      </c>
      <c r="AR104" s="17">
        <v>1</v>
      </c>
      <c r="AS104" s="7" t="s">
        <v>8</v>
      </c>
      <c r="AT104" s="17">
        <v>1</v>
      </c>
      <c r="AU104" s="17"/>
      <c r="AV104" s="7" t="s">
        <v>8</v>
      </c>
      <c r="AW104" s="17"/>
      <c r="AX104" s="17"/>
      <c r="AY104" s="7" t="s">
        <v>8</v>
      </c>
      <c r="AZ104" s="7" t="s">
        <v>8</v>
      </c>
      <c r="BA104" s="7" t="s">
        <v>28</v>
      </c>
      <c r="BB104" s="7" t="s">
        <v>6881</v>
      </c>
      <c r="BC104" s="7"/>
      <c r="BD104" s="7" t="s">
        <v>6916</v>
      </c>
      <c r="BE104" s="7" t="s">
        <v>8</v>
      </c>
      <c r="BF104" s="7"/>
      <c r="BG104" s="7" t="s">
        <v>6917</v>
      </c>
      <c r="BH104" s="7" t="s">
        <v>28</v>
      </c>
      <c r="BI104" s="7" t="s">
        <v>6918</v>
      </c>
      <c r="BJ104" s="7" t="s">
        <v>8</v>
      </c>
      <c r="BK104" s="7" t="s">
        <v>8</v>
      </c>
      <c r="BL104" s="7" t="s">
        <v>28</v>
      </c>
      <c r="BM104" s="7" t="s">
        <v>2039</v>
      </c>
      <c r="BN104" s="7" t="s">
        <v>28</v>
      </c>
      <c r="BO104" s="7" t="s">
        <v>28</v>
      </c>
      <c r="BP104" s="7" t="s">
        <v>5804</v>
      </c>
      <c r="BQ104" s="7" t="s">
        <v>6919</v>
      </c>
      <c r="BR104" s="7" t="s">
        <v>355</v>
      </c>
      <c r="BS104" s="7" t="s">
        <v>16</v>
      </c>
      <c r="BT104" s="7" t="s">
        <v>6920</v>
      </c>
      <c r="BU104" s="8" t="s">
        <v>6921</v>
      </c>
    </row>
    <row r="105" spans="1:73" ht="114">
      <c r="A105" s="9">
        <v>1201</v>
      </c>
      <c r="B105" s="10">
        <v>45275</v>
      </c>
      <c r="C105" s="11" t="s">
        <v>6922</v>
      </c>
      <c r="D105" s="10">
        <v>14742</v>
      </c>
      <c r="E105" s="29">
        <f ca="1">_xlfn.DAYS(NOW(),Tabella3[[#This Row],[Data di Nascita]])/365.25</f>
        <v>85.23203285420945</v>
      </c>
      <c r="F105" s="11" t="s">
        <v>6923</v>
      </c>
      <c r="G105" s="11" t="s">
        <v>6924</v>
      </c>
      <c r="H105" s="11" t="s">
        <v>6925</v>
      </c>
      <c r="I105" s="11" t="s">
        <v>1346</v>
      </c>
      <c r="J105" s="11" t="s">
        <v>6926</v>
      </c>
      <c r="K105" s="17">
        <v>1</v>
      </c>
      <c r="L105" s="18"/>
      <c r="M105" s="18"/>
      <c r="N105" s="18"/>
      <c r="O105" s="18"/>
      <c r="P105" s="18">
        <v>1</v>
      </c>
      <c r="Q105" s="18"/>
      <c r="R105" s="18"/>
      <c r="S105" s="18"/>
      <c r="T105" s="11" t="s">
        <v>6927</v>
      </c>
      <c r="U105" s="18">
        <v>45</v>
      </c>
      <c r="V105" s="18">
        <v>1</v>
      </c>
      <c r="W105" s="18"/>
      <c r="X105" s="11" t="s">
        <v>272</v>
      </c>
      <c r="Y105" s="18"/>
      <c r="Z105" s="18"/>
      <c r="AA105" s="18">
        <v>1</v>
      </c>
      <c r="AB105" s="18"/>
      <c r="AC105" s="18"/>
      <c r="AD105" s="11" t="s">
        <v>8</v>
      </c>
      <c r="AE105" s="18"/>
      <c r="AF105" s="18"/>
      <c r="AG105" s="18"/>
      <c r="AH105" s="18"/>
      <c r="AI105" s="18"/>
      <c r="AJ105" s="11" t="s">
        <v>7</v>
      </c>
      <c r="AK105" s="17">
        <v>1</v>
      </c>
      <c r="AL105" s="11" t="s">
        <v>7</v>
      </c>
      <c r="AM105" s="17">
        <v>1</v>
      </c>
      <c r="AN105" s="11" t="s">
        <v>8</v>
      </c>
      <c r="AO105" s="17">
        <v>1</v>
      </c>
      <c r="AP105" s="18"/>
      <c r="AQ105" s="11" t="s">
        <v>6928</v>
      </c>
      <c r="AR105" s="17">
        <v>1</v>
      </c>
      <c r="AS105" s="11" t="s">
        <v>8</v>
      </c>
      <c r="AT105" s="17">
        <v>1</v>
      </c>
      <c r="AU105" s="18"/>
      <c r="AV105" s="11" t="s">
        <v>6929</v>
      </c>
      <c r="AW105" s="18"/>
      <c r="AX105" s="18">
        <v>1</v>
      </c>
      <c r="AY105" s="11" t="s">
        <v>8</v>
      </c>
      <c r="AZ105" s="11" t="s">
        <v>7</v>
      </c>
      <c r="BA105" s="11" t="s">
        <v>8</v>
      </c>
      <c r="BB105" s="11" t="s">
        <v>6930</v>
      </c>
      <c r="BC105" s="11"/>
      <c r="BD105" s="11" t="s">
        <v>6931</v>
      </c>
      <c r="BE105" s="11" t="s">
        <v>8</v>
      </c>
      <c r="BF105" s="11" t="s">
        <v>6932</v>
      </c>
      <c r="BG105" s="11" t="s">
        <v>354</v>
      </c>
      <c r="BH105" s="11" t="s">
        <v>8</v>
      </c>
      <c r="BI105" s="11" t="s">
        <v>7</v>
      </c>
      <c r="BJ105" s="11" t="s">
        <v>8</v>
      </c>
      <c r="BK105" s="11" t="s">
        <v>8</v>
      </c>
      <c r="BL105" s="11" t="s">
        <v>6933</v>
      </c>
      <c r="BM105" s="11" t="s">
        <v>386</v>
      </c>
      <c r="BN105" s="11" t="s">
        <v>6934</v>
      </c>
      <c r="BO105" s="11" t="s">
        <v>8</v>
      </c>
      <c r="BP105" s="11" t="s">
        <v>5804</v>
      </c>
      <c r="BQ105" s="11" t="s">
        <v>495</v>
      </c>
      <c r="BR105" s="11" t="s">
        <v>105</v>
      </c>
      <c r="BS105" s="11" t="s">
        <v>664</v>
      </c>
      <c r="BT105" s="11" t="s">
        <v>6935</v>
      </c>
      <c r="BU105" s="12" t="s">
        <v>6936</v>
      </c>
    </row>
    <row r="106" spans="1:73" ht="213.75">
      <c r="A106" s="5">
        <v>1212</v>
      </c>
      <c r="B106" s="6">
        <v>45281</v>
      </c>
      <c r="C106" s="7" t="s">
        <v>6937</v>
      </c>
      <c r="D106" s="6">
        <v>17625</v>
      </c>
      <c r="E106" s="29">
        <f ca="1">_xlfn.DAYS(NOW(),Tabella3[[#This Row],[Data di Nascita]])/365.25</f>
        <v>77.338809034907598</v>
      </c>
      <c r="F106" s="7" t="s">
        <v>6938</v>
      </c>
      <c r="G106" s="7" t="s">
        <v>6939</v>
      </c>
      <c r="H106" s="7" t="s">
        <v>6940</v>
      </c>
      <c r="I106" s="7" t="s">
        <v>618</v>
      </c>
      <c r="J106" s="7" t="s">
        <v>6941</v>
      </c>
      <c r="K106" s="17">
        <v>1</v>
      </c>
      <c r="L106" s="17"/>
      <c r="M106" s="18">
        <v>1</v>
      </c>
      <c r="N106" s="17">
        <v>1</v>
      </c>
      <c r="O106" s="17"/>
      <c r="P106" s="17"/>
      <c r="Q106" s="17"/>
      <c r="R106" s="17"/>
      <c r="S106" s="17"/>
      <c r="T106" s="7" t="s">
        <v>6942</v>
      </c>
      <c r="U106" s="17">
        <v>55</v>
      </c>
      <c r="V106" s="17">
        <v>1</v>
      </c>
      <c r="W106" s="17"/>
      <c r="X106" s="7" t="s">
        <v>26</v>
      </c>
      <c r="Y106" s="17"/>
      <c r="Z106" s="17"/>
      <c r="AA106" s="17">
        <v>1</v>
      </c>
      <c r="AB106" s="17"/>
      <c r="AC106" s="17"/>
      <c r="AD106" s="7" t="s">
        <v>6943</v>
      </c>
      <c r="AE106" s="17"/>
      <c r="AF106" s="17"/>
      <c r="AG106" s="17"/>
      <c r="AH106" s="17"/>
      <c r="AI106" s="17"/>
      <c r="AJ106" s="7" t="s">
        <v>6944</v>
      </c>
      <c r="AK106" s="17">
        <v>1</v>
      </c>
      <c r="AL106" s="7" t="s">
        <v>28</v>
      </c>
      <c r="AM106" s="17">
        <v>1</v>
      </c>
      <c r="AN106" s="7" t="s">
        <v>6945</v>
      </c>
      <c r="AO106" s="17">
        <v>0</v>
      </c>
      <c r="AP106" s="17"/>
      <c r="AQ106" s="7" t="s">
        <v>8</v>
      </c>
      <c r="AR106" s="17">
        <v>1</v>
      </c>
      <c r="AS106" s="7" t="s">
        <v>28</v>
      </c>
      <c r="AT106" s="17"/>
      <c r="AU106" s="17"/>
      <c r="AV106" s="7" t="s">
        <v>8</v>
      </c>
      <c r="AW106" s="17"/>
      <c r="AX106" s="17"/>
      <c r="AY106" s="7" t="s">
        <v>8</v>
      </c>
      <c r="AZ106" s="7" t="s">
        <v>28</v>
      </c>
      <c r="BA106" s="7" t="s">
        <v>28</v>
      </c>
      <c r="BB106" s="7" t="s">
        <v>6322</v>
      </c>
      <c r="BC106" s="7" t="s">
        <v>6946</v>
      </c>
      <c r="BD106" s="7" t="s">
        <v>6947</v>
      </c>
      <c r="BE106" s="7" t="s">
        <v>8</v>
      </c>
      <c r="BF106" s="7"/>
      <c r="BG106" s="7" t="s">
        <v>6948</v>
      </c>
      <c r="BH106" s="7" t="s">
        <v>6949</v>
      </c>
      <c r="BI106" s="7" t="s">
        <v>6950</v>
      </c>
      <c r="BJ106" s="7" t="s">
        <v>8</v>
      </c>
      <c r="BK106" s="7" t="s">
        <v>6951</v>
      </c>
      <c r="BL106" s="7" t="s">
        <v>28</v>
      </c>
      <c r="BM106" s="7" t="s">
        <v>1944</v>
      </c>
      <c r="BN106" s="7" t="s">
        <v>28</v>
      </c>
      <c r="BO106" s="7" t="s">
        <v>28</v>
      </c>
      <c r="BP106" s="7" t="s">
        <v>4975</v>
      </c>
      <c r="BQ106" s="7" t="s">
        <v>6952</v>
      </c>
      <c r="BR106" s="7" t="s">
        <v>6953</v>
      </c>
      <c r="BS106" s="7" t="s">
        <v>6954</v>
      </c>
      <c r="BT106" s="7" t="s">
        <v>6955</v>
      </c>
      <c r="BU106" s="8"/>
    </row>
    <row r="107" spans="1:73" ht="299.25">
      <c r="A107" s="9">
        <v>1220</v>
      </c>
      <c r="B107" s="10">
        <v>45302</v>
      </c>
      <c r="C107" s="11" t="s">
        <v>6956</v>
      </c>
      <c r="D107" s="10">
        <v>23761</v>
      </c>
      <c r="E107" s="29">
        <f ca="1">_xlfn.DAYS(NOW(),Tabella3[[#This Row],[Data di Nascita]])/365.25</f>
        <v>60.539356605065024</v>
      </c>
      <c r="F107" s="11" t="s">
        <v>6957</v>
      </c>
      <c r="G107" s="11" t="s">
        <v>954</v>
      </c>
      <c r="H107" s="11" t="s">
        <v>2142</v>
      </c>
      <c r="I107" s="11" t="s">
        <v>1346</v>
      </c>
      <c r="J107" s="11" t="s">
        <v>1804</v>
      </c>
      <c r="K107" s="18"/>
      <c r="L107" s="18"/>
      <c r="M107" s="18">
        <v>1</v>
      </c>
      <c r="N107" s="18"/>
      <c r="O107" s="18"/>
      <c r="P107" s="18"/>
      <c r="Q107" s="18"/>
      <c r="R107" s="18"/>
      <c r="S107" s="18"/>
      <c r="T107" s="11" t="s">
        <v>6958</v>
      </c>
      <c r="U107" s="18">
        <v>55</v>
      </c>
      <c r="V107" s="18">
        <v>1</v>
      </c>
      <c r="W107" s="18"/>
      <c r="X107" s="11" t="s">
        <v>516</v>
      </c>
      <c r="Y107" s="18"/>
      <c r="Z107" s="18"/>
      <c r="AA107" s="18"/>
      <c r="AB107" s="18"/>
      <c r="AC107" s="18"/>
      <c r="AD107" s="11" t="s">
        <v>8</v>
      </c>
      <c r="AE107" s="18"/>
      <c r="AF107" s="18"/>
      <c r="AG107" s="18"/>
      <c r="AH107" s="18"/>
      <c r="AI107" s="18"/>
      <c r="AJ107" s="11" t="s">
        <v>516</v>
      </c>
      <c r="AK107" s="17">
        <v>1</v>
      </c>
      <c r="AL107" s="11" t="s">
        <v>516</v>
      </c>
      <c r="AM107" s="17">
        <v>1</v>
      </c>
      <c r="AN107" s="11" t="s">
        <v>6959</v>
      </c>
      <c r="AO107" s="17">
        <v>0</v>
      </c>
      <c r="AP107" s="18"/>
      <c r="AQ107" s="11" t="s">
        <v>8</v>
      </c>
      <c r="AR107" s="17">
        <v>1</v>
      </c>
      <c r="AS107" s="11" t="s">
        <v>516</v>
      </c>
      <c r="AT107" s="18"/>
      <c r="AU107" s="18"/>
      <c r="AV107" s="11" t="s">
        <v>8</v>
      </c>
      <c r="AW107" s="18"/>
      <c r="AX107" s="18"/>
      <c r="AY107" s="11" t="s">
        <v>8</v>
      </c>
      <c r="AZ107" s="11" t="s">
        <v>8</v>
      </c>
      <c r="BA107" s="11" t="s">
        <v>7</v>
      </c>
      <c r="BB107" s="11" t="s">
        <v>6960</v>
      </c>
      <c r="BC107" s="11"/>
      <c r="BD107" s="11" t="s">
        <v>6961</v>
      </c>
      <c r="BE107" s="11" t="s">
        <v>8</v>
      </c>
      <c r="BF107" s="11"/>
      <c r="BG107" s="11" t="s">
        <v>8</v>
      </c>
      <c r="BH107" s="11" t="s">
        <v>6962</v>
      </c>
      <c r="BI107" s="11" t="s">
        <v>7</v>
      </c>
      <c r="BJ107" s="11" t="s">
        <v>8</v>
      </c>
      <c r="BK107" s="11" t="s">
        <v>6963</v>
      </c>
      <c r="BL107" s="11" t="s">
        <v>6964</v>
      </c>
      <c r="BM107" s="11" t="s">
        <v>6965</v>
      </c>
      <c r="BN107" s="11" t="s">
        <v>7</v>
      </c>
      <c r="BO107" s="11" t="s">
        <v>6966</v>
      </c>
      <c r="BP107" s="11" t="s">
        <v>4975</v>
      </c>
      <c r="BQ107" s="11" t="s">
        <v>70</v>
      </c>
      <c r="BR107" s="11" t="s">
        <v>71</v>
      </c>
      <c r="BS107" s="11" t="s">
        <v>405</v>
      </c>
      <c r="BT107" s="11" t="s">
        <v>6967</v>
      </c>
      <c r="BU107" s="12" t="s">
        <v>6968</v>
      </c>
    </row>
    <row r="108" spans="1:73" ht="228">
      <c r="A108" s="5">
        <v>1251</v>
      </c>
      <c r="B108" s="6">
        <v>45314</v>
      </c>
      <c r="C108" s="7" t="s">
        <v>6969</v>
      </c>
      <c r="D108" s="6">
        <v>18723</v>
      </c>
      <c r="E108" s="29">
        <f ca="1">_xlfn.DAYS(NOW(),Tabella3[[#This Row],[Data di Nascita]])/365.25</f>
        <v>74.332648870636547</v>
      </c>
      <c r="F108" s="7" t="s">
        <v>6970</v>
      </c>
      <c r="G108" s="7" t="s">
        <v>6971</v>
      </c>
      <c r="H108" s="7" t="s">
        <v>2142</v>
      </c>
      <c r="I108" s="7" t="s">
        <v>473</v>
      </c>
      <c r="J108" s="7" t="s">
        <v>6475</v>
      </c>
      <c r="K108" s="17">
        <v>1</v>
      </c>
      <c r="L108" s="17"/>
      <c r="M108" s="18">
        <v>1</v>
      </c>
      <c r="N108" s="17"/>
      <c r="O108" s="17"/>
      <c r="P108" s="17"/>
      <c r="Q108" s="17"/>
      <c r="R108" s="17"/>
      <c r="S108" s="17"/>
      <c r="T108" s="7" t="s">
        <v>1796</v>
      </c>
      <c r="U108" s="17">
        <v>20</v>
      </c>
      <c r="V108" s="17">
        <v>1</v>
      </c>
      <c r="W108" s="17"/>
      <c r="X108" s="7" t="s">
        <v>26</v>
      </c>
      <c r="Y108" s="17"/>
      <c r="Z108" s="17"/>
      <c r="AA108" s="17">
        <v>1</v>
      </c>
      <c r="AB108" s="17"/>
      <c r="AC108" s="17"/>
      <c r="AD108" s="7" t="s">
        <v>8</v>
      </c>
      <c r="AE108" s="17"/>
      <c r="AF108" s="17"/>
      <c r="AG108" s="17"/>
      <c r="AH108" s="17"/>
      <c r="AI108" s="17"/>
      <c r="AJ108" s="7" t="s">
        <v>28</v>
      </c>
      <c r="AK108" s="17">
        <v>1</v>
      </c>
      <c r="AL108" s="7" t="s">
        <v>28</v>
      </c>
      <c r="AM108" s="17">
        <v>1</v>
      </c>
      <c r="AN108" s="7" t="s">
        <v>28</v>
      </c>
      <c r="AO108" s="17">
        <v>0</v>
      </c>
      <c r="AP108" s="17"/>
      <c r="AQ108" s="7" t="s">
        <v>8</v>
      </c>
      <c r="AR108" s="17">
        <v>1</v>
      </c>
      <c r="AS108" s="7" t="s">
        <v>28</v>
      </c>
      <c r="AT108" s="17"/>
      <c r="AU108" s="17"/>
      <c r="AV108" s="7" t="s">
        <v>28</v>
      </c>
      <c r="AW108" s="17"/>
      <c r="AX108" s="17">
        <v>1</v>
      </c>
      <c r="AY108" s="7" t="s">
        <v>8</v>
      </c>
      <c r="AZ108" s="7"/>
      <c r="BA108" s="7" t="s">
        <v>8</v>
      </c>
      <c r="BB108" s="7" t="s">
        <v>8</v>
      </c>
      <c r="BC108" s="7" t="s">
        <v>8</v>
      </c>
      <c r="BD108" s="7" t="s">
        <v>6972</v>
      </c>
      <c r="BE108" s="7" t="s">
        <v>8</v>
      </c>
      <c r="BF108" s="7"/>
      <c r="BG108" s="7" t="s">
        <v>28</v>
      </c>
      <c r="BH108" s="7" t="s">
        <v>6973</v>
      </c>
      <c r="BI108" s="7" t="s">
        <v>8</v>
      </c>
      <c r="BJ108" s="7" t="s">
        <v>8</v>
      </c>
      <c r="BK108" s="7" t="s">
        <v>8</v>
      </c>
      <c r="BL108" s="7" t="s">
        <v>8</v>
      </c>
      <c r="BM108" s="7" t="s">
        <v>935</v>
      </c>
      <c r="BN108" s="7" t="s">
        <v>8</v>
      </c>
      <c r="BO108" s="7" t="s">
        <v>8</v>
      </c>
      <c r="BP108" s="7" t="s">
        <v>4975</v>
      </c>
      <c r="BQ108" s="7" t="s">
        <v>55</v>
      </c>
      <c r="BR108" s="7" t="s">
        <v>2374</v>
      </c>
      <c r="BS108" s="7" t="s">
        <v>6974</v>
      </c>
      <c r="BT108" s="7" t="s">
        <v>6975</v>
      </c>
      <c r="BU108" s="8" t="s">
        <v>6976</v>
      </c>
    </row>
    <row r="109" spans="1:73" ht="128.25">
      <c r="A109" s="9">
        <v>1269</v>
      </c>
      <c r="B109" s="10">
        <v>45322</v>
      </c>
      <c r="C109" s="11" t="s">
        <v>5153</v>
      </c>
      <c r="D109" s="10">
        <v>45322</v>
      </c>
      <c r="E109" s="29">
        <f ca="1">_xlfn.DAYS(NOW(),Tabella3[[#This Row],[Data di Nascita]])/365.25</f>
        <v>1.5085557837097878</v>
      </c>
      <c r="F109" s="11" t="s">
        <v>6977</v>
      </c>
      <c r="G109" s="11" t="s">
        <v>5154</v>
      </c>
      <c r="H109" s="11" t="s">
        <v>6978</v>
      </c>
      <c r="I109" s="11" t="s">
        <v>6979</v>
      </c>
      <c r="J109" s="11" t="s">
        <v>6980</v>
      </c>
      <c r="K109" s="17">
        <v>1</v>
      </c>
      <c r="L109" s="18"/>
      <c r="M109" s="18"/>
      <c r="N109" s="18"/>
      <c r="O109" s="18"/>
      <c r="P109" s="18"/>
      <c r="Q109" s="18"/>
      <c r="R109" s="18"/>
      <c r="S109" s="18"/>
      <c r="T109" s="11" t="s">
        <v>5795</v>
      </c>
      <c r="U109" s="18"/>
      <c r="V109" s="18"/>
      <c r="W109" s="18">
        <v>1</v>
      </c>
      <c r="X109" s="11" t="s">
        <v>26</v>
      </c>
      <c r="Y109" s="18"/>
      <c r="Z109" s="18"/>
      <c r="AA109" s="18">
        <v>1</v>
      </c>
      <c r="AB109" s="18"/>
      <c r="AC109" s="18"/>
      <c r="AD109" s="11" t="s">
        <v>6981</v>
      </c>
      <c r="AE109" s="18"/>
      <c r="AF109" s="18">
        <v>1</v>
      </c>
      <c r="AG109" s="18"/>
      <c r="AH109" s="18"/>
      <c r="AI109" s="18"/>
      <c r="AJ109" s="11" t="s">
        <v>28</v>
      </c>
      <c r="AK109" s="17">
        <v>1</v>
      </c>
      <c r="AL109" s="11" t="s">
        <v>28</v>
      </c>
      <c r="AM109" s="17">
        <v>1</v>
      </c>
      <c r="AN109" s="11" t="s">
        <v>8</v>
      </c>
      <c r="AO109" s="17">
        <v>1</v>
      </c>
      <c r="AP109" s="18"/>
      <c r="AQ109" s="11" t="s">
        <v>8</v>
      </c>
      <c r="AR109" s="17">
        <v>1</v>
      </c>
      <c r="AS109" s="11" t="s">
        <v>28</v>
      </c>
      <c r="AT109" s="18"/>
      <c r="AU109" s="18"/>
      <c r="AV109" s="11" t="s">
        <v>8</v>
      </c>
      <c r="AW109" s="18"/>
      <c r="AX109" s="18"/>
      <c r="AY109" s="11" t="s">
        <v>8</v>
      </c>
      <c r="AZ109" s="11" t="s">
        <v>8</v>
      </c>
      <c r="BA109" s="11" t="s">
        <v>28</v>
      </c>
      <c r="BB109" s="11" t="s">
        <v>8</v>
      </c>
      <c r="BC109" s="11" t="s">
        <v>8</v>
      </c>
      <c r="BD109" s="11" t="s">
        <v>5158</v>
      </c>
      <c r="BE109" s="11" t="s">
        <v>8</v>
      </c>
      <c r="BF109" s="11" t="s">
        <v>8</v>
      </c>
      <c r="BG109" s="11" t="s">
        <v>6982</v>
      </c>
      <c r="BH109" s="11" t="s">
        <v>6983</v>
      </c>
      <c r="BI109" s="11" t="s">
        <v>6984</v>
      </c>
      <c r="BJ109" s="11" t="s">
        <v>8</v>
      </c>
      <c r="BK109" s="11" t="s">
        <v>8</v>
      </c>
      <c r="BL109" s="11" t="s">
        <v>8</v>
      </c>
      <c r="BM109" s="11" t="s">
        <v>8</v>
      </c>
      <c r="BN109" s="11" t="s">
        <v>28</v>
      </c>
      <c r="BO109" s="11" t="s">
        <v>1036</v>
      </c>
      <c r="BP109" s="11" t="s">
        <v>5804</v>
      </c>
      <c r="BQ109" s="11" t="s">
        <v>318</v>
      </c>
      <c r="BR109" s="11" t="s">
        <v>998</v>
      </c>
      <c r="BS109" s="11" t="s">
        <v>3257</v>
      </c>
      <c r="BT109" s="11" t="s">
        <v>6985</v>
      </c>
      <c r="BU109" s="12"/>
    </row>
    <row r="110" spans="1:73" ht="228">
      <c r="A110" s="5">
        <v>1324</v>
      </c>
      <c r="B110" s="6">
        <v>45345</v>
      </c>
      <c r="C110" s="7" t="s">
        <v>6986</v>
      </c>
      <c r="D110" s="6">
        <v>30155</v>
      </c>
      <c r="E110" s="29">
        <f ca="1">_xlfn.DAYS(NOW(),Tabella3[[#This Row],[Data di Nascita]])/365.25</f>
        <v>43.03353867214237</v>
      </c>
      <c r="F110" s="7" t="s">
        <v>6987</v>
      </c>
      <c r="G110" s="7" t="s">
        <v>6988</v>
      </c>
      <c r="H110" s="7" t="s">
        <v>2142</v>
      </c>
      <c r="I110" s="7" t="s">
        <v>1346</v>
      </c>
      <c r="J110" s="7" t="s">
        <v>6989</v>
      </c>
      <c r="K110" s="17"/>
      <c r="L110" s="17"/>
      <c r="M110" s="17"/>
      <c r="N110" s="17">
        <v>1</v>
      </c>
      <c r="O110" s="17"/>
      <c r="P110" s="17"/>
      <c r="Q110" s="17"/>
      <c r="R110" s="17"/>
      <c r="S110" s="17"/>
      <c r="T110" s="7" t="s">
        <v>6990</v>
      </c>
      <c r="U110" s="17">
        <v>25</v>
      </c>
      <c r="V110" s="17"/>
      <c r="W110" s="17"/>
      <c r="X110" s="7" t="s">
        <v>272</v>
      </c>
      <c r="Y110" s="17"/>
      <c r="Z110" s="17"/>
      <c r="AA110" s="17">
        <v>1</v>
      </c>
      <c r="AB110" s="17"/>
      <c r="AC110" s="17"/>
      <c r="AD110" s="7" t="s">
        <v>8</v>
      </c>
      <c r="AE110" s="17"/>
      <c r="AF110" s="17"/>
      <c r="AG110" s="17"/>
      <c r="AH110" s="17"/>
      <c r="AI110" s="17"/>
      <c r="AJ110" s="7" t="s">
        <v>7</v>
      </c>
      <c r="AK110" s="17">
        <v>1</v>
      </c>
      <c r="AL110" s="7" t="s">
        <v>8</v>
      </c>
      <c r="AM110" s="17"/>
      <c r="AN110" s="7" t="s">
        <v>8</v>
      </c>
      <c r="AO110" s="17">
        <v>1</v>
      </c>
      <c r="AP110" s="17"/>
      <c r="AQ110" s="7" t="s">
        <v>8</v>
      </c>
      <c r="AR110" s="17">
        <v>1</v>
      </c>
      <c r="AS110" s="7" t="s">
        <v>8</v>
      </c>
      <c r="AT110" s="17">
        <v>1</v>
      </c>
      <c r="AU110" s="17"/>
      <c r="AV110" s="7" t="s">
        <v>8</v>
      </c>
      <c r="AW110" s="17"/>
      <c r="AX110" s="17"/>
      <c r="AY110" s="7" t="s">
        <v>8</v>
      </c>
      <c r="AZ110" s="7" t="s">
        <v>8</v>
      </c>
      <c r="BA110" s="7" t="s">
        <v>7</v>
      </c>
      <c r="BB110" s="7"/>
      <c r="BC110" s="7"/>
      <c r="BD110" s="7" t="s">
        <v>25</v>
      </c>
      <c r="BE110" s="7"/>
      <c r="BF110" s="7" t="s">
        <v>6991</v>
      </c>
      <c r="BG110" s="7" t="s">
        <v>920</v>
      </c>
      <c r="BH110" s="7" t="s">
        <v>6992</v>
      </c>
      <c r="BI110" s="7" t="s">
        <v>7</v>
      </c>
      <c r="BJ110" s="7" t="s">
        <v>8</v>
      </c>
      <c r="BK110" s="7" t="s">
        <v>6933</v>
      </c>
      <c r="BL110" s="7" t="s">
        <v>6993</v>
      </c>
      <c r="BM110" s="7" t="s">
        <v>2338</v>
      </c>
      <c r="BN110" s="7" t="s">
        <v>8</v>
      </c>
      <c r="BO110" s="7" t="s">
        <v>8</v>
      </c>
      <c r="BP110" s="7" t="s">
        <v>5804</v>
      </c>
      <c r="BQ110" s="7" t="s">
        <v>318</v>
      </c>
      <c r="BR110" s="7" t="s">
        <v>219</v>
      </c>
      <c r="BS110" s="7" t="s">
        <v>1444</v>
      </c>
      <c r="BT110" s="7" t="s">
        <v>1165</v>
      </c>
      <c r="BU110" s="8" t="s">
        <v>6994</v>
      </c>
    </row>
    <row r="111" spans="1:73" ht="356.25">
      <c r="A111" s="9">
        <v>1335</v>
      </c>
      <c r="B111" s="10">
        <v>45352</v>
      </c>
      <c r="C111" s="11" t="s">
        <v>6995</v>
      </c>
      <c r="D111" s="10">
        <v>26141</v>
      </c>
      <c r="E111" s="29">
        <f ca="1">_xlfn.DAYS(NOW(),Tabella3[[#This Row],[Data di Nascita]])/365.25</f>
        <v>54.02327173169062</v>
      </c>
      <c r="F111" s="11" t="s">
        <v>6996</v>
      </c>
      <c r="G111" s="11" t="s">
        <v>6997</v>
      </c>
      <c r="H111" s="11" t="s">
        <v>1675</v>
      </c>
      <c r="I111" s="11"/>
      <c r="J111" s="11" t="s">
        <v>6998</v>
      </c>
      <c r="K111" s="18"/>
      <c r="L111" s="18"/>
      <c r="M111" s="18">
        <v>1</v>
      </c>
      <c r="N111" s="18"/>
      <c r="O111" s="18"/>
      <c r="P111" s="18"/>
      <c r="Q111" s="18"/>
      <c r="R111" s="18"/>
      <c r="S111" s="18"/>
      <c r="T111" s="11" t="s">
        <v>6999</v>
      </c>
      <c r="U111" s="18"/>
      <c r="V111" s="18"/>
      <c r="W111" s="18"/>
      <c r="X111" s="11" t="s">
        <v>195</v>
      </c>
      <c r="Y111" s="18"/>
      <c r="Z111" s="18"/>
      <c r="AA111" s="18"/>
      <c r="AB111" s="18">
        <v>1</v>
      </c>
      <c r="AC111" s="18"/>
      <c r="AD111" s="11" t="s">
        <v>7000</v>
      </c>
      <c r="AE111" s="18"/>
      <c r="AF111" s="18"/>
      <c r="AG111" s="18"/>
      <c r="AH111" s="18"/>
      <c r="AI111" s="18"/>
      <c r="AJ111" s="11" t="s">
        <v>194</v>
      </c>
      <c r="AK111" s="17">
        <v>1</v>
      </c>
      <c r="AL111" s="11" t="s">
        <v>194</v>
      </c>
      <c r="AM111" s="17">
        <v>1</v>
      </c>
      <c r="AN111" s="11" t="s">
        <v>195</v>
      </c>
      <c r="AO111" s="17">
        <v>1</v>
      </c>
      <c r="AP111" s="18"/>
      <c r="AQ111" s="11" t="s">
        <v>195</v>
      </c>
      <c r="AR111" s="17">
        <v>1</v>
      </c>
      <c r="AS111" s="11" t="s">
        <v>195</v>
      </c>
      <c r="AT111" s="17">
        <v>1</v>
      </c>
      <c r="AU111" s="18"/>
      <c r="AV111" s="11" t="s">
        <v>195</v>
      </c>
      <c r="AW111" s="18"/>
      <c r="AX111" s="18"/>
      <c r="AY111" s="11" t="s">
        <v>194</v>
      </c>
      <c r="AZ111" s="11" t="s">
        <v>195</v>
      </c>
      <c r="BA111" s="11" t="s">
        <v>7001</v>
      </c>
      <c r="BB111" s="11" t="s">
        <v>195</v>
      </c>
      <c r="BC111" s="11" t="s">
        <v>7002</v>
      </c>
      <c r="BD111" s="11" t="s">
        <v>7003</v>
      </c>
      <c r="BE111" s="11" t="s">
        <v>195</v>
      </c>
      <c r="BF111" s="11"/>
      <c r="BG111" s="11" t="s">
        <v>7004</v>
      </c>
      <c r="BH111" s="11" t="s">
        <v>7005</v>
      </c>
      <c r="BI111" s="11" t="s">
        <v>7006</v>
      </c>
      <c r="BJ111" s="11" t="s">
        <v>309</v>
      </c>
      <c r="BK111" s="11" t="s">
        <v>7007</v>
      </c>
      <c r="BL111" s="11" t="s">
        <v>301</v>
      </c>
      <c r="BM111" s="11" t="s">
        <v>2543</v>
      </c>
      <c r="BN111" s="11" t="s">
        <v>47</v>
      </c>
      <c r="BO111" s="11" t="s">
        <v>7008</v>
      </c>
      <c r="BP111" s="11" t="s">
        <v>5804</v>
      </c>
      <c r="BQ111" s="11" t="s">
        <v>7009</v>
      </c>
      <c r="BR111" s="11" t="s">
        <v>219</v>
      </c>
      <c r="BS111" s="11" t="s">
        <v>87</v>
      </c>
      <c r="BT111" s="11" t="s">
        <v>7010</v>
      </c>
      <c r="BU111" s="12"/>
    </row>
    <row r="112" spans="1:73" ht="356.25">
      <c r="A112" s="5">
        <v>1373</v>
      </c>
      <c r="B112" s="6">
        <v>45371</v>
      </c>
      <c r="C112" s="7" t="s">
        <v>7011</v>
      </c>
      <c r="D112" s="6">
        <v>31016</v>
      </c>
      <c r="E112" s="29">
        <f ca="1">_xlfn.DAYS(NOW(),Tabella3[[#This Row],[Data di Nascita]])/365.25</f>
        <v>40.676249144421632</v>
      </c>
      <c r="F112" s="7" t="s">
        <v>7012</v>
      </c>
      <c r="G112" s="7" t="s">
        <v>7013</v>
      </c>
      <c r="H112" s="7" t="s">
        <v>2293</v>
      </c>
      <c r="I112" s="7" t="s">
        <v>211</v>
      </c>
      <c r="J112" s="7" t="s">
        <v>7014</v>
      </c>
      <c r="K112" s="17"/>
      <c r="L112" s="17"/>
      <c r="M112" s="18">
        <v>1</v>
      </c>
      <c r="N112" s="17"/>
      <c r="O112" s="17"/>
      <c r="P112" s="17"/>
      <c r="Q112" s="17"/>
      <c r="R112" s="17"/>
      <c r="S112" s="17"/>
      <c r="T112" s="7" t="s">
        <v>195</v>
      </c>
      <c r="U112" s="17"/>
      <c r="V112" s="17"/>
      <c r="W112" s="17">
        <v>1</v>
      </c>
      <c r="X112" s="7" t="s">
        <v>195</v>
      </c>
      <c r="Y112" s="17"/>
      <c r="Z112" s="17"/>
      <c r="AA112" s="17"/>
      <c r="AB112" s="17">
        <v>1</v>
      </c>
      <c r="AC112" s="17"/>
      <c r="AD112" s="7" t="s">
        <v>7015</v>
      </c>
      <c r="AE112" s="17"/>
      <c r="AF112" s="17">
        <v>1</v>
      </c>
      <c r="AG112" s="17"/>
      <c r="AH112" s="17"/>
      <c r="AI112" s="17"/>
      <c r="AJ112" s="7" t="s">
        <v>194</v>
      </c>
      <c r="AK112" s="17">
        <v>1</v>
      </c>
      <c r="AL112" s="7" t="s">
        <v>194</v>
      </c>
      <c r="AM112" s="17">
        <v>1</v>
      </c>
      <c r="AN112" s="7" t="s">
        <v>8</v>
      </c>
      <c r="AO112" s="17">
        <v>1</v>
      </c>
      <c r="AP112" s="17"/>
      <c r="AQ112" s="7" t="s">
        <v>8</v>
      </c>
      <c r="AR112" s="17">
        <v>1</v>
      </c>
      <c r="AS112" s="7" t="s">
        <v>8</v>
      </c>
      <c r="AT112" s="17">
        <v>1</v>
      </c>
      <c r="AU112" s="17"/>
      <c r="AV112" s="7" t="s">
        <v>8</v>
      </c>
      <c r="AW112" s="17"/>
      <c r="AX112" s="17"/>
      <c r="AY112" s="7" t="s">
        <v>8</v>
      </c>
      <c r="AZ112" s="7" t="s">
        <v>8</v>
      </c>
      <c r="BA112" s="7" t="s">
        <v>387</v>
      </c>
      <c r="BB112" s="7" t="s">
        <v>7016</v>
      </c>
      <c r="BC112" s="7" t="s">
        <v>7017</v>
      </c>
      <c r="BD112" s="7" t="s">
        <v>7018</v>
      </c>
      <c r="BE112" s="7"/>
      <c r="BF112" s="7"/>
      <c r="BG112" s="7" t="s">
        <v>7019</v>
      </c>
      <c r="BH112" s="7" t="s">
        <v>7020</v>
      </c>
      <c r="BI112" s="7" t="s">
        <v>7021</v>
      </c>
      <c r="BJ112" s="7" t="s">
        <v>309</v>
      </c>
      <c r="BK112" s="7" t="s">
        <v>387</v>
      </c>
      <c r="BL112" s="7" t="s">
        <v>7022</v>
      </c>
      <c r="BM112" s="7" t="s">
        <v>195</v>
      </c>
      <c r="BN112" s="7" t="s">
        <v>7023</v>
      </c>
      <c r="BO112" s="7" t="s">
        <v>2369</v>
      </c>
      <c r="BP112" s="7" t="s">
        <v>5804</v>
      </c>
      <c r="BQ112" s="7" t="s">
        <v>7024</v>
      </c>
      <c r="BR112" s="7" t="s">
        <v>355</v>
      </c>
      <c r="BS112" s="7" t="s">
        <v>569</v>
      </c>
      <c r="BT112" s="7" t="s">
        <v>7025</v>
      </c>
      <c r="BU112" s="8"/>
    </row>
    <row r="113" spans="1:73" ht="114">
      <c r="A113" s="9">
        <v>1398</v>
      </c>
      <c r="B113" s="10">
        <v>45390</v>
      </c>
      <c r="C113" s="11" t="s">
        <v>7026</v>
      </c>
      <c r="D113" s="10">
        <v>33206</v>
      </c>
      <c r="E113" s="29">
        <f ca="1">_xlfn.DAYS(NOW(),Tabella3[[#This Row],[Data di Nascita]])/365.25</f>
        <v>34.680355920602324</v>
      </c>
      <c r="F113" s="11" t="s">
        <v>7027</v>
      </c>
      <c r="G113" s="11" t="s">
        <v>7028</v>
      </c>
      <c r="H113" s="11" t="s">
        <v>7029</v>
      </c>
      <c r="I113" s="11" t="s">
        <v>7030</v>
      </c>
      <c r="J113" s="11" t="s">
        <v>7031</v>
      </c>
      <c r="K113" s="18"/>
      <c r="L113" s="18"/>
      <c r="M113" s="18"/>
      <c r="N113" s="18">
        <v>1</v>
      </c>
      <c r="O113" s="18"/>
      <c r="P113" s="18"/>
      <c r="Q113" s="18"/>
      <c r="R113" s="18"/>
      <c r="S113" s="18"/>
      <c r="T113" s="11" t="s">
        <v>7032</v>
      </c>
      <c r="U113" s="18"/>
      <c r="V113" s="18"/>
      <c r="W113" s="18">
        <v>1</v>
      </c>
      <c r="X113" s="11" t="s">
        <v>25</v>
      </c>
      <c r="Y113" s="18"/>
      <c r="Z113" s="18"/>
      <c r="AA113" s="18"/>
      <c r="AB113" s="18">
        <v>1</v>
      </c>
      <c r="AC113" s="18"/>
      <c r="AD113" s="11" t="s">
        <v>25</v>
      </c>
      <c r="AE113" s="18"/>
      <c r="AF113" s="18"/>
      <c r="AG113" s="18"/>
      <c r="AH113" s="18"/>
      <c r="AI113" s="18"/>
      <c r="AJ113" s="11" t="s">
        <v>28</v>
      </c>
      <c r="AK113" s="17">
        <v>1</v>
      </c>
      <c r="AL113" s="11" t="s">
        <v>25</v>
      </c>
      <c r="AM113" s="18"/>
      <c r="AN113" s="11" t="s">
        <v>25</v>
      </c>
      <c r="AO113" s="17">
        <v>1</v>
      </c>
      <c r="AP113" s="18"/>
      <c r="AQ113" s="11" t="s">
        <v>25</v>
      </c>
      <c r="AR113" s="17">
        <v>1</v>
      </c>
      <c r="AS113" s="11" t="s">
        <v>25</v>
      </c>
      <c r="AT113" s="17">
        <v>1</v>
      </c>
      <c r="AU113" s="18"/>
      <c r="AV113" s="11" t="s">
        <v>25</v>
      </c>
      <c r="AW113" s="18"/>
      <c r="AX113" s="18"/>
      <c r="AY113" s="11"/>
      <c r="AZ113" s="11" t="s">
        <v>8</v>
      </c>
      <c r="BA113" s="11" t="s">
        <v>25</v>
      </c>
      <c r="BB113" s="11"/>
      <c r="BC113" s="11"/>
      <c r="BD113" s="11" t="s">
        <v>25</v>
      </c>
      <c r="BE113" s="11" t="s">
        <v>25</v>
      </c>
      <c r="BF113" s="11"/>
      <c r="BG113" s="11" t="s">
        <v>25</v>
      </c>
      <c r="BH113" s="11" t="s">
        <v>7033</v>
      </c>
      <c r="BI113" s="11" t="s">
        <v>25</v>
      </c>
      <c r="BJ113" s="11" t="s">
        <v>25</v>
      </c>
      <c r="BK113" s="11"/>
      <c r="BL113" s="11"/>
      <c r="BM113" s="11" t="s">
        <v>28</v>
      </c>
      <c r="BN113" s="11"/>
      <c r="BO113" s="11" t="s">
        <v>25</v>
      </c>
      <c r="BP113" s="11" t="s">
        <v>4975</v>
      </c>
      <c r="BQ113" s="11" t="s">
        <v>135</v>
      </c>
      <c r="BR113" s="11" t="s">
        <v>3256</v>
      </c>
      <c r="BS113" s="11" t="s">
        <v>169</v>
      </c>
      <c r="BT113" s="11" t="s">
        <v>7034</v>
      </c>
      <c r="BU113" s="12"/>
    </row>
    <row r="114" spans="1:73" ht="171">
      <c r="A114" s="5">
        <v>1410</v>
      </c>
      <c r="B114" s="6">
        <v>45397</v>
      </c>
      <c r="C114" s="7" t="s">
        <v>7035</v>
      </c>
      <c r="D114" s="6">
        <v>36059</v>
      </c>
      <c r="E114" s="29">
        <f ca="1">_xlfn.DAYS(NOW(),Tabella3[[#This Row],[Data di Nascita]])/365.25</f>
        <v>26.869267624914443</v>
      </c>
      <c r="F114" s="7" t="s">
        <v>7036</v>
      </c>
      <c r="G114" s="7" t="s">
        <v>7037</v>
      </c>
      <c r="H114" s="7" t="s">
        <v>2142</v>
      </c>
      <c r="I114" s="7"/>
      <c r="J114" s="7" t="s">
        <v>7038</v>
      </c>
      <c r="K114" s="17"/>
      <c r="L114" s="17"/>
      <c r="M114" s="17">
        <v>1</v>
      </c>
      <c r="N114" s="17"/>
      <c r="O114" s="17"/>
      <c r="P114" s="17"/>
      <c r="Q114" s="17"/>
      <c r="R114" s="17"/>
      <c r="S114" s="17"/>
      <c r="T114" s="7" t="s">
        <v>7039</v>
      </c>
      <c r="U114" s="17">
        <v>4.5</v>
      </c>
      <c r="V114" s="17"/>
      <c r="W114" s="17"/>
      <c r="X114" s="7" t="s">
        <v>354</v>
      </c>
      <c r="Y114" s="17"/>
      <c r="Z114" s="17">
        <v>1</v>
      </c>
      <c r="AA114" s="17"/>
      <c r="AB114" s="17"/>
      <c r="AC114" s="17"/>
      <c r="AD114" s="7" t="s">
        <v>7040</v>
      </c>
      <c r="AE114" s="17"/>
      <c r="AF114" s="17">
        <v>1</v>
      </c>
      <c r="AG114" s="17"/>
      <c r="AH114" s="17"/>
      <c r="AI114" s="17"/>
      <c r="AJ114" s="7" t="s">
        <v>7</v>
      </c>
      <c r="AK114" s="17">
        <v>1</v>
      </c>
      <c r="AL114" s="7" t="s">
        <v>8</v>
      </c>
      <c r="AM114" s="17"/>
      <c r="AN114" s="7" t="s">
        <v>8</v>
      </c>
      <c r="AO114" s="17">
        <v>1</v>
      </c>
      <c r="AP114" s="17"/>
      <c r="AQ114" s="7" t="s">
        <v>8</v>
      </c>
      <c r="AR114" s="17">
        <v>1</v>
      </c>
      <c r="AS114" s="7" t="s">
        <v>8</v>
      </c>
      <c r="AT114" s="17">
        <v>1</v>
      </c>
      <c r="AU114" s="17"/>
      <c r="AV114" s="7" t="s">
        <v>8</v>
      </c>
      <c r="AW114" s="17"/>
      <c r="AX114" s="17"/>
      <c r="AY114" s="7" t="s">
        <v>8</v>
      </c>
      <c r="AZ114" s="7" t="s">
        <v>7</v>
      </c>
      <c r="BA114" s="7" t="s">
        <v>7041</v>
      </c>
      <c r="BB114" s="7" t="s">
        <v>8</v>
      </c>
      <c r="BC114" s="7" t="s">
        <v>7042</v>
      </c>
      <c r="BD114" s="7" t="s">
        <v>2596</v>
      </c>
      <c r="BE114" s="7"/>
      <c r="BF114" s="7"/>
      <c r="BG114" s="7" t="s">
        <v>7043</v>
      </c>
      <c r="BH114" s="7" t="s">
        <v>7044</v>
      </c>
      <c r="BI114" s="7" t="s">
        <v>8</v>
      </c>
      <c r="BJ114" s="7" t="s">
        <v>8</v>
      </c>
      <c r="BK114" s="7" t="s">
        <v>7045</v>
      </c>
      <c r="BL114" s="7" t="s">
        <v>7046</v>
      </c>
      <c r="BM114" s="7" t="s">
        <v>7047</v>
      </c>
      <c r="BN114" s="7" t="s">
        <v>8</v>
      </c>
      <c r="BO114" s="7" t="s">
        <v>7048</v>
      </c>
      <c r="BP114" s="7" t="s">
        <v>4975</v>
      </c>
      <c r="BQ114" s="7" t="s">
        <v>3336</v>
      </c>
      <c r="BR114" s="7" t="s">
        <v>355</v>
      </c>
      <c r="BS114" s="7" t="s">
        <v>15</v>
      </c>
      <c r="BT114" s="7" t="s">
        <v>7049</v>
      </c>
      <c r="BU114" s="8" t="s">
        <v>2142</v>
      </c>
    </row>
    <row r="115" spans="1:73" ht="114">
      <c r="A115" s="9">
        <v>1416</v>
      </c>
      <c r="B115" s="10">
        <v>45400</v>
      </c>
      <c r="C115" s="11" t="s">
        <v>7050</v>
      </c>
      <c r="D115" s="10">
        <v>22466</v>
      </c>
      <c r="E115" s="29">
        <f ca="1">_xlfn.DAYS(NOW(),Tabella3[[#This Row],[Data di Nascita]])/365.25</f>
        <v>64.084873374401099</v>
      </c>
      <c r="F115" s="11" t="s">
        <v>7051</v>
      </c>
      <c r="G115" s="11" t="s">
        <v>7052</v>
      </c>
      <c r="H115" s="11" t="s">
        <v>955</v>
      </c>
      <c r="I115" s="11" t="s">
        <v>7053</v>
      </c>
      <c r="J115" s="11" t="s">
        <v>1312</v>
      </c>
      <c r="K115" s="18"/>
      <c r="L115" s="18"/>
      <c r="M115" s="18"/>
      <c r="N115" s="18"/>
      <c r="O115" s="18"/>
      <c r="P115" s="18"/>
      <c r="Q115" s="18"/>
      <c r="R115" s="18"/>
      <c r="S115" s="18"/>
      <c r="T115" s="11" t="s">
        <v>7054</v>
      </c>
      <c r="U115" s="18"/>
      <c r="V115" s="18"/>
      <c r="W115" s="18">
        <v>1</v>
      </c>
      <c r="X115" s="11" t="s">
        <v>8</v>
      </c>
      <c r="Y115" s="18"/>
      <c r="Z115" s="18"/>
      <c r="AA115" s="18"/>
      <c r="AB115" s="18">
        <v>1</v>
      </c>
      <c r="AC115" s="18"/>
      <c r="AD115" s="11" t="s">
        <v>7055</v>
      </c>
      <c r="AE115" s="18"/>
      <c r="AF115" s="18">
        <v>1</v>
      </c>
      <c r="AG115" s="18"/>
      <c r="AH115" s="18"/>
      <c r="AI115" s="18"/>
      <c r="AJ115" s="11" t="s">
        <v>28</v>
      </c>
      <c r="AK115" s="17">
        <v>1</v>
      </c>
      <c r="AL115" s="11" t="s">
        <v>28</v>
      </c>
      <c r="AM115" s="17">
        <v>1</v>
      </c>
      <c r="AN115" s="11" t="s">
        <v>8</v>
      </c>
      <c r="AO115" s="17">
        <v>1</v>
      </c>
      <c r="AP115" s="18"/>
      <c r="AQ115" s="11" t="s">
        <v>8</v>
      </c>
      <c r="AR115" s="17">
        <v>1</v>
      </c>
      <c r="AS115" s="11" t="s">
        <v>8</v>
      </c>
      <c r="AT115" s="17">
        <v>1</v>
      </c>
      <c r="AU115" s="18"/>
      <c r="AV115" s="11" t="s">
        <v>7</v>
      </c>
      <c r="AW115" s="18"/>
      <c r="AX115" s="18">
        <v>1</v>
      </c>
      <c r="AY115" s="11" t="s">
        <v>8</v>
      </c>
      <c r="AZ115" s="11" t="s">
        <v>8</v>
      </c>
      <c r="BA115" s="11" t="s">
        <v>8</v>
      </c>
      <c r="BB115" s="11" t="s">
        <v>8</v>
      </c>
      <c r="BC115" s="11" t="s">
        <v>147</v>
      </c>
      <c r="BD115" s="11" t="s">
        <v>7056</v>
      </c>
      <c r="BE115" s="11" t="s">
        <v>8</v>
      </c>
      <c r="BF115" s="11" t="s">
        <v>7057</v>
      </c>
      <c r="BG115" s="11" t="s">
        <v>8</v>
      </c>
      <c r="BH115" s="11" t="s">
        <v>7</v>
      </c>
      <c r="BI115" s="11" t="s">
        <v>8</v>
      </c>
      <c r="BJ115" s="11" t="s">
        <v>8</v>
      </c>
      <c r="BK115" s="11" t="s">
        <v>8</v>
      </c>
      <c r="BL115" s="11" t="s">
        <v>8</v>
      </c>
      <c r="BM115" s="11" t="s">
        <v>551</v>
      </c>
      <c r="BN115" s="11" t="s">
        <v>8</v>
      </c>
      <c r="BO115" s="11" t="s">
        <v>354</v>
      </c>
      <c r="BP115" s="11" t="s">
        <v>4975</v>
      </c>
      <c r="BQ115" s="11" t="s">
        <v>850</v>
      </c>
      <c r="BR115" s="11" t="s">
        <v>71</v>
      </c>
      <c r="BS115" s="11" t="s">
        <v>405</v>
      </c>
      <c r="BT115" s="11" t="s">
        <v>7058</v>
      </c>
      <c r="BU115" s="12" t="s">
        <v>7059</v>
      </c>
    </row>
    <row r="116" spans="1:73" ht="128.25">
      <c r="A116" s="5">
        <v>1423</v>
      </c>
      <c r="B116" s="6">
        <v>45405</v>
      </c>
      <c r="C116" s="7" t="s">
        <v>7060</v>
      </c>
      <c r="D116" s="6">
        <v>28371</v>
      </c>
      <c r="E116" s="29">
        <f ca="1">_xlfn.DAYS(NOW(),Tabella3[[#This Row],[Data di Nascita]])/365.25</f>
        <v>47.917864476386036</v>
      </c>
      <c r="F116" s="7" t="s">
        <v>7061</v>
      </c>
      <c r="G116" s="7" t="s">
        <v>7062</v>
      </c>
      <c r="H116" s="7" t="s">
        <v>2142</v>
      </c>
      <c r="I116" s="7" t="s">
        <v>1346</v>
      </c>
      <c r="J116" s="7" t="s">
        <v>7063</v>
      </c>
      <c r="K116" s="17"/>
      <c r="L116" s="17"/>
      <c r="M116" s="18">
        <v>1</v>
      </c>
      <c r="N116" s="17"/>
      <c r="O116" s="17"/>
      <c r="P116" s="17"/>
      <c r="Q116" s="17"/>
      <c r="R116" s="17"/>
      <c r="S116" s="17"/>
      <c r="T116" s="7" t="s">
        <v>5895</v>
      </c>
      <c r="U116" s="17"/>
      <c r="V116" s="17"/>
      <c r="W116" s="17">
        <v>1</v>
      </c>
      <c r="X116" s="7" t="s">
        <v>272</v>
      </c>
      <c r="Y116" s="17"/>
      <c r="Z116" s="17"/>
      <c r="AA116" s="17">
        <v>1</v>
      </c>
      <c r="AB116" s="17"/>
      <c r="AC116" s="17"/>
      <c r="AD116" s="7" t="s">
        <v>7064</v>
      </c>
      <c r="AE116" s="17"/>
      <c r="AF116" s="17"/>
      <c r="AG116" s="17"/>
      <c r="AH116" s="17"/>
      <c r="AI116" s="17"/>
      <c r="AJ116" s="7" t="s">
        <v>7</v>
      </c>
      <c r="AK116" s="17">
        <v>1</v>
      </c>
      <c r="AL116" s="7" t="s">
        <v>7065</v>
      </c>
      <c r="AM116" s="17">
        <v>1</v>
      </c>
      <c r="AN116" s="7" t="s">
        <v>8</v>
      </c>
      <c r="AO116" s="17">
        <v>1</v>
      </c>
      <c r="AP116" s="17"/>
      <c r="AQ116" s="7" t="s">
        <v>8</v>
      </c>
      <c r="AR116" s="17">
        <v>1</v>
      </c>
      <c r="AS116" s="7" t="s">
        <v>7</v>
      </c>
      <c r="AT116" s="17"/>
      <c r="AU116" s="17"/>
      <c r="AV116" s="7" t="s">
        <v>8</v>
      </c>
      <c r="AW116" s="17"/>
      <c r="AX116" s="17"/>
      <c r="AY116" s="7" t="s">
        <v>8</v>
      </c>
      <c r="AZ116" s="7" t="s">
        <v>7</v>
      </c>
      <c r="BA116" s="7" t="s">
        <v>8</v>
      </c>
      <c r="BB116" s="7" t="s">
        <v>8</v>
      </c>
      <c r="BC116" s="7" t="s">
        <v>7066</v>
      </c>
      <c r="BD116" s="7" t="s">
        <v>7067</v>
      </c>
      <c r="BE116" s="7" t="s">
        <v>8</v>
      </c>
      <c r="BF116" s="7"/>
      <c r="BG116" s="7" t="s">
        <v>8</v>
      </c>
      <c r="BH116" s="7" t="s">
        <v>7068</v>
      </c>
      <c r="BI116" s="7" t="s">
        <v>8</v>
      </c>
      <c r="BJ116" s="7" t="s">
        <v>8</v>
      </c>
      <c r="BK116" s="7" t="s">
        <v>7069</v>
      </c>
      <c r="BL116" s="7" t="s">
        <v>8</v>
      </c>
      <c r="BM116" s="7" t="s">
        <v>2243</v>
      </c>
      <c r="BN116" s="7" t="s">
        <v>8</v>
      </c>
      <c r="BO116" s="7" t="s">
        <v>7070</v>
      </c>
      <c r="BP116" s="7" t="s">
        <v>5804</v>
      </c>
      <c r="BQ116" s="7" t="s">
        <v>36</v>
      </c>
      <c r="BR116" s="7" t="s">
        <v>355</v>
      </c>
      <c r="BS116" s="7" t="s">
        <v>787</v>
      </c>
      <c r="BT116" s="7" t="s">
        <v>2653</v>
      </c>
      <c r="BU116" s="8" t="s">
        <v>7071</v>
      </c>
    </row>
    <row r="117" spans="1:73" ht="99.75">
      <c r="A117" s="9">
        <v>1429</v>
      </c>
      <c r="B117" s="11"/>
      <c r="C117" s="11" t="s">
        <v>7072</v>
      </c>
      <c r="D117" s="10">
        <v>36622</v>
      </c>
      <c r="E117" s="29">
        <f ca="1">_xlfn.DAYS(NOW(),Tabella3[[#This Row],[Data di Nascita]])/365.25</f>
        <v>25.32785763175907</v>
      </c>
      <c r="F117" s="11" t="s">
        <v>7073</v>
      </c>
      <c r="G117" s="11" t="s">
        <v>7074</v>
      </c>
      <c r="H117" s="11" t="s">
        <v>2732</v>
      </c>
      <c r="I117" s="11" t="s">
        <v>645</v>
      </c>
      <c r="J117" s="11" t="s">
        <v>1833</v>
      </c>
      <c r="K117" s="18"/>
      <c r="L117" s="18"/>
      <c r="M117" s="18"/>
      <c r="N117" s="18"/>
      <c r="O117" s="18"/>
      <c r="P117" s="18"/>
      <c r="Q117" s="18"/>
      <c r="R117" s="18"/>
      <c r="S117" s="18"/>
      <c r="T117" s="11" t="s">
        <v>7075</v>
      </c>
      <c r="U117" s="18">
        <v>3.75</v>
      </c>
      <c r="V117" s="18"/>
      <c r="W117" s="18"/>
      <c r="X117" s="11" t="s">
        <v>8</v>
      </c>
      <c r="Y117" s="18"/>
      <c r="Z117" s="18"/>
      <c r="AA117" s="18"/>
      <c r="AB117" s="18">
        <v>1</v>
      </c>
      <c r="AC117" s="18"/>
      <c r="AD117" s="11" t="s">
        <v>25</v>
      </c>
      <c r="AE117" s="18"/>
      <c r="AF117" s="18"/>
      <c r="AG117" s="18"/>
      <c r="AH117" s="18"/>
      <c r="AI117" s="18"/>
      <c r="AJ117" s="11" t="s">
        <v>7076</v>
      </c>
      <c r="AK117" s="17">
        <v>1</v>
      </c>
      <c r="AL117" s="11" t="s">
        <v>8</v>
      </c>
      <c r="AM117" s="18"/>
      <c r="AN117" s="11" t="s">
        <v>8</v>
      </c>
      <c r="AO117" s="17">
        <v>1</v>
      </c>
      <c r="AP117" s="18"/>
      <c r="AQ117" s="11" t="s">
        <v>8</v>
      </c>
      <c r="AR117" s="17">
        <v>1</v>
      </c>
      <c r="AS117" s="11" t="s">
        <v>8</v>
      </c>
      <c r="AT117" s="17">
        <v>1</v>
      </c>
      <c r="AU117" s="18"/>
      <c r="AV117" s="11" t="s">
        <v>8</v>
      </c>
      <c r="AW117" s="18"/>
      <c r="AX117" s="18"/>
      <c r="AY117" s="11" t="s">
        <v>8</v>
      </c>
      <c r="AZ117" s="11" t="s">
        <v>28</v>
      </c>
      <c r="BA117" s="11" t="s">
        <v>7077</v>
      </c>
      <c r="BB117" s="11" t="s">
        <v>8</v>
      </c>
      <c r="BC117" s="11" t="s">
        <v>8</v>
      </c>
      <c r="BD117" s="11" t="s">
        <v>25</v>
      </c>
      <c r="BE117" s="11" t="s">
        <v>8</v>
      </c>
      <c r="BF117" s="11" t="s">
        <v>8</v>
      </c>
      <c r="BG117" s="11" t="s">
        <v>8</v>
      </c>
      <c r="BH117" s="11" t="s">
        <v>272</v>
      </c>
      <c r="BI117" s="11" t="s">
        <v>8</v>
      </c>
      <c r="BJ117" s="11" t="s">
        <v>8</v>
      </c>
      <c r="BK117" s="11" t="s">
        <v>8</v>
      </c>
      <c r="BL117" s="11" t="s">
        <v>8</v>
      </c>
      <c r="BM117" s="11" t="s">
        <v>8</v>
      </c>
      <c r="BN117" s="11" t="s">
        <v>7078</v>
      </c>
      <c r="BO117" s="11" t="s">
        <v>272</v>
      </c>
      <c r="BP117" s="11" t="s">
        <v>5804</v>
      </c>
      <c r="BQ117" s="11" t="s">
        <v>120</v>
      </c>
      <c r="BR117" s="11" t="s">
        <v>7079</v>
      </c>
      <c r="BS117" s="11" t="s">
        <v>6211</v>
      </c>
      <c r="BT117" s="11" t="s">
        <v>7080</v>
      </c>
      <c r="BU117" s="12"/>
    </row>
    <row r="118" spans="1:73" ht="185.25">
      <c r="A118" s="5">
        <v>1435</v>
      </c>
      <c r="B118" s="6">
        <v>45412</v>
      </c>
      <c r="C118" s="7" t="s">
        <v>7081</v>
      </c>
      <c r="D118" s="6">
        <v>33211</v>
      </c>
      <c r="E118" s="29">
        <f ca="1">_xlfn.DAYS(NOW(),Tabella3[[#This Row],[Data di Nascita]])/365.25</f>
        <v>34.666666666666664</v>
      </c>
      <c r="F118" s="7" t="s">
        <v>7082</v>
      </c>
      <c r="G118" s="7" t="s">
        <v>7083</v>
      </c>
      <c r="H118" s="7" t="s">
        <v>2142</v>
      </c>
      <c r="I118" s="7" t="s">
        <v>1346</v>
      </c>
      <c r="J118" s="7" t="s">
        <v>7084</v>
      </c>
      <c r="K118" s="17"/>
      <c r="L118" s="17"/>
      <c r="M118" s="17"/>
      <c r="N118" s="17"/>
      <c r="O118" s="17">
        <v>1</v>
      </c>
      <c r="P118" s="17"/>
      <c r="Q118" s="17"/>
      <c r="R118" s="17"/>
      <c r="S118" s="17"/>
      <c r="T118" s="7" t="s">
        <v>7085</v>
      </c>
      <c r="U118" s="17">
        <v>3.5</v>
      </c>
      <c r="V118" s="17">
        <v>1</v>
      </c>
      <c r="W118" s="17"/>
      <c r="X118" s="7" t="s">
        <v>272</v>
      </c>
      <c r="Y118" s="17"/>
      <c r="Z118" s="17"/>
      <c r="AA118" s="17">
        <v>1</v>
      </c>
      <c r="AB118" s="17"/>
      <c r="AC118" s="17"/>
      <c r="AD118" s="7" t="s">
        <v>7086</v>
      </c>
      <c r="AE118" s="17"/>
      <c r="AF118" s="17">
        <v>1</v>
      </c>
      <c r="AG118" s="17"/>
      <c r="AH118" s="17"/>
      <c r="AI118" s="17"/>
      <c r="AJ118" s="7" t="s">
        <v>7</v>
      </c>
      <c r="AK118" s="17">
        <v>1</v>
      </c>
      <c r="AL118" s="7" t="s">
        <v>8</v>
      </c>
      <c r="AM118" s="17"/>
      <c r="AN118" s="7" t="s">
        <v>8</v>
      </c>
      <c r="AO118" s="17">
        <v>1</v>
      </c>
      <c r="AP118" s="17"/>
      <c r="AQ118" s="7" t="s">
        <v>8</v>
      </c>
      <c r="AR118" s="17">
        <v>1</v>
      </c>
      <c r="AS118" s="7" t="s">
        <v>8</v>
      </c>
      <c r="AT118" s="17">
        <v>1</v>
      </c>
      <c r="AU118" s="17"/>
      <c r="AV118" s="7" t="s">
        <v>8</v>
      </c>
      <c r="AW118" s="17"/>
      <c r="AX118" s="17"/>
      <c r="AY118" s="7" t="s">
        <v>8</v>
      </c>
      <c r="AZ118" s="7" t="s">
        <v>7087</v>
      </c>
      <c r="BA118" s="7" t="s">
        <v>8</v>
      </c>
      <c r="BB118" s="7" t="s">
        <v>7088</v>
      </c>
      <c r="BC118" s="7"/>
      <c r="BD118" s="7" t="s">
        <v>7089</v>
      </c>
      <c r="BE118" s="7" t="s">
        <v>8</v>
      </c>
      <c r="BF118" s="7"/>
      <c r="BG118" s="7" t="s">
        <v>7090</v>
      </c>
      <c r="BH118" s="7" t="s">
        <v>7091</v>
      </c>
      <c r="BI118" s="7" t="s">
        <v>200</v>
      </c>
      <c r="BJ118" s="7" t="s">
        <v>8</v>
      </c>
      <c r="BK118" s="7" t="s">
        <v>7092</v>
      </c>
      <c r="BL118" s="7" t="s">
        <v>8</v>
      </c>
      <c r="BM118" s="7" t="s">
        <v>2243</v>
      </c>
      <c r="BN118" s="7" t="s">
        <v>8</v>
      </c>
      <c r="BO118" s="7" t="s">
        <v>8</v>
      </c>
      <c r="BP118" s="7" t="s">
        <v>4975</v>
      </c>
      <c r="BQ118" s="7" t="s">
        <v>55</v>
      </c>
      <c r="BR118" s="7" t="s">
        <v>37</v>
      </c>
      <c r="BS118" s="7" t="s">
        <v>234</v>
      </c>
      <c r="BT118" s="7" t="s">
        <v>7049</v>
      </c>
      <c r="BU118" s="8" t="s">
        <v>7093</v>
      </c>
    </row>
    <row r="119" spans="1:73" ht="213.75">
      <c r="A119" s="9">
        <v>1438</v>
      </c>
      <c r="B119" s="10">
        <v>45414</v>
      </c>
      <c r="C119" s="11" t="s">
        <v>7094</v>
      </c>
      <c r="D119" s="10">
        <v>20683</v>
      </c>
      <c r="E119" s="29">
        <f ca="1">_xlfn.DAYS(NOW(),Tabella3[[#This Row],[Data di Nascita]])/365.25</f>
        <v>68.96646132785763</v>
      </c>
      <c r="F119" s="11" t="s">
        <v>7095</v>
      </c>
      <c r="G119" s="11" t="s">
        <v>7096</v>
      </c>
      <c r="H119" s="11" t="s">
        <v>2293</v>
      </c>
      <c r="I119" s="11" t="s">
        <v>7097</v>
      </c>
      <c r="J119" s="11" t="s">
        <v>7098</v>
      </c>
      <c r="K119" s="18"/>
      <c r="L119" s="18"/>
      <c r="M119" s="18"/>
      <c r="N119" s="18">
        <v>1</v>
      </c>
      <c r="O119" s="18"/>
      <c r="P119" s="18"/>
      <c r="Q119" s="18"/>
      <c r="R119" s="18"/>
      <c r="S119" s="18"/>
      <c r="T119" s="11" t="s">
        <v>7099</v>
      </c>
      <c r="U119" s="18">
        <v>38</v>
      </c>
      <c r="V119" s="18">
        <v>1</v>
      </c>
      <c r="W119" s="18"/>
      <c r="X119" s="11" t="s">
        <v>195</v>
      </c>
      <c r="Y119" s="18"/>
      <c r="Z119" s="18"/>
      <c r="AA119" s="18"/>
      <c r="AB119" s="18">
        <v>1</v>
      </c>
      <c r="AC119" s="18"/>
      <c r="AD119" s="11" t="s">
        <v>7100</v>
      </c>
      <c r="AE119" s="18"/>
      <c r="AF119" s="18"/>
      <c r="AG119" s="18">
        <v>1</v>
      </c>
      <c r="AH119" s="18"/>
      <c r="AI119" s="18"/>
      <c r="AJ119" s="11" t="s">
        <v>28</v>
      </c>
      <c r="AK119" s="17">
        <v>1</v>
      </c>
      <c r="AL119" s="11" t="s">
        <v>194</v>
      </c>
      <c r="AM119" s="17">
        <v>1</v>
      </c>
      <c r="AN119" s="11" t="s">
        <v>195</v>
      </c>
      <c r="AO119" s="17">
        <v>1</v>
      </c>
      <c r="AP119" s="18"/>
      <c r="AQ119" s="11" t="s">
        <v>195</v>
      </c>
      <c r="AR119" s="17">
        <v>1</v>
      </c>
      <c r="AS119" s="11" t="s">
        <v>194</v>
      </c>
      <c r="AT119" s="18"/>
      <c r="AU119" s="18"/>
      <c r="AV119" s="11" t="s">
        <v>195</v>
      </c>
      <c r="AW119" s="18"/>
      <c r="AX119" s="18"/>
      <c r="AY119" s="11" t="s">
        <v>195</v>
      </c>
      <c r="AZ119" s="11" t="s">
        <v>195</v>
      </c>
      <c r="BA119" s="11" t="s">
        <v>7101</v>
      </c>
      <c r="BB119" s="11" t="s">
        <v>7102</v>
      </c>
      <c r="BC119" s="11" t="s">
        <v>7103</v>
      </c>
      <c r="BD119" s="11" t="s">
        <v>7104</v>
      </c>
      <c r="BE119" s="11"/>
      <c r="BF119" s="11"/>
      <c r="BG119" s="11" t="s">
        <v>7105</v>
      </c>
      <c r="BH119" s="11" t="s">
        <v>7106</v>
      </c>
      <c r="BI119" s="11" t="s">
        <v>7107</v>
      </c>
      <c r="BJ119" s="11" t="s">
        <v>195</v>
      </c>
      <c r="BK119" s="11" t="s">
        <v>195</v>
      </c>
      <c r="BL119" s="11" t="s">
        <v>387</v>
      </c>
      <c r="BM119" s="11" t="s">
        <v>3578</v>
      </c>
      <c r="BN119" s="11" t="s">
        <v>3448</v>
      </c>
      <c r="BO119" s="11" t="s">
        <v>7108</v>
      </c>
      <c r="BP119" s="11" t="s">
        <v>4975</v>
      </c>
      <c r="BQ119" s="11" t="s">
        <v>7109</v>
      </c>
      <c r="BR119" s="11"/>
      <c r="BS119" s="11"/>
      <c r="BT119" s="11"/>
      <c r="BU119" s="12"/>
    </row>
    <row r="120" spans="1:73" ht="114">
      <c r="A120" s="5">
        <v>1446</v>
      </c>
      <c r="B120" s="6">
        <v>45419</v>
      </c>
      <c r="C120" s="7" t="s">
        <v>7110</v>
      </c>
      <c r="D120" s="6">
        <v>26743</v>
      </c>
      <c r="E120" s="29">
        <f ca="1">_xlfn.DAYS(NOW(),Tabella3[[#This Row],[Data di Nascita]])/365.25</f>
        <v>52.375085557837096</v>
      </c>
      <c r="F120" s="7" t="s">
        <v>7111</v>
      </c>
      <c r="G120" s="7" t="s">
        <v>7112</v>
      </c>
      <c r="H120" s="7" t="s">
        <v>7113</v>
      </c>
      <c r="I120" s="7" t="s">
        <v>7114</v>
      </c>
      <c r="J120" s="7" t="s">
        <v>7115</v>
      </c>
      <c r="K120" s="17"/>
      <c r="L120" s="17"/>
      <c r="M120" s="17"/>
      <c r="N120" s="17"/>
      <c r="O120" s="17"/>
      <c r="P120" s="17"/>
      <c r="Q120" s="17"/>
      <c r="R120" s="17"/>
      <c r="S120" s="17"/>
      <c r="T120" s="7" t="s">
        <v>5895</v>
      </c>
      <c r="U120" s="17"/>
      <c r="V120" s="17"/>
      <c r="W120" s="17">
        <v>1</v>
      </c>
      <c r="X120" s="7" t="s">
        <v>26</v>
      </c>
      <c r="Y120" s="17"/>
      <c r="Z120" s="17"/>
      <c r="AA120" s="17">
        <v>1</v>
      </c>
      <c r="AB120" s="17"/>
      <c r="AC120" s="17"/>
      <c r="AD120" s="7" t="s">
        <v>7116</v>
      </c>
      <c r="AE120" s="17"/>
      <c r="AF120" s="17"/>
      <c r="AG120" s="17">
        <v>1</v>
      </c>
      <c r="AH120" s="17"/>
      <c r="AI120" s="17"/>
      <c r="AJ120" s="7" t="s">
        <v>28</v>
      </c>
      <c r="AK120" s="17">
        <v>1</v>
      </c>
      <c r="AL120" s="7" t="s">
        <v>25</v>
      </c>
      <c r="AM120" s="17"/>
      <c r="AN120" s="7" t="s">
        <v>25</v>
      </c>
      <c r="AO120" s="17">
        <v>1</v>
      </c>
      <c r="AP120" s="17"/>
      <c r="AQ120" s="7" t="s">
        <v>25</v>
      </c>
      <c r="AR120" s="17">
        <v>1</v>
      </c>
      <c r="AS120" s="7" t="s">
        <v>28</v>
      </c>
      <c r="AT120" s="17"/>
      <c r="AU120" s="17"/>
      <c r="AV120" s="7" t="s">
        <v>25</v>
      </c>
      <c r="AW120" s="17"/>
      <c r="AX120" s="17"/>
      <c r="AY120" s="7" t="s">
        <v>25</v>
      </c>
      <c r="AZ120" s="7" t="s">
        <v>47</v>
      </c>
      <c r="BA120" s="7" t="s">
        <v>28</v>
      </c>
      <c r="BB120" s="7" t="s">
        <v>25</v>
      </c>
      <c r="BC120" s="7"/>
      <c r="BD120" s="7" t="s">
        <v>4971</v>
      </c>
      <c r="BE120" s="7" t="s">
        <v>25</v>
      </c>
      <c r="BF120" s="7"/>
      <c r="BG120" s="7" t="s">
        <v>25</v>
      </c>
      <c r="BH120" s="7" t="s">
        <v>26</v>
      </c>
      <c r="BI120" s="7" t="s">
        <v>25</v>
      </c>
      <c r="BJ120" s="7" t="s">
        <v>25</v>
      </c>
      <c r="BK120" s="7" t="s">
        <v>25</v>
      </c>
      <c r="BL120" s="7" t="s">
        <v>25</v>
      </c>
      <c r="BM120" s="7" t="s">
        <v>25</v>
      </c>
      <c r="BN120" s="7" t="s">
        <v>26</v>
      </c>
      <c r="BO120" s="7" t="s">
        <v>25</v>
      </c>
      <c r="BP120" s="7" t="s">
        <v>5804</v>
      </c>
      <c r="BQ120" s="7" t="s">
        <v>7117</v>
      </c>
      <c r="BR120" s="7" t="s">
        <v>86</v>
      </c>
      <c r="BS120" s="7" t="s">
        <v>72</v>
      </c>
      <c r="BT120" s="7" t="s">
        <v>7118</v>
      </c>
      <c r="BU120" s="8" t="s">
        <v>7119</v>
      </c>
    </row>
    <row r="121" spans="1:73" ht="256.5">
      <c r="A121" s="9">
        <v>1450</v>
      </c>
      <c r="B121" s="10">
        <v>45419</v>
      </c>
      <c r="C121" s="11" t="s">
        <v>7120</v>
      </c>
      <c r="D121" s="10">
        <v>26727</v>
      </c>
      <c r="E121" s="29">
        <f ca="1">_xlfn.DAYS(NOW(),Tabella3[[#This Row],[Data di Nascita]])/365.25</f>
        <v>52.418891170431209</v>
      </c>
      <c r="F121" s="11" t="s">
        <v>7121</v>
      </c>
      <c r="G121" s="11" t="s">
        <v>7122</v>
      </c>
      <c r="H121" s="11" t="s">
        <v>6738</v>
      </c>
      <c r="I121" s="11" t="s">
        <v>618</v>
      </c>
      <c r="J121" s="11" t="s">
        <v>7123</v>
      </c>
      <c r="K121" s="18"/>
      <c r="L121" s="18"/>
      <c r="M121" s="18"/>
      <c r="N121" s="18">
        <v>1</v>
      </c>
      <c r="O121" s="18"/>
      <c r="P121" s="18"/>
      <c r="Q121" s="18"/>
      <c r="R121" s="18"/>
      <c r="S121" s="18"/>
      <c r="T121" s="11" t="s">
        <v>7124</v>
      </c>
      <c r="U121" s="18">
        <v>3</v>
      </c>
      <c r="V121" s="18">
        <v>1</v>
      </c>
      <c r="W121" s="18"/>
      <c r="X121" s="11" t="s">
        <v>25</v>
      </c>
      <c r="Y121" s="18"/>
      <c r="Z121" s="18"/>
      <c r="AA121" s="18"/>
      <c r="AB121" s="18">
        <v>1</v>
      </c>
      <c r="AC121" s="18"/>
      <c r="AD121" s="11" t="s">
        <v>25</v>
      </c>
      <c r="AE121" s="18"/>
      <c r="AF121" s="18"/>
      <c r="AG121" s="18"/>
      <c r="AH121" s="18"/>
      <c r="AI121" s="18"/>
      <c r="AJ121" s="11" t="s">
        <v>28</v>
      </c>
      <c r="AK121" s="17">
        <v>1</v>
      </c>
      <c r="AL121" s="11" t="s">
        <v>25</v>
      </c>
      <c r="AM121" s="18"/>
      <c r="AN121" s="11" t="s">
        <v>25</v>
      </c>
      <c r="AO121" s="17">
        <v>1</v>
      </c>
      <c r="AP121" s="18"/>
      <c r="AQ121" s="11" t="s">
        <v>25</v>
      </c>
      <c r="AR121" s="17">
        <v>1</v>
      </c>
      <c r="AS121" s="11" t="s">
        <v>25</v>
      </c>
      <c r="AT121" s="17">
        <v>1</v>
      </c>
      <c r="AU121" s="18"/>
      <c r="AV121" s="11" t="s">
        <v>25</v>
      </c>
      <c r="AW121" s="18"/>
      <c r="AX121" s="18"/>
      <c r="AY121" s="11" t="s">
        <v>25</v>
      </c>
      <c r="AZ121" s="11" t="s">
        <v>8</v>
      </c>
      <c r="BA121" s="11" t="s">
        <v>26</v>
      </c>
      <c r="BB121" s="11" t="s">
        <v>25</v>
      </c>
      <c r="BC121" s="11"/>
      <c r="BD121" s="11" t="s">
        <v>7125</v>
      </c>
      <c r="BE121" s="11" t="s">
        <v>25</v>
      </c>
      <c r="BF121" s="11"/>
      <c r="BG121" s="11" t="s">
        <v>25</v>
      </c>
      <c r="BH121" s="11" t="s">
        <v>28</v>
      </c>
      <c r="BI121" s="11" t="s">
        <v>25</v>
      </c>
      <c r="BJ121" s="11" t="s">
        <v>25</v>
      </c>
      <c r="BK121" s="11" t="s">
        <v>25</v>
      </c>
      <c r="BL121" s="11" t="s">
        <v>25</v>
      </c>
      <c r="BM121" s="11" t="s">
        <v>26</v>
      </c>
      <c r="BN121" s="11" t="s">
        <v>25</v>
      </c>
      <c r="BO121" s="11" t="s">
        <v>25</v>
      </c>
      <c r="BP121" s="11" t="s">
        <v>4975</v>
      </c>
      <c r="BQ121" s="11" t="s">
        <v>7126</v>
      </c>
      <c r="BR121" s="11" t="s">
        <v>355</v>
      </c>
      <c r="BS121" s="11" t="s">
        <v>169</v>
      </c>
      <c r="BT121" s="11" t="s">
        <v>1695</v>
      </c>
      <c r="BU121" s="12" t="s">
        <v>7127</v>
      </c>
    </row>
    <row r="122" spans="1:73" ht="399">
      <c r="A122" s="5">
        <v>1451</v>
      </c>
      <c r="B122" s="6">
        <v>45420</v>
      </c>
      <c r="C122" s="7" t="s">
        <v>7128</v>
      </c>
      <c r="D122" s="6">
        <v>17831</v>
      </c>
      <c r="E122" s="29">
        <f ca="1">_xlfn.DAYS(NOW(),Tabella3[[#This Row],[Data di Nascita]])/365.25</f>
        <v>76.774811772758383</v>
      </c>
      <c r="F122" s="7" t="s">
        <v>7129</v>
      </c>
      <c r="G122" s="7" t="s">
        <v>7130</v>
      </c>
      <c r="H122" s="7" t="s">
        <v>2293</v>
      </c>
      <c r="I122" s="7" t="s">
        <v>3075</v>
      </c>
      <c r="J122" s="7" t="s">
        <v>7131</v>
      </c>
      <c r="K122" s="17">
        <v>1</v>
      </c>
      <c r="L122" s="17"/>
      <c r="M122" s="17"/>
      <c r="N122" s="17"/>
      <c r="O122" s="17"/>
      <c r="P122" s="17"/>
      <c r="Q122" s="17"/>
      <c r="R122" s="17"/>
      <c r="S122" s="17"/>
      <c r="T122" s="7" t="s">
        <v>309</v>
      </c>
      <c r="U122" s="17"/>
      <c r="V122" s="17"/>
      <c r="W122" s="17">
        <v>1</v>
      </c>
      <c r="X122" s="7" t="s">
        <v>195</v>
      </c>
      <c r="Y122" s="17"/>
      <c r="Z122" s="17"/>
      <c r="AA122" s="17"/>
      <c r="AB122" s="17">
        <v>1</v>
      </c>
      <c r="AC122" s="17"/>
      <c r="AD122" s="7" t="s">
        <v>7132</v>
      </c>
      <c r="AE122" s="17"/>
      <c r="AF122" s="17"/>
      <c r="AG122" s="17">
        <v>1</v>
      </c>
      <c r="AH122" s="17"/>
      <c r="AI122" s="17">
        <v>1</v>
      </c>
      <c r="AJ122" s="7" t="s">
        <v>194</v>
      </c>
      <c r="AK122" s="17">
        <v>1</v>
      </c>
      <c r="AL122" s="7" t="s">
        <v>195</v>
      </c>
      <c r="AM122" s="17"/>
      <c r="AN122" s="7" t="s">
        <v>195</v>
      </c>
      <c r="AO122" s="17">
        <v>1</v>
      </c>
      <c r="AP122" s="17"/>
      <c r="AQ122" s="7" t="s">
        <v>195</v>
      </c>
      <c r="AR122" s="17">
        <v>1</v>
      </c>
      <c r="AS122" s="7" t="s">
        <v>194</v>
      </c>
      <c r="AT122" s="17"/>
      <c r="AU122" s="17"/>
      <c r="AV122" s="7" t="s">
        <v>195</v>
      </c>
      <c r="AW122" s="17"/>
      <c r="AX122" s="17"/>
      <c r="AY122" s="7" t="s">
        <v>195</v>
      </c>
      <c r="AZ122" s="7" t="s">
        <v>195</v>
      </c>
      <c r="BA122" s="7" t="s">
        <v>2721</v>
      </c>
      <c r="BB122" s="7" t="s">
        <v>8</v>
      </c>
      <c r="BC122" s="7" t="s">
        <v>7133</v>
      </c>
      <c r="BD122" s="7" t="s">
        <v>7134</v>
      </c>
      <c r="BE122" s="7"/>
      <c r="BF122" s="7"/>
      <c r="BG122" s="7" t="s">
        <v>7135</v>
      </c>
      <c r="BH122" s="7" t="s">
        <v>7136</v>
      </c>
      <c r="BI122" s="7" t="s">
        <v>7137</v>
      </c>
      <c r="BJ122" s="7" t="s">
        <v>195</v>
      </c>
      <c r="BK122" s="7" t="s">
        <v>2721</v>
      </c>
      <c r="BL122" s="7" t="s">
        <v>7138</v>
      </c>
      <c r="BM122" s="7" t="s">
        <v>134</v>
      </c>
      <c r="BN122" s="7" t="s">
        <v>7139</v>
      </c>
      <c r="BO122" s="7" t="s">
        <v>301</v>
      </c>
      <c r="BP122" s="7" t="s">
        <v>4975</v>
      </c>
      <c r="BQ122" s="7" t="s">
        <v>152</v>
      </c>
      <c r="BR122" s="7" t="s">
        <v>105</v>
      </c>
      <c r="BS122" s="7" t="s">
        <v>664</v>
      </c>
      <c r="BT122" s="7" t="s">
        <v>7140</v>
      </c>
      <c r="BU122" s="8" t="s">
        <v>2142</v>
      </c>
    </row>
    <row r="123" spans="1:73" ht="313.5">
      <c r="A123" s="9">
        <v>1462</v>
      </c>
      <c r="B123" s="10">
        <v>45427</v>
      </c>
      <c r="C123" s="11" t="s">
        <v>7141</v>
      </c>
      <c r="D123" s="10">
        <v>18050</v>
      </c>
      <c r="E123" s="29">
        <f ca="1">_xlfn.DAYS(NOW(),Tabella3[[#This Row],[Data di Nascita]])/365.25</f>
        <v>76.175222450376452</v>
      </c>
      <c r="F123" s="11" t="s">
        <v>7142</v>
      </c>
      <c r="G123" s="11" t="s">
        <v>7143</v>
      </c>
      <c r="H123" s="11" t="s">
        <v>3183</v>
      </c>
      <c r="I123" s="11" t="s">
        <v>7144</v>
      </c>
      <c r="J123" s="11" t="s">
        <v>7145</v>
      </c>
      <c r="K123" s="17">
        <v>1</v>
      </c>
      <c r="L123" s="18"/>
      <c r="M123" s="18">
        <v>1</v>
      </c>
      <c r="N123" s="18"/>
      <c r="O123" s="18"/>
      <c r="P123" s="18">
        <v>1</v>
      </c>
      <c r="Q123" s="18"/>
      <c r="R123" s="18"/>
      <c r="S123" s="18"/>
      <c r="T123" s="11" t="s">
        <v>7146</v>
      </c>
      <c r="U123" s="18">
        <v>3</v>
      </c>
      <c r="V123" s="18">
        <v>1</v>
      </c>
      <c r="W123" s="18"/>
      <c r="X123" s="11" t="s">
        <v>7147</v>
      </c>
      <c r="Y123" s="18"/>
      <c r="Z123" s="18"/>
      <c r="AA123" s="18">
        <v>1</v>
      </c>
      <c r="AB123" s="18"/>
      <c r="AC123" s="18"/>
      <c r="AD123" s="11" t="s">
        <v>7148</v>
      </c>
      <c r="AE123" s="18"/>
      <c r="AF123" s="18"/>
      <c r="AG123" s="18"/>
      <c r="AH123" s="18"/>
      <c r="AI123" s="18"/>
      <c r="AJ123" s="11" t="s">
        <v>3955</v>
      </c>
      <c r="AK123" s="17">
        <v>1</v>
      </c>
      <c r="AL123" s="11" t="s">
        <v>3718</v>
      </c>
      <c r="AM123" s="17">
        <v>1</v>
      </c>
      <c r="AN123" s="11" t="s">
        <v>7149</v>
      </c>
      <c r="AO123" s="17">
        <v>1</v>
      </c>
      <c r="AP123" s="18"/>
      <c r="AQ123" s="11" t="s">
        <v>8</v>
      </c>
      <c r="AR123" s="17">
        <v>1</v>
      </c>
      <c r="AS123" s="11" t="s">
        <v>7150</v>
      </c>
      <c r="AT123" s="18"/>
      <c r="AU123" s="18"/>
      <c r="AV123" s="11" t="s">
        <v>8</v>
      </c>
      <c r="AW123" s="18"/>
      <c r="AX123" s="18"/>
      <c r="AY123" s="11" t="s">
        <v>7151</v>
      </c>
      <c r="AZ123" s="11" t="s">
        <v>7152</v>
      </c>
      <c r="BA123" s="11" t="s">
        <v>7153</v>
      </c>
      <c r="BB123" s="11" t="s">
        <v>7154</v>
      </c>
      <c r="BC123" s="11"/>
      <c r="BD123" s="11" t="s">
        <v>7155</v>
      </c>
      <c r="BE123" s="11" t="s">
        <v>2800</v>
      </c>
      <c r="BF123" s="11"/>
      <c r="BG123" s="11" t="s">
        <v>7156</v>
      </c>
      <c r="BH123" s="11" t="s">
        <v>7157</v>
      </c>
      <c r="BI123" s="11" t="s">
        <v>7156</v>
      </c>
      <c r="BJ123" s="11" t="s">
        <v>7156</v>
      </c>
      <c r="BK123" s="11" t="s">
        <v>7158</v>
      </c>
      <c r="BL123" s="11" t="s">
        <v>7159</v>
      </c>
      <c r="BM123" s="11" t="s">
        <v>7160</v>
      </c>
      <c r="BN123" s="11" t="s">
        <v>7161</v>
      </c>
      <c r="BO123" s="11" t="s">
        <v>7162</v>
      </c>
      <c r="BP123" s="11" t="s">
        <v>4975</v>
      </c>
      <c r="BQ123" s="11" t="s">
        <v>7163</v>
      </c>
      <c r="BR123" s="11" t="s">
        <v>998</v>
      </c>
      <c r="BS123" s="11" t="s">
        <v>7164</v>
      </c>
      <c r="BT123" s="11" t="s">
        <v>7165</v>
      </c>
      <c r="BU123" s="12" t="s">
        <v>7166</v>
      </c>
    </row>
    <row r="124" spans="1:73" ht="242.25">
      <c r="A124" s="5">
        <v>1489</v>
      </c>
      <c r="B124" s="6">
        <v>45446</v>
      </c>
      <c r="C124" s="7" t="s">
        <v>7167</v>
      </c>
      <c r="D124" s="6">
        <v>29824</v>
      </c>
      <c r="E124" s="29">
        <f ca="1">_xlfn.DAYS(NOW(),Tabella3[[#This Row],[Data di Nascita]])/365.25</f>
        <v>43.939767282683093</v>
      </c>
      <c r="F124" s="7" t="s">
        <v>7168</v>
      </c>
      <c r="G124" s="7" t="s">
        <v>7169</v>
      </c>
      <c r="H124" s="7" t="s">
        <v>955</v>
      </c>
      <c r="I124" s="7" t="s">
        <v>1346</v>
      </c>
      <c r="J124" s="7" t="s">
        <v>7170</v>
      </c>
      <c r="K124" s="17"/>
      <c r="L124" s="17"/>
      <c r="M124" s="17"/>
      <c r="N124" s="17"/>
      <c r="O124" s="17"/>
      <c r="P124" s="17"/>
      <c r="Q124" s="17"/>
      <c r="R124" s="17"/>
      <c r="S124" s="17"/>
      <c r="T124" s="7" t="s">
        <v>7171</v>
      </c>
      <c r="U124" s="17">
        <v>1</v>
      </c>
      <c r="V124" s="17">
        <v>1</v>
      </c>
      <c r="W124" s="17"/>
      <c r="X124" s="7" t="s">
        <v>25</v>
      </c>
      <c r="Y124" s="17"/>
      <c r="Z124" s="17"/>
      <c r="AA124" s="17"/>
      <c r="AB124" s="17">
        <v>1</v>
      </c>
      <c r="AC124" s="17"/>
      <c r="AD124" s="7" t="s">
        <v>6322</v>
      </c>
      <c r="AE124" s="17"/>
      <c r="AF124" s="17"/>
      <c r="AG124" s="17"/>
      <c r="AH124" s="17"/>
      <c r="AI124" s="17"/>
      <c r="AJ124" s="7" t="s">
        <v>28</v>
      </c>
      <c r="AK124" s="17">
        <v>1</v>
      </c>
      <c r="AL124" s="7" t="s">
        <v>8</v>
      </c>
      <c r="AM124" s="17"/>
      <c r="AN124" s="7" t="s">
        <v>8</v>
      </c>
      <c r="AO124" s="17">
        <v>1</v>
      </c>
      <c r="AP124" s="17"/>
      <c r="AQ124" s="7" t="s">
        <v>8</v>
      </c>
      <c r="AR124" s="17">
        <v>1</v>
      </c>
      <c r="AS124" s="7" t="s">
        <v>8</v>
      </c>
      <c r="AT124" s="17">
        <v>1</v>
      </c>
      <c r="AU124" s="17"/>
      <c r="AV124" s="7" t="s">
        <v>8</v>
      </c>
      <c r="AW124" s="17"/>
      <c r="AX124" s="17"/>
      <c r="AY124" s="7" t="s">
        <v>8</v>
      </c>
      <c r="AZ124" s="7" t="s">
        <v>8</v>
      </c>
      <c r="BA124" s="7" t="s">
        <v>8</v>
      </c>
      <c r="BB124" s="7" t="s">
        <v>8</v>
      </c>
      <c r="BC124" s="7" t="s">
        <v>7172</v>
      </c>
      <c r="BD124" s="7" t="s">
        <v>132</v>
      </c>
      <c r="BE124" s="7" t="s">
        <v>8</v>
      </c>
      <c r="BF124" s="7" t="s">
        <v>7173</v>
      </c>
      <c r="BG124" s="7" t="s">
        <v>8</v>
      </c>
      <c r="BH124" s="7" t="s">
        <v>8</v>
      </c>
      <c r="BI124" s="7" t="s">
        <v>8</v>
      </c>
      <c r="BJ124" s="7" t="s">
        <v>8</v>
      </c>
      <c r="BK124" s="7" t="s">
        <v>7174</v>
      </c>
      <c r="BL124" s="7" t="s">
        <v>8</v>
      </c>
      <c r="BM124" s="7" t="s">
        <v>7175</v>
      </c>
      <c r="BN124" s="7" t="s">
        <v>28</v>
      </c>
      <c r="BO124" s="7" t="s">
        <v>8</v>
      </c>
      <c r="BP124" s="7" t="s">
        <v>5804</v>
      </c>
      <c r="BQ124" s="7" t="s">
        <v>2953</v>
      </c>
      <c r="BR124" s="7" t="s">
        <v>355</v>
      </c>
      <c r="BS124" s="7" t="s">
        <v>154</v>
      </c>
      <c r="BT124" s="7" t="s">
        <v>7176</v>
      </c>
      <c r="BU124" s="8" t="s">
        <v>7177</v>
      </c>
    </row>
    <row r="125" spans="1:73" ht="256.5">
      <c r="A125" s="9">
        <v>1492</v>
      </c>
      <c r="B125" s="10">
        <v>45447</v>
      </c>
      <c r="C125" s="11" t="s">
        <v>7178</v>
      </c>
      <c r="D125" s="10">
        <v>22410</v>
      </c>
      <c r="E125" s="29">
        <f ca="1">_xlfn.DAYS(NOW(),Tabella3[[#This Row],[Data di Nascita]])/365.25</f>
        <v>64.238193018480487</v>
      </c>
      <c r="F125" s="11" t="s">
        <v>7179</v>
      </c>
      <c r="G125" s="11" t="s">
        <v>7180</v>
      </c>
      <c r="H125" s="11" t="s">
        <v>2293</v>
      </c>
      <c r="I125" s="11" t="s">
        <v>211</v>
      </c>
      <c r="J125" s="11" t="s">
        <v>7181</v>
      </c>
      <c r="K125" s="18"/>
      <c r="L125" s="18"/>
      <c r="M125" s="18"/>
      <c r="N125" s="18"/>
      <c r="O125" s="18"/>
      <c r="P125" s="18"/>
      <c r="Q125" s="18"/>
      <c r="R125" s="18">
        <v>1</v>
      </c>
      <c r="S125" s="18"/>
      <c r="T125" s="11" t="s">
        <v>7182</v>
      </c>
      <c r="U125" s="18"/>
      <c r="V125" s="18"/>
      <c r="W125" s="18">
        <v>1</v>
      </c>
      <c r="X125" s="11" t="s">
        <v>309</v>
      </c>
      <c r="Y125" s="18"/>
      <c r="Z125" s="18"/>
      <c r="AA125" s="18"/>
      <c r="AB125" s="18">
        <v>1</v>
      </c>
      <c r="AC125" s="18"/>
      <c r="AD125" s="11" t="s">
        <v>7183</v>
      </c>
      <c r="AE125" s="18"/>
      <c r="AF125" s="18"/>
      <c r="AG125" s="18"/>
      <c r="AH125" s="18"/>
      <c r="AI125" s="18"/>
      <c r="AJ125" s="11" t="s">
        <v>194</v>
      </c>
      <c r="AK125" s="17">
        <v>1</v>
      </c>
      <c r="AL125" s="11" t="s">
        <v>194</v>
      </c>
      <c r="AM125" s="17">
        <v>1</v>
      </c>
      <c r="AN125" s="11" t="s">
        <v>195</v>
      </c>
      <c r="AO125" s="17">
        <v>1</v>
      </c>
      <c r="AP125" s="18"/>
      <c r="AQ125" s="11" t="s">
        <v>195</v>
      </c>
      <c r="AR125" s="17">
        <v>1</v>
      </c>
      <c r="AS125" s="11" t="s">
        <v>195</v>
      </c>
      <c r="AT125" s="17">
        <v>1</v>
      </c>
      <c r="AU125" s="18"/>
      <c r="AV125" s="11" t="s">
        <v>195</v>
      </c>
      <c r="AW125" s="18"/>
      <c r="AX125" s="18"/>
      <c r="AY125" s="11" t="s">
        <v>195</v>
      </c>
      <c r="AZ125" s="11" t="s">
        <v>195</v>
      </c>
      <c r="BA125" s="11" t="s">
        <v>387</v>
      </c>
      <c r="BB125" s="11" t="s">
        <v>7184</v>
      </c>
      <c r="BC125" s="11" t="s">
        <v>7185</v>
      </c>
      <c r="BD125" s="11" t="s">
        <v>7186</v>
      </c>
      <c r="BE125" s="11" t="s">
        <v>195</v>
      </c>
      <c r="BF125" s="11"/>
      <c r="BG125" s="11" t="s">
        <v>7187</v>
      </c>
      <c r="BH125" s="11" t="s">
        <v>7188</v>
      </c>
      <c r="BI125" s="11" t="s">
        <v>25</v>
      </c>
      <c r="BJ125" s="11" t="s">
        <v>25</v>
      </c>
      <c r="BK125" s="11" t="s">
        <v>7189</v>
      </c>
      <c r="BL125" s="11" t="s">
        <v>387</v>
      </c>
      <c r="BM125" s="11" t="s">
        <v>2543</v>
      </c>
      <c r="BN125" s="11" t="s">
        <v>194</v>
      </c>
      <c r="BO125" s="11" t="s">
        <v>194</v>
      </c>
      <c r="BP125" s="11" t="s">
        <v>5804</v>
      </c>
      <c r="BQ125" s="11" t="s">
        <v>7190</v>
      </c>
      <c r="BR125" s="11" t="s">
        <v>71</v>
      </c>
      <c r="BS125" s="11" t="s">
        <v>122</v>
      </c>
      <c r="BT125" s="11" t="s">
        <v>7191</v>
      </c>
      <c r="BU125" s="12"/>
    </row>
    <row r="126" spans="1:73" ht="356.25">
      <c r="A126" s="5">
        <v>1499</v>
      </c>
      <c r="B126" s="6">
        <v>45455</v>
      </c>
      <c r="C126" s="7" t="s">
        <v>7192</v>
      </c>
      <c r="D126" s="6">
        <v>19059</v>
      </c>
      <c r="E126" s="29">
        <f ca="1">_xlfn.DAYS(NOW(),Tabella3[[#This Row],[Data di Nascita]])/365.25</f>
        <v>73.412731006160158</v>
      </c>
      <c r="F126" s="7" t="s">
        <v>7193</v>
      </c>
      <c r="G126" s="7" t="s">
        <v>7194</v>
      </c>
      <c r="H126" s="7" t="s">
        <v>2293</v>
      </c>
      <c r="I126" s="7" t="s">
        <v>211</v>
      </c>
      <c r="J126" s="7" t="s">
        <v>7195</v>
      </c>
      <c r="K126" s="17"/>
      <c r="L126" s="17"/>
      <c r="M126" s="18">
        <v>1</v>
      </c>
      <c r="N126" s="17"/>
      <c r="O126" s="17"/>
      <c r="P126" s="17"/>
      <c r="Q126" s="17"/>
      <c r="R126" s="17"/>
      <c r="S126" s="17"/>
      <c r="T126" s="7" t="s">
        <v>7196</v>
      </c>
      <c r="U126" s="17"/>
      <c r="V126" s="17"/>
      <c r="W126" s="17">
        <v>1</v>
      </c>
      <c r="X126" s="7" t="s">
        <v>195</v>
      </c>
      <c r="Y126" s="17"/>
      <c r="Z126" s="17"/>
      <c r="AA126" s="17"/>
      <c r="AB126" s="17">
        <v>1</v>
      </c>
      <c r="AC126" s="17"/>
      <c r="AD126" s="7" t="s">
        <v>7197</v>
      </c>
      <c r="AE126" s="17"/>
      <c r="AF126" s="17"/>
      <c r="AG126" s="17"/>
      <c r="AH126" s="17"/>
      <c r="AI126" s="17"/>
      <c r="AJ126" s="7" t="s">
        <v>194</v>
      </c>
      <c r="AK126" s="17">
        <v>1</v>
      </c>
      <c r="AL126" s="7" t="s">
        <v>194</v>
      </c>
      <c r="AM126" s="17">
        <v>1</v>
      </c>
      <c r="AN126" s="7" t="s">
        <v>195</v>
      </c>
      <c r="AO126" s="17">
        <v>1</v>
      </c>
      <c r="AP126" s="17"/>
      <c r="AQ126" s="7" t="s">
        <v>195</v>
      </c>
      <c r="AR126" s="17">
        <v>1</v>
      </c>
      <c r="AS126" s="7" t="s">
        <v>194</v>
      </c>
      <c r="AT126" s="17"/>
      <c r="AU126" s="17"/>
      <c r="AV126" s="7" t="s">
        <v>195</v>
      </c>
      <c r="AW126" s="17"/>
      <c r="AX126" s="17"/>
      <c r="AY126" s="7" t="s">
        <v>195</v>
      </c>
      <c r="AZ126" s="7" t="s">
        <v>381</v>
      </c>
      <c r="BA126" s="7" t="s">
        <v>387</v>
      </c>
      <c r="BB126" s="7" t="s">
        <v>5174</v>
      </c>
      <c r="BC126" s="7" t="s">
        <v>7198</v>
      </c>
      <c r="BD126" s="7" t="s">
        <v>7199</v>
      </c>
      <c r="BE126" s="7"/>
      <c r="BF126" s="7"/>
      <c r="BG126" s="7" t="s">
        <v>195</v>
      </c>
      <c r="BH126" s="7" t="s">
        <v>7200</v>
      </c>
      <c r="BI126" s="7" t="s">
        <v>7201</v>
      </c>
      <c r="BJ126" s="7" t="s">
        <v>309</v>
      </c>
      <c r="BK126" s="7" t="s">
        <v>7202</v>
      </c>
      <c r="BL126" s="7" t="s">
        <v>387</v>
      </c>
      <c r="BM126" s="7" t="s">
        <v>33</v>
      </c>
      <c r="BN126" s="7" t="s">
        <v>195</v>
      </c>
      <c r="BO126" s="7" t="s">
        <v>195</v>
      </c>
      <c r="BP126" s="7" t="s">
        <v>4975</v>
      </c>
      <c r="BQ126" s="7" t="s">
        <v>7203</v>
      </c>
      <c r="BR126" s="7" t="s">
        <v>105</v>
      </c>
      <c r="BS126" s="7" t="s">
        <v>262</v>
      </c>
      <c r="BT126" s="7" t="s">
        <v>2878</v>
      </c>
      <c r="BU126" s="8" t="s">
        <v>2997</v>
      </c>
    </row>
    <row r="127" spans="1:73" ht="270.75">
      <c r="A127" s="9">
        <v>1502</v>
      </c>
      <c r="B127" s="10">
        <v>45460</v>
      </c>
      <c r="C127" s="11" t="s">
        <v>7204</v>
      </c>
      <c r="D127" s="10">
        <v>22412</v>
      </c>
      <c r="E127" s="29">
        <f ca="1">_xlfn.DAYS(NOW(),Tabella3[[#This Row],[Data di Nascita]])/365.25</f>
        <v>64.232717316906232</v>
      </c>
      <c r="F127" s="11" t="s">
        <v>7205</v>
      </c>
      <c r="G127" s="11" t="s">
        <v>7206</v>
      </c>
      <c r="H127" s="11" t="s">
        <v>3183</v>
      </c>
      <c r="I127" s="11" t="s">
        <v>1346</v>
      </c>
      <c r="J127" s="11" t="s">
        <v>7207</v>
      </c>
      <c r="K127" s="18"/>
      <c r="L127" s="18"/>
      <c r="M127" s="18"/>
      <c r="N127" s="18"/>
      <c r="O127" s="18"/>
      <c r="P127" s="18"/>
      <c r="Q127" s="18"/>
      <c r="R127" s="18"/>
      <c r="S127" s="18"/>
      <c r="T127" s="11" t="s">
        <v>7196</v>
      </c>
      <c r="U127" s="18"/>
      <c r="V127" s="18"/>
      <c r="W127" s="18">
        <v>1</v>
      </c>
      <c r="X127" s="11" t="s">
        <v>7208</v>
      </c>
      <c r="Y127" s="18"/>
      <c r="Z127" s="18"/>
      <c r="AA127" s="18"/>
      <c r="AB127" s="18"/>
      <c r="AC127" s="18"/>
      <c r="AD127" s="11" t="s">
        <v>7209</v>
      </c>
      <c r="AE127" s="18"/>
      <c r="AF127" s="18"/>
      <c r="AG127" s="18">
        <v>1</v>
      </c>
      <c r="AH127" s="18"/>
      <c r="AI127" s="18"/>
      <c r="AJ127" s="11" t="s">
        <v>194</v>
      </c>
      <c r="AK127" s="17">
        <v>1</v>
      </c>
      <c r="AL127" s="11" t="s">
        <v>195</v>
      </c>
      <c r="AM127" s="18"/>
      <c r="AN127" s="11" t="s">
        <v>195</v>
      </c>
      <c r="AO127" s="17">
        <v>1</v>
      </c>
      <c r="AP127" s="18"/>
      <c r="AQ127" s="11" t="s">
        <v>195</v>
      </c>
      <c r="AR127" s="17">
        <v>1</v>
      </c>
      <c r="AS127" s="11" t="s">
        <v>381</v>
      </c>
      <c r="AT127" s="18"/>
      <c r="AU127" s="18"/>
      <c r="AV127" s="11" t="s">
        <v>7210</v>
      </c>
      <c r="AW127" s="18">
        <v>1</v>
      </c>
      <c r="AX127" s="18"/>
      <c r="AY127" s="11" t="s">
        <v>7211</v>
      </c>
      <c r="AZ127" s="11" t="s">
        <v>194</v>
      </c>
      <c r="BA127" s="11" t="s">
        <v>7212</v>
      </c>
      <c r="BB127" s="11" t="s">
        <v>7213</v>
      </c>
      <c r="BC127" s="11" t="s">
        <v>7214</v>
      </c>
      <c r="BD127" s="11" t="s">
        <v>7215</v>
      </c>
      <c r="BE127" s="11"/>
      <c r="BF127" s="11"/>
      <c r="BG127" s="11" t="s">
        <v>195</v>
      </c>
      <c r="BH127" s="11" t="s">
        <v>7216</v>
      </c>
      <c r="BI127" s="11" t="s">
        <v>7217</v>
      </c>
      <c r="BJ127" s="11" t="s">
        <v>309</v>
      </c>
      <c r="BK127" s="11" t="s">
        <v>309</v>
      </c>
      <c r="BL127" s="11" t="s">
        <v>387</v>
      </c>
      <c r="BM127" s="11" t="s">
        <v>7218</v>
      </c>
      <c r="BN127" s="11" t="s">
        <v>195</v>
      </c>
      <c r="BO127" s="11" t="s">
        <v>7219</v>
      </c>
      <c r="BP127" s="11" t="s">
        <v>4975</v>
      </c>
      <c r="BQ127" s="11" t="s">
        <v>7220</v>
      </c>
      <c r="BR127" s="11" t="s">
        <v>71</v>
      </c>
      <c r="BS127" s="11" t="s">
        <v>234</v>
      </c>
      <c r="BT127" s="11" t="s">
        <v>2752</v>
      </c>
      <c r="BU127" s="12" t="s">
        <v>7221</v>
      </c>
    </row>
    <row r="128" spans="1:73" ht="270.75">
      <c r="A128" s="5">
        <v>1514</v>
      </c>
      <c r="B128" s="6">
        <v>45475</v>
      </c>
      <c r="C128" s="7" t="s">
        <v>7222</v>
      </c>
      <c r="D128" s="6">
        <v>37533</v>
      </c>
      <c r="E128" s="29">
        <f ca="1">_xlfn.DAYS(NOW(),Tabella3[[#This Row],[Data di Nascita]])/365.25</f>
        <v>22.833675564681723</v>
      </c>
      <c r="F128" s="7" t="s">
        <v>7223</v>
      </c>
      <c r="G128" s="7" t="s">
        <v>7224</v>
      </c>
      <c r="H128" s="7" t="s">
        <v>2293</v>
      </c>
      <c r="I128" s="7" t="s">
        <v>473</v>
      </c>
      <c r="J128" s="7" t="s">
        <v>7225</v>
      </c>
      <c r="K128" s="17"/>
      <c r="L128" s="17"/>
      <c r="M128" s="17">
        <v>1</v>
      </c>
      <c r="N128" s="17"/>
      <c r="O128" s="17"/>
      <c r="P128" s="17"/>
      <c r="Q128" s="17"/>
      <c r="R128" s="17"/>
      <c r="S128" s="17"/>
      <c r="T128" s="7" t="s">
        <v>195</v>
      </c>
      <c r="U128" s="17"/>
      <c r="V128" s="17"/>
      <c r="W128" s="17">
        <v>1</v>
      </c>
      <c r="X128" s="7" t="s">
        <v>2365</v>
      </c>
      <c r="Y128" s="17"/>
      <c r="Z128" s="17"/>
      <c r="AA128" s="17">
        <v>1</v>
      </c>
      <c r="AB128" s="17"/>
      <c r="AC128" s="17"/>
      <c r="AD128" s="7" t="s">
        <v>7226</v>
      </c>
      <c r="AE128" s="17"/>
      <c r="AF128" s="17"/>
      <c r="AG128" s="17"/>
      <c r="AH128" s="17"/>
      <c r="AI128" s="17"/>
      <c r="AJ128" s="7" t="s">
        <v>194</v>
      </c>
      <c r="AK128" s="17">
        <v>1</v>
      </c>
      <c r="AL128" s="7" t="s">
        <v>195</v>
      </c>
      <c r="AM128" s="17"/>
      <c r="AN128" s="7" t="s">
        <v>195</v>
      </c>
      <c r="AO128" s="17">
        <v>1</v>
      </c>
      <c r="AP128" s="17"/>
      <c r="AQ128" s="7" t="s">
        <v>195</v>
      </c>
      <c r="AR128" s="17">
        <v>1</v>
      </c>
      <c r="AS128" s="7" t="s">
        <v>195</v>
      </c>
      <c r="AT128" s="17">
        <v>1</v>
      </c>
      <c r="AU128" s="17"/>
      <c r="AV128" s="7" t="s">
        <v>195</v>
      </c>
      <c r="AW128" s="17"/>
      <c r="AX128" s="17"/>
      <c r="AY128" s="7" t="s">
        <v>7227</v>
      </c>
      <c r="AZ128" s="7" t="s">
        <v>8</v>
      </c>
      <c r="BA128" s="7" t="s">
        <v>8</v>
      </c>
      <c r="BB128" s="7" t="s">
        <v>7228</v>
      </c>
      <c r="BC128" s="7"/>
      <c r="BD128" s="7" t="s">
        <v>7229</v>
      </c>
      <c r="BE128" s="7" t="s">
        <v>195</v>
      </c>
      <c r="BF128" s="7"/>
      <c r="BG128" s="7" t="s">
        <v>195</v>
      </c>
      <c r="BH128" s="7" t="s">
        <v>7230</v>
      </c>
      <c r="BI128" s="7" t="s">
        <v>195</v>
      </c>
      <c r="BJ128" s="7" t="s">
        <v>195</v>
      </c>
      <c r="BK128" s="7" t="s">
        <v>195</v>
      </c>
      <c r="BL128" s="7" t="s">
        <v>195</v>
      </c>
      <c r="BM128" s="7" t="s">
        <v>195</v>
      </c>
      <c r="BN128" s="7" t="s">
        <v>195</v>
      </c>
      <c r="BO128" s="7" t="s">
        <v>195</v>
      </c>
      <c r="BP128" s="7" t="s">
        <v>5804</v>
      </c>
      <c r="BQ128" s="7" t="s">
        <v>7231</v>
      </c>
      <c r="BR128" s="7" t="s">
        <v>71</v>
      </c>
      <c r="BS128" s="7" t="s">
        <v>539</v>
      </c>
      <c r="BT128" s="7" t="s">
        <v>2965</v>
      </c>
      <c r="BU128" s="8" t="s">
        <v>7232</v>
      </c>
    </row>
    <row r="129" spans="1:73" ht="256.5">
      <c r="A129" s="9">
        <v>1525</v>
      </c>
      <c r="B129" s="10">
        <v>45482</v>
      </c>
      <c r="C129" s="11" t="s">
        <v>7233</v>
      </c>
      <c r="D129" s="10">
        <v>25806</v>
      </c>
      <c r="E129" s="29">
        <f ca="1">_xlfn.DAYS(NOW(),Tabella3[[#This Row],[Data di Nascita]])/365.25</f>
        <v>54.940451745379875</v>
      </c>
      <c r="F129" s="11" t="s">
        <v>7234</v>
      </c>
      <c r="G129" s="11" t="s">
        <v>7235</v>
      </c>
      <c r="H129" s="11" t="s">
        <v>1928</v>
      </c>
      <c r="I129" s="11" t="s">
        <v>7236</v>
      </c>
      <c r="J129" s="11" t="s">
        <v>7237</v>
      </c>
      <c r="K129" s="18"/>
      <c r="L129" s="18"/>
      <c r="M129" s="18"/>
      <c r="N129" s="18"/>
      <c r="O129" s="18"/>
      <c r="P129" s="18"/>
      <c r="Q129" s="18"/>
      <c r="R129" s="18"/>
      <c r="S129" s="18"/>
      <c r="T129" s="11" t="s">
        <v>3529</v>
      </c>
      <c r="U129" s="18"/>
      <c r="V129" s="18"/>
      <c r="W129" s="18"/>
      <c r="X129" s="11" t="s">
        <v>195</v>
      </c>
      <c r="Y129" s="18"/>
      <c r="Z129" s="18"/>
      <c r="AA129" s="18"/>
      <c r="AB129" s="18">
        <v>1</v>
      </c>
      <c r="AC129" s="18"/>
      <c r="AD129" s="11" t="s">
        <v>195</v>
      </c>
      <c r="AE129" s="18"/>
      <c r="AF129" s="18"/>
      <c r="AG129" s="18"/>
      <c r="AH129" s="18"/>
      <c r="AI129" s="18"/>
      <c r="AJ129" s="11" t="s">
        <v>194</v>
      </c>
      <c r="AK129" s="17">
        <v>1</v>
      </c>
      <c r="AL129" s="11" t="s">
        <v>7238</v>
      </c>
      <c r="AM129" s="17">
        <v>1</v>
      </c>
      <c r="AN129" s="11" t="s">
        <v>7239</v>
      </c>
      <c r="AO129" s="17">
        <v>1</v>
      </c>
      <c r="AP129" s="18"/>
      <c r="AQ129" s="11" t="s">
        <v>7240</v>
      </c>
      <c r="AR129" s="17">
        <v>1</v>
      </c>
      <c r="AS129" s="11" t="s">
        <v>7241</v>
      </c>
      <c r="AT129" s="18"/>
      <c r="AU129" s="18"/>
      <c r="AV129" s="11" t="s">
        <v>195</v>
      </c>
      <c r="AW129" s="18"/>
      <c r="AX129" s="18"/>
      <c r="AY129" s="11" t="s">
        <v>7242</v>
      </c>
      <c r="AZ129" s="11" t="s">
        <v>7243</v>
      </c>
      <c r="BA129" s="11" t="s">
        <v>7244</v>
      </c>
      <c r="BB129" s="11" t="s">
        <v>2800</v>
      </c>
      <c r="BC129" s="11" t="s">
        <v>7242</v>
      </c>
      <c r="BD129" s="11" t="s">
        <v>7245</v>
      </c>
      <c r="BE129" s="11" t="s">
        <v>2800</v>
      </c>
      <c r="BF129" s="11" t="s">
        <v>7242</v>
      </c>
      <c r="BG129" s="11" t="s">
        <v>2800</v>
      </c>
      <c r="BH129" s="11" t="s">
        <v>7246</v>
      </c>
      <c r="BI129" s="11" t="s">
        <v>7247</v>
      </c>
      <c r="BJ129" s="11" t="s">
        <v>7248</v>
      </c>
      <c r="BK129" s="11" t="s">
        <v>7249</v>
      </c>
      <c r="BL129" s="11" t="s">
        <v>2800</v>
      </c>
      <c r="BM129" s="11" t="s">
        <v>7250</v>
      </c>
      <c r="BN129" s="11" t="s">
        <v>7251</v>
      </c>
      <c r="BO129" s="11" t="s">
        <v>2800</v>
      </c>
      <c r="BP129" s="11" t="s">
        <v>5804</v>
      </c>
      <c r="BQ129" s="11" t="s">
        <v>7252</v>
      </c>
      <c r="BR129" s="11" t="s">
        <v>37</v>
      </c>
      <c r="BS129" s="11" t="s">
        <v>234</v>
      </c>
      <c r="BT129" s="11" t="s">
        <v>7253</v>
      </c>
      <c r="BU129" s="12" t="s">
        <v>7254</v>
      </c>
    </row>
    <row r="130" spans="1:73" ht="156.75">
      <c r="A130" s="5">
        <v>1529</v>
      </c>
      <c r="B130" s="6">
        <v>45484</v>
      </c>
      <c r="C130" s="7" t="s">
        <v>7255</v>
      </c>
      <c r="D130" s="6">
        <v>21710</v>
      </c>
      <c r="E130" s="29">
        <f ca="1">_xlfn.DAYS(NOW(),Tabella3[[#This Row],[Data di Nascita]])/365.25</f>
        <v>66.154688569472967</v>
      </c>
      <c r="F130" s="7" t="s">
        <v>7256</v>
      </c>
      <c r="G130" s="7" t="s">
        <v>7257</v>
      </c>
      <c r="H130" s="7" t="s">
        <v>7258</v>
      </c>
      <c r="I130" s="7" t="s">
        <v>7259</v>
      </c>
      <c r="J130" s="7" t="s">
        <v>7260</v>
      </c>
      <c r="K130" s="17"/>
      <c r="L130" s="17"/>
      <c r="M130" s="17"/>
      <c r="N130" s="18">
        <v>1</v>
      </c>
      <c r="O130" s="17"/>
      <c r="P130" s="17"/>
      <c r="Q130" s="17"/>
      <c r="R130" s="17"/>
      <c r="S130" s="17"/>
      <c r="T130" s="7" t="s">
        <v>7261</v>
      </c>
      <c r="U130" s="17"/>
      <c r="V130" s="17">
        <v>1</v>
      </c>
      <c r="W130" s="17"/>
      <c r="X130" s="7" t="s">
        <v>195</v>
      </c>
      <c r="Y130" s="17"/>
      <c r="Z130" s="17"/>
      <c r="AA130" s="17"/>
      <c r="AB130" s="17">
        <v>1</v>
      </c>
      <c r="AC130" s="17"/>
      <c r="AD130" s="7" t="s">
        <v>7262</v>
      </c>
      <c r="AE130" s="17"/>
      <c r="AF130" s="17"/>
      <c r="AG130" s="17"/>
      <c r="AH130" s="17"/>
      <c r="AI130" s="17"/>
      <c r="AJ130" s="7" t="s">
        <v>194</v>
      </c>
      <c r="AK130" s="17">
        <v>1</v>
      </c>
      <c r="AL130" s="7" t="s">
        <v>195</v>
      </c>
      <c r="AM130" s="17"/>
      <c r="AN130" s="7" t="s">
        <v>7263</v>
      </c>
      <c r="AO130" s="17">
        <v>0</v>
      </c>
      <c r="AP130" s="17"/>
      <c r="AQ130" s="7" t="s">
        <v>7264</v>
      </c>
      <c r="AR130" s="17">
        <v>1</v>
      </c>
      <c r="AS130" s="7" t="s">
        <v>547</v>
      </c>
      <c r="AT130" s="17"/>
      <c r="AU130" s="17"/>
      <c r="AV130" s="7" t="s">
        <v>195</v>
      </c>
      <c r="AW130" s="17"/>
      <c r="AX130" s="17"/>
      <c r="AY130" s="7" t="s">
        <v>7265</v>
      </c>
      <c r="AZ130" s="7" t="s">
        <v>195</v>
      </c>
      <c r="BA130" s="7" t="s">
        <v>7266</v>
      </c>
      <c r="BB130" s="7" t="s">
        <v>195</v>
      </c>
      <c r="BC130" s="7" t="s">
        <v>7267</v>
      </c>
      <c r="BD130" s="7" t="s">
        <v>7268</v>
      </c>
      <c r="BE130" s="7" t="s">
        <v>195</v>
      </c>
      <c r="BF130" s="7" t="s">
        <v>7267</v>
      </c>
      <c r="BG130" s="7" t="s">
        <v>195</v>
      </c>
      <c r="BH130" s="7" t="s">
        <v>7269</v>
      </c>
      <c r="BI130" s="7" t="s">
        <v>195</v>
      </c>
      <c r="BJ130" s="7" t="s">
        <v>195</v>
      </c>
      <c r="BK130" s="7" t="s">
        <v>3163</v>
      </c>
      <c r="BL130" s="7" t="s">
        <v>7270</v>
      </c>
      <c r="BM130" s="7" t="s">
        <v>7271</v>
      </c>
      <c r="BN130" s="7" t="s">
        <v>7272</v>
      </c>
      <c r="BO130" s="7" t="s">
        <v>7273</v>
      </c>
      <c r="BP130" s="7" t="s">
        <v>4975</v>
      </c>
      <c r="BQ130" s="7" t="s">
        <v>7274</v>
      </c>
      <c r="BR130" s="7" t="s">
        <v>71</v>
      </c>
      <c r="BS130" s="7" t="s">
        <v>370</v>
      </c>
      <c r="BT130" s="7" t="s">
        <v>7275</v>
      </c>
      <c r="BU130" s="8" t="s">
        <v>7276</v>
      </c>
    </row>
    <row r="131" spans="1:73" ht="85.5">
      <c r="A131" s="9">
        <v>1532</v>
      </c>
      <c r="B131" s="10">
        <v>45488</v>
      </c>
      <c r="C131" s="11" t="s">
        <v>7277</v>
      </c>
      <c r="D131" s="10">
        <v>26988</v>
      </c>
      <c r="E131" s="29">
        <f ca="1">_xlfn.DAYS(NOW(),Tabella3[[#This Row],[Data di Nascita]])/365.25</f>
        <v>51.704312114989733</v>
      </c>
      <c r="F131" s="11" t="s">
        <v>7278</v>
      </c>
      <c r="G131" s="11" t="s">
        <v>7279</v>
      </c>
      <c r="H131" s="11" t="s">
        <v>7280</v>
      </c>
      <c r="I131" s="11" t="s">
        <v>7281</v>
      </c>
      <c r="J131" s="11" t="s">
        <v>1502</v>
      </c>
      <c r="K131" s="18"/>
      <c r="L131" s="18"/>
      <c r="M131" s="18"/>
      <c r="N131" s="18"/>
      <c r="O131" s="18"/>
      <c r="P131" s="18"/>
      <c r="Q131" s="18"/>
      <c r="R131" s="18"/>
      <c r="S131" s="18"/>
      <c r="T131" s="11" t="s">
        <v>1502</v>
      </c>
      <c r="U131" s="18"/>
      <c r="V131" s="18"/>
      <c r="W131" s="18">
        <v>1</v>
      </c>
      <c r="X131" s="11" t="s">
        <v>1502</v>
      </c>
      <c r="Y131" s="18"/>
      <c r="Z131" s="18"/>
      <c r="AA131" s="18"/>
      <c r="AB131" s="18">
        <v>1</v>
      </c>
      <c r="AC131" s="18"/>
      <c r="AD131" s="11" t="s">
        <v>7282</v>
      </c>
      <c r="AE131" s="18"/>
      <c r="AF131" s="18"/>
      <c r="AG131" s="18"/>
      <c r="AH131" s="18"/>
      <c r="AI131" s="18"/>
      <c r="AJ131" s="11" t="s">
        <v>1502</v>
      </c>
      <c r="AK131" s="18"/>
      <c r="AL131" s="11" t="s">
        <v>7283</v>
      </c>
      <c r="AM131" s="17">
        <v>1</v>
      </c>
      <c r="AN131" s="11" t="s">
        <v>7284</v>
      </c>
      <c r="AO131" s="17">
        <v>1</v>
      </c>
      <c r="AP131" s="18"/>
      <c r="AQ131" s="11" t="s">
        <v>7285</v>
      </c>
      <c r="AR131" s="17">
        <v>1</v>
      </c>
      <c r="AS131" s="11" t="s">
        <v>195</v>
      </c>
      <c r="AT131" s="17">
        <v>1</v>
      </c>
      <c r="AU131" s="18"/>
      <c r="AV131" s="11" t="s">
        <v>195</v>
      </c>
      <c r="AW131" s="18"/>
      <c r="AX131" s="18"/>
      <c r="AY131" s="11" t="s">
        <v>7286</v>
      </c>
      <c r="AZ131" s="11" t="s">
        <v>195</v>
      </c>
      <c r="BA131" s="11" t="s">
        <v>195</v>
      </c>
      <c r="BB131" s="11" t="s">
        <v>7287</v>
      </c>
      <c r="BC131" s="11" t="s">
        <v>7288</v>
      </c>
      <c r="BD131" s="11" t="s">
        <v>7289</v>
      </c>
      <c r="BE131" s="11" t="s">
        <v>195</v>
      </c>
      <c r="BF131" s="11"/>
      <c r="BG131" s="11" t="s">
        <v>7290</v>
      </c>
      <c r="BH131" s="11" t="s">
        <v>7291</v>
      </c>
      <c r="BI131" s="11" t="s">
        <v>195</v>
      </c>
      <c r="BJ131" s="11" t="s">
        <v>194</v>
      </c>
      <c r="BK131" s="11" t="s">
        <v>195</v>
      </c>
      <c r="BL131" s="11" t="s">
        <v>194</v>
      </c>
      <c r="BM131" s="11" t="s">
        <v>7250</v>
      </c>
      <c r="BN131" s="11" t="s">
        <v>7292</v>
      </c>
      <c r="BO131" s="11" t="s">
        <v>7293</v>
      </c>
      <c r="BP131" s="11" t="s">
        <v>4975</v>
      </c>
      <c r="BQ131" s="11" t="s">
        <v>7294</v>
      </c>
      <c r="BR131" s="11"/>
      <c r="BS131" s="11"/>
      <c r="BT131" s="11"/>
      <c r="BU131" s="12"/>
    </row>
    <row r="132" spans="1:73" ht="299.25">
      <c r="A132" s="5">
        <v>1537</v>
      </c>
      <c r="B132" s="6">
        <v>45495</v>
      </c>
      <c r="C132" s="7" t="s">
        <v>7295</v>
      </c>
      <c r="D132" s="6">
        <v>17140</v>
      </c>
      <c r="E132" s="29">
        <f ca="1">_xlfn.DAYS(NOW(),Tabella3[[#This Row],[Data di Nascita]])/365.25</f>
        <v>78.666666666666671</v>
      </c>
      <c r="F132" s="7" t="s">
        <v>7296</v>
      </c>
      <c r="G132" s="7" t="s">
        <v>7297</v>
      </c>
      <c r="H132" s="7" t="s">
        <v>2293</v>
      </c>
      <c r="I132" s="7" t="s">
        <v>7298</v>
      </c>
      <c r="J132" s="7" t="s">
        <v>7299</v>
      </c>
      <c r="K132" s="17">
        <v>1</v>
      </c>
      <c r="L132" s="17"/>
      <c r="M132" s="17"/>
      <c r="N132" s="17">
        <v>1</v>
      </c>
      <c r="O132" s="17"/>
      <c r="P132" s="17"/>
      <c r="Q132" s="17"/>
      <c r="R132" s="17"/>
      <c r="S132" s="17"/>
      <c r="T132" s="7" t="s">
        <v>7300</v>
      </c>
      <c r="U132" s="17">
        <v>10</v>
      </c>
      <c r="V132" s="17">
        <v>1</v>
      </c>
      <c r="W132" s="17"/>
      <c r="X132" s="7" t="s">
        <v>195</v>
      </c>
      <c r="Y132" s="17"/>
      <c r="Z132" s="17"/>
      <c r="AA132" s="17"/>
      <c r="AB132" s="17">
        <v>1</v>
      </c>
      <c r="AC132" s="17"/>
      <c r="AD132" s="7" t="s">
        <v>7301</v>
      </c>
      <c r="AE132" s="17"/>
      <c r="AF132" s="17"/>
      <c r="AG132" s="17"/>
      <c r="AH132" s="17"/>
      <c r="AI132" s="17"/>
      <c r="AJ132" s="7" t="s">
        <v>194</v>
      </c>
      <c r="AK132" s="17">
        <v>1</v>
      </c>
      <c r="AL132" s="7" t="s">
        <v>194</v>
      </c>
      <c r="AM132" s="17">
        <v>1</v>
      </c>
      <c r="AN132" s="7" t="s">
        <v>195</v>
      </c>
      <c r="AO132" s="17">
        <v>1</v>
      </c>
      <c r="AP132" s="17"/>
      <c r="AQ132" s="7" t="s">
        <v>195</v>
      </c>
      <c r="AR132" s="17">
        <v>1</v>
      </c>
      <c r="AS132" s="7" t="s">
        <v>194</v>
      </c>
      <c r="AT132" s="17"/>
      <c r="AU132" s="17"/>
      <c r="AV132" s="7" t="s">
        <v>195</v>
      </c>
      <c r="AW132" s="17"/>
      <c r="AX132" s="17"/>
      <c r="AY132" s="7" t="s">
        <v>7302</v>
      </c>
      <c r="AZ132" s="7" t="s">
        <v>194</v>
      </c>
      <c r="BA132" s="7" t="s">
        <v>195</v>
      </c>
      <c r="BB132" s="7" t="s">
        <v>7303</v>
      </c>
      <c r="BC132" s="7" t="s">
        <v>7304</v>
      </c>
      <c r="BD132" s="7" t="s">
        <v>7305</v>
      </c>
      <c r="BE132" s="7" t="s">
        <v>382</v>
      </c>
      <c r="BF132" s="7"/>
      <c r="BG132" s="7" t="s">
        <v>195</v>
      </c>
      <c r="BH132" s="7" t="s">
        <v>7306</v>
      </c>
      <c r="BI132" s="7" t="s">
        <v>7307</v>
      </c>
      <c r="BJ132" s="7" t="s">
        <v>309</v>
      </c>
      <c r="BK132" s="7" t="s">
        <v>195</v>
      </c>
      <c r="BL132" s="7" t="s">
        <v>195</v>
      </c>
      <c r="BM132" s="7" t="s">
        <v>7308</v>
      </c>
      <c r="BN132" s="7" t="s">
        <v>312</v>
      </c>
      <c r="BO132" s="7" t="s">
        <v>195</v>
      </c>
      <c r="BP132" s="7" t="s">
        <v>5804</v>
      </c>
      <c r="BQ132" s="7" t="s">
        <v>36</v>
      </c>
      <c r="BR132" s="7" t="s">
        <v>105</v>
      </c>
      <c r="BS132" s="7" t="s">
        <v>1444</v>
      </c>
      <c r="BT132" s="7" t="s">
        <v>7309</v>
      </c>
      <c r="BU132" s="8" t="s">
        <v>7310</v>
      </c>
    </row>
    <row r="133" spans="1:73" ht="171">
      <c r="A133" s="9">
        <v>1557</v>
      </c>
      <c r="B133" s="10">
        <v>45509</v>
      </c>
      <c r="C133" s="11" t="s">
        <v>7311</v>
      </c>
      <c r="D133" s="10">
        <v>30683</v>
      </c>
      <c r="E133" s="29">
        <f ca="1">_xlfn.DAYS(NOW(),Tabella3[[#This Row],[Data di Nascita]])/365.25</f>
        <v>41.587953456536617</v>
      </c>
      <c r="F133" s="11" t="s">
        <v>7312</v>
      </c>
      <c r="G133" s="11" t="s">
        <v>7313</v>
      </c>
      <c r="H133" s="11" t="s">
        <v>7314</v>
      </c>
      <c r="I133" s="11" t="s">
        <v>7315</v>
      </c>
      <c r="J133" s="11" t="s">
        <v>7115</v>
      </c>
      <c r="K133" s="18"/>
      <c r="L133" s="18"/>
      <c r="M133" s="18"/>
      <c r="N133" s="18"/>
      <c r="O133" s="18"/>
      <c r="P133" s="18">
        <v>1</v>
      </c>
      <c r="Q133" s="18"/>
      <c r="R133" s="18"/>
      <c r="S133" s="18"/>
      <c r="T133" s="11" t="s">
        <v>7316</v>
      </c>
      <c r="U133" s="18">
        <v>40</v>
      </c>
      <c r="V133" s="18"/>
      <c r="W133" s="18"/>
      <c r="X133" s="11" t="s">
        <v>195</v>
      </c>
      <c r="Y133" s="18"/>
      <c r="Z133" s="18"/>
      <c r="AA133" s="18"/>
      <c r="AB133" s="18">
        <v>1</v>
      </c>
      <c r="AC133" s="18"/>
      <c r="AD133" s="11" t="s">
        <v>7317</v>
      </c>
      <c r="AE133" s="18"/>
      <c r="AF133" s="18"/>
      <c r="AG133" s="18">
        <v>1</v>
      </c>
      <c r="AH133" s="18"/>
      <c r="AI133" s="18"/>
      <c r="AJ133" s="11" t="s">
        <v>194</v>
      </c>
      <c r="AK133" s="17">
        <v>1</v>
      </c>
      <c r="AL133" s="11" t="s">
        <v>195</v>
      </c>
      <c r="AM133" s="18"/>
      <c r="AN133" s="11" t="s">
        <v>195</v>
      </c>
      <c r="AO133" s="17">
        <v>1</v>
      </c>
      <c r="AP133" s="18"/>
      <c r="AQ133" s="11" t="s">
        <v>195</v>
      </c>
      <c r="AR133" s="17">
        <v>1</v>
      </c>
      <c r="AS133" s="11" t="s">
        <v>195</v>
      </c>
      <c r="AT133" s="17">
        <v>1</v>
      </c>
      <c r="AU133" s="18"/>
      <c r="AV133" s="11" t="s">
        <v>7318</v>
      </c>
      <c r="AW133" s="18"/>
      <c r="AX133" s="18"/>
      <c r="AY133" s="11" t="s">
        <v>195</v>
      </c>
      <c r="AZ133" s="11" t="s">
        <v>194</v>
      </c>
      <c r="BA133" s="11" t="s">
        <v>605</v>
      </c>
      <c r="BB133" s="11" t="s">
        <v>195</v>
      </c>
      <c r="BC133" s="11" t="s">
        <v>7319</v>
      </c>
      <c r="BD133" s="11" t="s">
        <v>7320</v>
      </c>
      <c r="BE133" s="11" t="s">
        <v>195</v>
      </c>
      <c r="BF133" s="11" t="s">
        <v>7319</v>
      </c>
      <c r="BG133" s="11" t="s">
        <v>3125</v>
      </c>
      <c r="BH133" s="11" t="s">
        <v>195</v>
      </c>
      <c r="BI133" s="11" t="s">
        <v>195</v>
      </c>
      <c r="BJ133" s="11" t="s">
        <v>7321</v>
      </c>
      <c r="BK133" s="11" t="s">
        <v>195</v>
      </c>
      <c r="BL133" s="11" t="s">
        <v>632</v>
      </c>
      <c r="BM133" s="11" t="s">
        <v>195</v>
      </c>
      <c r="BN133" s="11" t="s">
        <v>195</v>
      </c>
      <c r="BO133" s="11" t="s">
        <v>195</v>
      </c>
      <c r="BP133" s="11" t="s">
        <v>4975</v>
      </c>
      <c r="BQ133" s="11" t="s">
        <v>7322</v>
      </c>
      <c r="BR133" s="11" t="s">
        <v>1828</v>
      </c>
      <c r="BS133" s="11" t="s">
        <v>6974</v>
      </c>
      <c r="BT133" s="11" t="s">
        <v>7323</v>
      </c>
      <c r="BU133" s="12" t="s">
        <v>7324</v>
      </c>
    </row>
    <row r="134" spans="1:73" ht="114">
      <c r="A134" s="5">
        <v>1569</v>
      </c>
      <c r="B134" s="6">
        <v>45513</v>
      </c>
      <c r="C134" s="7" t="s">
        <v>7325</v>
      </c>
      <c r="D134" s="6">
        <v>23114</v>
      </c>
      <c r="E134" s="29">
        <f ca="1">_xlfn.DAYS(NOW(),Tabella3[[#This Row],[Data di Nascita]])/365.25</f>
        <v>62.31074606433949</v>
      </c>
      <c r="F134" s="7" t="s">
        <v>7326</v>
      </c>
      <c r="G134" s="7" t="s">
        <v>7327</v>
      </c>
      <c r="H134" s="7" t="s">
        <v>7328</v>
      </c>
      <c r="I134" s="7" t="s">
        <v>1346</v>
      </c>
      <c r="J134" s="7" t="s">
        <v>3305</v>
      </c>
      <c r="K134" s="17"/>
      <c r="L134" s="17"/>
      <c r="M134" s="17"/>
      <c r="N134" s="17"/>
      <c r="O134" s="17"/>
      <c r="P134" s="17"/>
      <c r="Q134" s="17"/>
      <c r="R134" s="17"/>
      <c r="S134" s="17"/>
      <c r="T134" s="7" t="s">
        <v>7329</v>
      </c>
      <c r="U134" s="17"/>
      <c r="V134" s="17"/>
      <c r="W134" s="17">
        <v>1</v>
      </c>
      <c r="X134" s="7" t="s">
        <v>195</v>
      </c>
      <c r="Y134" s="17"/>
      <c r="Z134" s="17"/>
      <c r="AA134" s="17"/>
      <c r="AB134" s="17">
        <v>1</v>
      </c>
      <c r="AC134" s="17"/>
      <c r="AD134" s="7" t="s">
        <v>7330</v>
      </c>
      <c r="AE134" s="17"/>
      <c r="AF134" s="17"/>
      <c r="AG134" s="17">
        <v>1</v>
      </c>
      <c r="AH134" s="17">
        <v>1</v>
      </c>
      <c r="AI134" s="17"/>
      <c r="AJ134" s="7" t="s">
        <v>194</v>
      </c>
      <c r="AK134" s="17">
        <v>1</v>
      </c>
      <c r="AL134" s="7" t="s">
        <v>7331</v>
      </c>
      <c r="AM134" s="17">
        <v>1</v>
      </c>
      <c r="AN134" s="7" t="s">
        <v>195</v>
      </c>
      <c r="AO134" s="17">
        <v>1</v>
      </c>
      <c r="AP134" s="17"/>
      <c r="AQ134" s="7" t="s">
        <v>195</v>
      </c>
      <c r="AR134" s="17">
        <v>1</v>
      </c>
      <c r="AS134" s="7" t="s">
        <v>194</v>
      </c>
      <c r="AT134" s="17"/>
      <c r="AU134" s="17"/>
      <c r="AV134" s="7" t="s">
        <v>195</v>
      </c>
      <c r="AW134" s="17"/>
      <c r="AX134" s="17"/>
      <c r="AY134" s="7" t="s">
        <v>7332</v>
      </c>
      <c r="AZ134" s="7" t="s">
        <v>2797</v>
      </c>
      <c r="BA134" s="7" t="s">
        <v>195</v>
      </c>
      <c r="BB134" s="7" t="s">
        <v>195</v>
      </c>
      <c r="BC134" s="7"/>
      <c r="BD134" s="7" t="s">
        <v>7333</v>
      </c>
      <c r="BE134" s="7" t="s">
        <v>195</v>
      </c>
      <c r="BF134" s="7"/>
      <c r="BG134" s="7" t="s">
        <v>7334</v>
      </c>
      <c r="BH134" s="7" t="s">
        <v>7335</v>
      </c>
      <c r="BI134" s="7" t="s">
        <v>195</v>
      </c>
      <c r="BJ134" s="7" t="s">
        <v>7336</v>
      </c>
      <c r="BK134" s="7" t="s">
        <v>195</v>
      </c>
      <c r="BL134" s="7" t="s">
        <v>195</v>
      </c>
      <c r="BM134" s="7" t="s">
        <v>7337</v>
      </c>
      <c r="BN134" s="7" t="s">
        <v>7338</v>
      </c>
      <c r="BO134" s="7" t="s">
        <v>195</v>
      </c>
      <c r="BP134" s="7" t="s">
        <v>5804</v>
      </c>
      <c r="BQ134" s="7" t="s">
        <v>7339</v>
      </c>
      <c r="BR134" s="7" t="s">
        <v>998</v>
      </c>
      <c r="BS134" s="7" t="s">
        <v>7340</v>
      </c>
      <c r="BT134" s="7" t="s">
        <v>7341</v>
      </c>
      <c r="BU134" s="8" t="s">
        <v>7342</v>
      </c>
    </row>
    <row r="135" spans="1:73" ht="142.5">
      <c r="A135" s="9">
        <v>1573</v>
      </c>
      <c r="B135" s="10">
        <v>45532</v>
      </c>
      <c r="C135" s="11" t="s">
        <v>7343</v>
      </c>
      <c r="D135" s="10">
        <v>25381</v>
      </c>
      <c r="E135" s="29">
        <f ca="1">_xlfn.DAYS(NOW(),Tabella3[[#This Row],[Data di Nascita]])/365.25</f>
        <v>56.10403832991102</v>
      </c>
      <c r="F135" s="11" t="s">
        <v>7344</v>
      </c>
      <c r="G135" s="11" t="s">
        <v>7345</v>
      </c>
      <c r="H135" s="11" t="s">
        <v>2898</v>
      </c>
      <c r="I135" s="11" t="s">
        <v>7346</v>
      </c>
      <c r="J135" s="11" t="s">
        <v>7347</v>
      </c>
      <c r="K135" s="18"/>
      <c r="L135" s="17">
        <v>1</v>
      </c>
      <c r="M135" s="18"/>
      <c r="N135" s="18"/>
      <c r="O135" s="18"/>
      <c r="P135" s="18"/>
      <c r="Q135" s="18"/>
      <c r="R135" s="18"/>
      <c r="S135" s="18"/>
      <c r="T135" s="11" t="s">
        <v>7348</v>
      </c>
      <c r="U135" s="18">
        <v>25</v>
      </c>
      <c r="V135" s="18"/>
      <c r="W135" s="18"/>
      <c r="X135" s="11" t="s">
        <v>2365</v>
      </c>
      <c r="Y135" s="18"/>
      <c r="Z135" s="18"/>
      <c r="AA135" s="18">
        <v>1</v>
      </c>
      <c r="AB135" s="18"/>
      <c r="AC135" s="18"/>
      <c r="AD135" s="11" t="s">
        <v>7349</v>
      </c>
      <c r="AE135" s="18"/>
      <c r="AF135" s="18"/>
      <c r="AG135" s="18"/>
      <c r="AH135" s="18"/>
      <c r="AI135" s="18"/>
      <c r="AJ135" s="11" t="s">
        <v>194</v>
      </c>
      <c r="AK135" s="17">
        <v>1</v>
      </c>
      <c r="AL135" s="11" t="s">
        <v>28</v>
      </c>
      <c r="AM135" s="17">
        <v>1</v>
      </c>
      <c r="AN135" s="11" t="s">
        <v>195</v>
      </c>
      <c r="AO135" s="17">
        <v>1</v>
      </c>
      <c r="AP135" s="18"/>
      <c r="AQ135" s="11" t="s">
        <v>195</v>
      </c>
      <c r="AR135" s="17">
        <v>1</v>
      </c>
      <c r="AS135" s="11" t="s">
        <v>195</v>
      </c>
      <c r="AT135" s="17">
        <v>1</v>
      </c>
      <c r="AU135" s="18"/>
      <c r="AV135" s="11" t="s">
        <v>195</v>
      </c>
      <c r="AW135" s="18"/>
      <c r="AX135" s="18"/>
      <c r="AY135" s="11" t="s">
        <v>195</v>
      </c>
      <c r="AZ135" s="11" t="s">
        <v>195</v>
      </c>
      <c r="BA135" s="11" t="s">
        <v>195</v>
      </c>
      <c r="BB135" s="11" t="s">
        <v>195</v>
      </c>
      <c r="BC135" s="11"/>
      <c r="BD135" s="11" t="s">
        <v>7350</v>
      </c>
      <c r="BE135" s="11" t="s">
        <v>195</v>
      </c>
      <c r="BF135" s="11"/>
      <c r="BG135" s="11" t="s">
        <v>7351</v>
      </c>
      <c r="BH135" s="11" t="s">
        <v>7352</v>
      </c>
      <c r="BI135" s="11" t="s">
        <v>195</v>
      </c>
      <c r="BJ135" s="11" t="s">
        <v>7353</v>
      </c>
      <c r="BK135" s="11" t="s">
        <v>195</v>
      </c>
      <c r="BL135" s="11" t="s">
        <v>195</v>
      </c>
      <c r="BM135" s="11" t="s">
        <v>7354</v>
      </c>
      <c r="BN135" s="11" t="s">
        <v>7355</v>
      </c>
      <c r="BO135" s="11" t="s">
        <v>195</v>
      </c>
      <c r="BP135" s="11" t="s">
        <v>5804</v>
      </c>
      <c r="BQ135" s="11" t="s">
        <v>7356</v>
      </c>
      <c r="BR135" s="11"/>
      <c r="BS135" s="11"/>
      <c r="BT135" s="11" t="s">
        <v>7357</v>
      </c>
      <c r="BU135" s="12" t="s">
        <v>7358</v>
      </c>
    </row>
    <row r="136" spans="1:73" ht="285">
      <c r="A136" s="5">
        <v>1578</v>
      </c>
      <c r="B136" s="6">
        <v>45533</v>
      </c>
      <c r="C136" s="7" t="s">
        <v>7359</v>
      </c>
      <c r="D136" s="6">
        <v>16161</v>
      </c>
      <c r="E136" s="29">
        <f ca="1">_xlfn.DAYS(NOW(),Tabella3[[#This Row],[Data di Nascita]])/365.25</f>
        <v>81.347022587268995</v>
      </c>
      <c r="F136" s="7" t="s">
        <v>7360</v>
      </c>
      <c r="G136" s="7" t="s">
        <v>7361</v>
      </c>
      <c r="H136" s="7" t="s">
        <v>7362</v>
      </c>
      <c r="I136" s="7" t="s">
        <v>1794</v>
      </c>
      <c r="J136" s="7" t="s">
        <v>79</v>
      </c>
      <c r="K136" s="17"/>
      <c r="L136" s="17"/>
      <c r="M136" s="17"/>
      <c r="N136" s="17"/>
      <c r="O136" s="17">
        <v>1</v>
      </c>
      <c r="P136" s="17"/>
      <c r="Q136" s="17"/>
      <c r="R136" s="17"/>
      <c r="S136" s="17"/>
      <c r="T136" s="7" t="s">
        <v>7329</v>
      </c>
      <c r="U136" s="17"/>
      <c r="V136" s="17"/>
      <c r="W136" s="17">
        <v>1</v>
      </c>
      <c r="X136" s="7" t="s">
        <v>7363</v>
      </c>
      <c r="Y136" s="17"/>
      <c r="Z136" s="17"/>
      <c r="AA136" s="17">
        <v>1</v>
      </c>
      <c r="AB136" s="17"/>
      <c r="AC136" s="17"/>
      <c r="AD136" s="7" t="s">
        <v>7364</v>
      </c>
      <c r="AE136" s="17"/>
      <c r="AF136" s="17"/>
      <c r="AG136" s="17">
        <v>1</v>
      </c>
      <c r="AH136" s="17"/>
      <c r="AI136" s="17"/>
      <c r="AJ136" s="7" t="s">
        <v>194</v>
      </c>
      <c r="AK136" s="17">
        <v>1</v>
      </c>
      <c r="AL136" s="7" t="s">
        <v>7365</v>
      </c>
      <c r="AM136" s="17">
        <v>1</v>
      </c>
      <c r="AN136" s="7" t="s">
        <v>7366</v>
      </c>
      <c r="AO136" s="17">
        <v>0</v>
      </c>
      <c r="AP136" s="17"/>
      <c r="AQ136" s="7" t="s">
        <v>195</v>
      </c>
      <c r="AR136" s="17">
        <v>1</v>
      </c>
      <c r="AS136" s="7" t="s">
        <v>194</v>
      </c>
      <c r="AT136" s="17"/>
      <c r="AU136" s="17"/>
      <c r="AV136" s="7" t="s">
        <v>195</v>
      </c>
      <c r="AW136" s="17"/>
      <c r="AX136" s="17"/>
      <c r="AY136" s="7" t="s">
        <v>7367</v>
      </c>
      <c r="AZ136" s="7" t="s">
        <v>7368</v>
      </c>
      <c r="BA136" s="7" t="s">
        <v>195</v>
      </c>
      <c r="BB136" s="7" t="s">
        <v>195</v>
      </c>
      <c r="BC136" s="7" t="s">
        <v>7369</v>
      </c>
      <c r="BD136" s="7" t="s">
        <v>7370</v>
      </c>
      <c r="BE136" s="7" t="s">
        <v>195</v>
      </c>
      <c r="BF136" s="7"/>
      <c r="BG136" s="7" t="s">
        <v>7371</v>
      </c>
      <c r="BH136" s="7" t="s">
        <v>7372</v>
      </c>
      <c r="BI136" s="7" t="s">
        <v>194</v>
      </c>
      <c r="BJ136" s="7" t="s">
        <v>194</v>
      </c>
      <c r="BK136" s="7" t="s">
        <v>632</v>
      </c>
      <c r="BL136" s="7" t="s">
        <v>7373</v>
      </c>
      <c r="BM136" s="7" t="s">
        <v>7374</v>
      </c>
      <c r="BN136" s="7" t="s">
        <v>7375</v>
      </c>
      <c r="BO136" s="7" t="s">
        <v>7376</v>
      </c>
      <c r="BP136" s="7" t="s">
        <v>4975</v>
      </c>
      <c r="BQ136" s="7" t="s">
        <v>7377</v>
      </c>
      <c r="BR136" s="7" t="s">
        <v>86</v>
      </c>
      <c r="BS136" s="7" t="s">
        <v>875</v>
      </c>
      <c r="BT136" s="7" t="s">
        <v>7378</v>
      </c>
      <c r="BU136" s="8" t="s">
        <v>7379</v>
      </c>
    </row>
    <row r="137" spans="1:73" ht="114">
      <c r="A137" s="9">
        <v>1592</v>
      </c>
      <c r="B137" s="10">
        <v>45541</v>
      </c>
      <c r="C137" s="11" t="s">
        <v>7380</v>
      </c>
      <c r="D137" s="10">
        <v>24428</v>
      </c>
      <c r="E137" s="29">
        <f ca="1">_xlfn.DAYS(NOW(),Tabella3[[#This Row],[Data di Nascita]])/365.25</f>
        <v>58.713210130047912</v>
      </c>
      <c r="F137" s="11" t="s">
        <v>7381</v>
      </c>
      <c r="G137" s="11" t="s">
        <v>7382</v>
      </c>
      <c r="H137" s="11" t="s">
        <v>880</v>
      </c>
      <c r="I137" s="11" t="s">
        <v>742</v>
      </c>
      <c r="J137" s="11" t="s">
        <v>297</v>
      </c>
      <c r="K137" s="18"/>
      <c r="L137" s="18"/>
      <c r="M137" s="18"/>
      <c r="N137" s="18"/>
      <c r="O137" s="18"/>
      <c r="P137" s="18"/>
      <c r="Q137" s="18"/>
      <c r="R137" s="18"/>
      <c r="S137" s="18"/>
      <c r="T137" s="11" t="s">
        <v>5795</v>
      </c>
      <c r="U137" s="18"/>
      <c r="V137" s="18"/>
      <c r="W137" s="18">
        <v>1</v>
      </c>
      <c r="X137" s="11" t="s">
        <v>8</v>
      </c>
      <c r="Y137" s="18"/>
      <c r="Z137" s="18"/>
      <c r="AA137" s="18"/>
      <c r="AB137" s="18">
        <v>1</v>
      </c>
      <c r="AC137" s="18"/>
      <c r="AD137" s="11" t="s">
        <v>25</v>
      </c>
      <c r="AE137" s="18"/>
      <c r="AF137" s="18"/>
      <c r="AG137" s="18"/>
      <c r="AH137" s="18"/>
      <c r="AI137" s="18"/>
      <c r="AJ137" s="11" t="s">
        <v>6915</v>
      </c>
      <c r="AK137" s="17">
        <v>1</v>
      </c>
      <c r="AL137" s="11" t="s">
        <v>8</v>
      </c>
      <c r="AM137" s="18"/>
      <c r="AN137" s="11" t="s">
        <v>8</v>
      </c>
      <c r="AO137" s="17">
        <v>1</v>
      </c>
      <c r="AP137" s="18"/>
      <c r="AQ137" s="11" t="s">
        <v>230</v>
      </c>
      <c r="AR137" s="17">
        <v>1</v>
      </c>
      <c r="AS137" s="11" t="s">
        <v>8</v>
      </c>
      <c r="AT137" s="17">
        <v>1</v>
      </c>
      <c r="AU137" s="18"/>
      <c r="AV137" s="11" t="s">
        <v>8</v>
      </c>
      <c r="AW137" s="18"/>
      <c r="AX137" s="18"/>
      <c r="AY137" s="11" t="s">
        <v>8</v>
      </c>
      <c r="AZ137" s="11" t="s">
        <v>8</v>
      </c>
      <c r="BA137" s="11" t="s">
        <v>8</v>
      </c>
      <c r="BB137" s="11" t="s">
        <v>8</v>
      </c>
      <c r="BC137" s="11"/>
      <c r="BD137" s="11" t="s">
        <v>7383</v>
      </c>
      <c r="BE137" s="11" t="s">
        <v>8</v>
      </c>
      <c r="BF137" s="11"/>
      <c r="BG137" s="11" t="s">
        <v>8</v>
      </c>
      <c r="BH137" s="11" t="s">
        <v>28</v>
      </c>
      <c r="BI137" s="11" t="s">
        <v>8</v>
      </c>
      <c r="BJ137" s="11" t="s">
        <v>28</v>
      </c>
      <c r="BK137" s="11" t="s">
        <v>8</v>
      </c>
      <c r="BL137" s="11" t="s">
        <v>8</v>
      </c>
      <c r="BM137" s="11" t="s">
        <v>7384</v>
      </c>
      <c r="BN137" s="11" t="s">
        <v>8</v>
      </c>
      <c r="BO137" s="11" t="s">
        <v>8</v>
      </c>
      <c r="BP137" s="11" t="s">
        <v>4975</v>
      </c>
      <c r="BQ137" s="11" t="s">
        <v>168</v>
      </c>
      <c r="BR137" s="11"/>
      <c r="BS137" s="11"/>
      <c r="BT137" s="11" t="s">
        <v>4973</v>
      </c>
      <c r="BU137" s="12" t="s">
        <v>7385</v>
      </c>
    </row>
    <row r="138" spans="1:73" ht="28.5">
      <c r="A138" s="5">
        <v>1595</v>
      </c>
      <c r="B138" s="6">
        <v>45544</v>
      </c>
      <c r="C138" s="7" t="s">
        <v>7386</v>
      </c>
      <c r="D138" s="6">
        <v>22826</v>
      </c>
      <c r="E138" s="29">
        <f ca="1">_xlfn.DAYS(NOW(),Tabella3[[#This Row],[Data di Nascita]])/365.25</f>
        <v>63.09924709103354</v>
      </c>
      <c r="F138" s="7" t="s">
        <v>7387</v>
      </c>
      <c r="G138" s="7" t="s">
        <v>7388</v>
      </c>
      <c r="H138" s="7" t="s">
        <v>44</v>
      </c>
      <c r="I138" s="7" t="s">
        <v>618</v>
      </c>
      <c r="J138" s="7"/>
      <c r="K138" s="17"/>
      <c r="L138" s="17"/>
      <c r="M138" s="17"/>
      <c r="N138" s="17"/>
      <c r="O138" s="17"/>
      <c r="P138" s="17"/>
      <c r="Q138" s="17"/>
      <c r="R138" s="17"/>
      <c r="S138" s="17"/>
      <c r="T138" s="7" t="s">
        <v>7389</v>
      </c>
      <c r="U138" s="17">
        <v>10</v>
      </c>
      <c r="V138" s="17"/>
      <c r="W138" s="17"/>
      <c r="X138" s="7" t="s">
        <v>195</v>
      </c>
      <c r="Y138" s="17"/>
      <c r="Z138" s="17"/>
      <c r="AA138" s="17"/>
      <c r="AB138" s="17">
        <v>1</v>
      </c>
      <c r="AC138" s="17"/>
      <c r="AD138" s="7" t="s">
        <v>309</v>
      </c>
      <c r="AE138" s="17"/>
      <c r="AF138" s="17"/>
      <c r="AG138" s="17"/>
      <c r="AH138" s="17"/>
      <c r="AI138" s="17"/>
      <c r="AJ138" s="7" t="s">
        <v>194</v>
      </c>
      <c r="AK138" s="17">
        <v>1</v>
      </c>
      <c r="AL138" s="7" t="s">
        <v>195</v>
      </c>
      <c r="AM138" s="17"/>
      <c r="AN138" s="7" t="s">
        <v>195</v>
      </c>
      <c r="AO138" s="17">
        <v>1</v>
      </c>
      <c r="AP138" s="17"/>
      <c r="AQ138" s="7" t="s">
        <v>195</v>
      </c>
      <c r="AR138" s="17">
        <v>1</v>
      </c>
      <c r="AS138" s="7" t="s">
        <v>195</v>
      </c>
      <c r="AT138" s="17">
        <v>1</v>
      </c>
      <c r="AU138" s="17"/>
      <c r="AV138" s="7" t="s">
        <v>195</v>
      </c>
      <c r="AW138" s="17"/>
      <c r="AX138" s="17"/>
      <c r="AY138" s="7" t="s">
        <v>195</v>
      </c>
      <c r="AZ138" s="7" t="s">
        <v>195</v>
      </c>
      <c r="BA138" s="7" t="s">
        <v>194</v>
      </c>
      <c r="BB138" s="7"/>
      <c r="BC138" s="7"/>
      <c r="BD138" s="7" t="s">
        <v>195</v>
      </c>
      <c r="BE138" s="7" t="s">
        <v>195</v>
      </c>
      <c r="BF138" s="7"/>
      <c r="BG138" s="7" t="s">
        <v>195</v>
      </c>
      <c r="BH138" s="7" t="s">
        <v>195</v>
      </c>
      <c r="BI138" s="7" t="s">
        <v>195</v>
      </c>
      <c r="BJ138" s="7" t="s">
        <v>7390</v>
      </c>
      <c r="BK138" s="7"/>
      <c r="BL138" s="7"/>
      <c r="BM138" s="7" t="s">
        <v>7391</v>
      </c>
      <c r="BN138" s="7" t="s">
        <v>195</v>
      </c>
      <c r="BO138" s="7" t="s">
        <v>195</v>
      </c>
      <c r="BP138" s="7" t="s">
        <v>4975</v>
      </c>
      <c r="BQ138" s="7" t="s">
        <v>7392</v>
      </c>
      <c r="BR138" s="7"/>
      <c r="BS138" s="7"/>
      <c r="BT138" s="7"/>
      <c r="BU138" s="8"/>
    </row>
    <row r="139" spans="1:73" ht="156.75">
      <c r="A139" s="9">
        <v>1598</v>
      </c>
      <c r="B139" s="10">
        <v>45546</v>
      </c>
      <c r="C139" s="11" t="s">
        <v>7393</v>
      </c>
      <c r="D139" s="10">
        <v>24963</v>
      </c>
      <c r="E139" s="29">
        <f ca="1">_xlfn.DAYS(NOW(),Tabella3[[#This Row],[Data di Nascita]])/365.25</f>
        <v>57.248459958932237</v>
      </c>
      <c r="F139" s="11" t="s">
        <v>7394</v>
      </c>
      <c r="G139" s="11" t="s">
        <v>7395</v>
      </c>
      <c r="H139" s="11" t="s">
        <v>1675</v>
      </c>
      <c r="I139" s="11" t="s">
        <v>618</v>
      </c>
      <c r="J139" s="11" t="s">
        <v>7396</v>
      </c>
      <c r="K139" s="17">
        <v>1</v>
      </c>
      <c r="L139" s="18"/>
      <c r="M139" s="18"/>
      <c r="N139" s="18"/>
      <c r="O139" s="18">
        <v>1</v>
      </c>
      <c r="P139" s="18"/>
      <c r="Q139" s="18"/>
      <c r="R139" s="18"/>
      <c r="S139" s="18"/>
      <c r="T139" s="11" t="s">
        <v>7397</v>
      </c>
      <c r="U139" s="18"/>
      <c r="V139" s="18"/>
      <c r="W139" s="18">
        <v>1</v>
      </c>
      <c r="X139" s="11" t="s">
        <v>8</v>
      </c>
      <c r="Y139" s="18"/>
      <c r="Z139" s="18"/>
      <c r="AA139" s="18"/>
      <c r="AB139" s="18">
        <v>1</v>
      </c>
      <c r="AC139" s="18"/>
      <c r="AD139" s="11" t="s">
        <v>7398</v>
      </c>
      <c r="AE139" s="18"/>
      <c r="AF139" s="18">
        <v>1</v>
      </c>
      <c r="AG139" s="18"/>
      <c r="AH139" s="18"/>
      <c r="AI139" s="18"/>
      <c r="AJ139" s="11" t="s">
        <v>8</v>
      </c>
      <c r="AK139" s="18"/>
      <c r="AL139" s="11" t="s">
        <v>28</v>
      </c>
      <c r="AM139" s="17">
        <v>1</v>
      </c>
      <c r="AN139" s="11" t="s">
        <v>8</v>
      </c>
      <c r="AO139" s="17">
        <v>1</v>
      </c>
      <c r="AP139" s="18"/>
      <c r="AQ139" s="11" t="s">
        <v>8</v>
      </c>
      <c r="AR139" s="17">
        <v>1</v>
      </c>
      <c r="AS139" s="11" t="s">
        <v>28</v>
      </c>
      <c r="AT139" s="18"/>
      <c r="AU139" s="18"/>
      <c r="AV139" s="11" t="s">
        <v>8</v>
      </c>
      <c r="AW139" s="18"/>
      <c r="AX139" s="18"/>
      <c r="AY139" s="11" t="s">
        <v>8</v>
      </c>
      <c r="AZ139" s="11" t="s">
        <v>745</v>
      </c>
      <c r="BA139" s="11" t="s">
        <v>8</v>
      </c>
      <c r="BB139" s="11" t="s">
        <v>8</v>
      </c>
      <c r="BC139" s="11" t="s">
        <v>8</v>
      </c>
      <c r="BD139" s="11" t="s">
        <v>7399</v>
      </c>
      <c r="BE139" s="11" t="s">
        <v>8</v>
      </c>
      <c r="BF139" s="11" t="s">
        <v>7400</v>
      </c>
      <c r="BG139" s="11" t="s">
        <v>7401</v>
      </c>
      <c r="BH139" s="11" t="s">
        <v>8</v>
      </c>
      <c r="BI139" s="11" t="s">
        <v>8</v>
      </c>
      <c r="BJ139" s="11" t="s">
        <v>908</v>
      </c>
      <c r="BK139" s="11" t="s">
        <v>7402</v>
      </c>
      <c r="BL139" s="11"/>
      <c r="BM139" s="11" t="s">
        <v>353</v>
      </c>
      <c r="BN139" s="11" t="s">
        <v>8</v>
      </c>
      <c r="BO139" s="11" t="s">
        <v>8</v>
      </c>
      <c r="BP139" s="11" t="s">
        <v>4975</v>
      </c>
      <c r="BQ139" s="11" t="s">
        <v>36</v>
      </c>
      <c r="BR139" s="11" t="s">
        <v>355</v>
      </c>
      <c r="BS139" s="11" t="s">
        <v>169</v>
      </c>
      <c r="BT139" s="11" t="s">
        <v>7403</v>
      </c>
      <c r="BU139" s="12" t="s">
        <v>7404</v>
      </c>
    </row>
    <row r="140" spans="1:73" ht="171">
      <c r="A140" s="5">
        <v>1614</v>
      </c>
      <c r="B140" s="6">
        <v>45559</v>
      </c>
      <c r="C140" s="7" t="s">
        <v>7405</v>
      </c>
      <c r="D140" s="6">
        <v>19486</v>
      </c>
      <c r="E140" s="29">
        <f ca="1">_xlfn.DAYS(NOW(),Tabella3[[#This Row],[Data di Nascita]])/365.25</f>
        <v>72.243668720054757</v>
      </c>
      <c r="F140" s="7" t="s">
        <v>7406</v>
      </c>
      <c r="G140" s="7" t="s">
        <v>7407</v>
      </c>
      <c r="H140" s="7" t="s">
        <v>2898</v>
      </c>
      <c r="I140" s="7" t="s">
        <v>7408</v>
      </c>
      <c r="J140" s="7" t="s">
        <v>7409</v>
      </c>
      <c r="K140" s="17">
        <v>1</v>
      </c>
      <c r="L140" s="17"/>
      <c r="M140" s="17"/>
      <c r="N140" s="17"/>
      <c r="O140" s="17">
        <v>1</v>
      </c>
      <c r="P140" s="17"/>
      <c r="Q140" s="17"/>
      <c r="R140" s="17"/>
      <c r="S140" s="17"/>
      <c r="T140" s="7" t="s">
        <v>7410</v>
      </c>
      <c r="U140" s="17"/>
      <c r="V140" s="17"/>
      <c r="W140" s="17">
        <v>1</v>
      </c>
      <c r="X140" s="7" t="s">
        <v>7363</v>
      </c>
      <c r="Y140" s="17"/>
      <c r="Z140" s="17"/>
      <c r="AA140" s="17">
        <v>1</v>
      </c>
      <c r="AB140" s="17"/>
      <c r="AC140" s="17"/>
      <c r="AD140" s="7" t="s">
        <v>7411</v>
      </c>
      <c r="AE140" s="17"/>
      <c r="AF140" s="17">
        <v>1</v>
      </c>
      <c r="AG140" s="17"/>
      <c r="AH140" s="17"/>
      <c r="AI140" s="17"/>
      <c r="AJ140" s="7" t="s">
        <v>194</v>
      </c>
      <c r="AK140" s="17">
        <v>1</v>
      </c>
      <c r="AL140" s="7" t="s">
        <v>7412</v>
      </c>
      <c r="AM140" s="17">
        <v>1</v>
      </c>
      <c r="AN140" s="7" t="s">
        <v>195</v>
      </c>
      <c r="AO140" s="17">
        <v>1</v>
      </c>
      <c r="AP140" s="17"/>
      <c r="AQ140" s="7" t="s">
        <v>195</v>
      </c>
      <c r="AR140" s="17">
        <v>1</v>
      </c>
      <c r="AS140" s="7" t="s">
        <v>7413</v>
      </c>
      <c r="AT140" s="17"/>
      <c r="AU140" s="17"/>
      <c r="AV140" s="7" t="s">
        <v>3234</v>
      </c>
      <c r="AW140" s="17"/>
      <c r="AX140" s="17"/>
      <c r="AY140" s="7" t="s">
        <v>7414</v>
      </c>
      <c r="AZ140" s="7" t="s">
        <v>7415</v>
      </c>
      <c r="BA140" s="7" t="s">
        <v>632</v>
      </c>
      <c r="BB140" s="7" t="s">
        <v>2781</v>
      </c>
      <c r="BC140" s="7" t="s">
        <v>7416</v>
      </c>
      <c r="BD140" s="7" t="s">
        <v>7417</v>
      </c>
      <c r="BE140" s="7" t="s">
        <v>195</v>
      </c>
      <c r="BF140" s="7"/>
      <c r="BG140" s="7" t="s">
        <v>7418</v>
      </c>
      <c r="BH140" s="7" t="s">
        <v>387</v>
      </c>
      <c r="BI140" s="7" t="s">
        <v>443</v>
      </c>
      <c r="BJ140" s="7" t="s">
        <v>3129</v>
      </c>
      <c r="BK140" s="7" t="s">
        <v>194</v>
      </c>
      <c r="BL140" s="7" t="s">
        <v>547</v>
      </c>
      <c r="BM140" s="7" t="s">
        <v>7419</v>
      </c>
      <c r="BN140" s="7" t="s">
        <v>7420</v>
      </c>
      <c r="BO140" s="7" t="s">
        <v>7421</v>
      </c>
      <c r="BP140" s="7" t="s">
        <v>5804</v>
      </c>
      <c r="BQ140" s="7" t="s">
        <v>7422</v>
      </c>
      <c r="BR140" s="7" t="s">
        <v>998</v>
      </c>
      <c r="BS140" s="7" t="s">
        <v>7423</v>
      </c>
      <c r="BT140" s="7" t="s">
        <v>7424</v>
      </c>
      <c r="BU140" s="8" t="s">
        <v>7342</v>
      </c>
    </row>
    <row r="141" spans="1:73">
      <c r="A141" s="9">
        <v>1626</v>
      </c>
      <c r="B141" s="10">
        <v>45566</v>
      </c>
      <c r="C141" s="11" t="s">
        <v>7425</v>
      </c>
      <c r="D141" s="10">
        <v>30184</v>
      </c>
      <c r="E141" s="29">
        <f ca="1">_xlfn.DAYS(NOW(),Tabella3[[#This Row],[Data di Nascita]])/365.25</f>
        <v>42.954140999315534</v>
      </c>
      <c r="F141" s="11" t="s">
        <v>7426</v>
      </c>
      <c r="G141" s="11" t="s">
        <v>7427</v>
      </c>
      <c r="H141" s="11" t="s">
        <v>3316</v>
      </c>
      <c r="I141" s="11" t="s">
        <v>618</v>
      </c>
      <c r="J141" s="11" t="s">
        <v>881</v>
      </c>
      <c r="K141" s="18"/>
      <c r="L141" s="18"/>
      <c r="M141" s="18"/>
      <c r="N141" s="18"/>
      <c r="O141" s="18"/>
      <c r="P141" s="18"/>
      <c r="Q141" s="18"/>
      <c r="R141" s="18"/>
      <c r="S141" s="18"/>
      <c r="T141" s="11" t="s">
        <v>7428</v>
      </c>
      <c r="U141" s="18"/>
      <c r="V141" s="18"/>
      <c r="W141" s="18">
        <v>1</v>
      </c>
      <c r="X141" s="11"/>
      <c r="Y141" s="18">
        <v>1</v>
      </c>
      <c r="Z141" s="18"/>
      <c r="AA141" s="18"/>
      <c r="AB141" s="18"/>
      <c r="AC141" s="18"/>
      <c r="AD141" s="11" t="s">
        <v>309</v>
      </c>
      <c r="AE141" s="18"/>
      <c r="AF141" s="18"/>
      <c r="AG141" s="18"/>
      <c r="AH141" s="18"/>
      <c r="AI141" s="18"/>
      <c r="AJ141" s="11" t="s">
        <v>194</v>
      </c>
      <c r="AK141" s="17">
        <v>1</v>
      </c>
      <c r="AL141" s="11" t="s">
        <v>8</v>
      </c>
      <c r="AM141" s="18"/>
      <c r="AN141" s="11" t="s">
        <v>8</v>
      </c>
      <c r="AO141" s="17">
        <v>1</v>
      </c>
      <c r="AP141" s="18"/>
      <c r="AQ141" s="11" t="s">
        <v>8</v>
      </c>
      <c r="AR141" s="17">
        <v>1</v>
      </c>
      <c r="AS141" s="11" t="s">
        <v>8</v>
      </c>
      <c r="AT141" s="17">
        <v>1</v>
      </c>
      <c r="AU141" s="18"/>
      <c r="AV141" s="11" t="s">
        <v>8</v>
      </c>
      <c r="AW141" s="18"/>
      <c r="AX141" s="18"/>
      <c r="AY141" s="11" t="s">
        <v>8</v>
      </c>
      <c r="AZ141" s="11" t="s">
        <v>8</v>
      </c>
      <c r="BA141" s="11" t="s">
        <v>26</v>
      </c>
      <c r="BB141" s="11" t="s">
        <v>8</v>
      </c>
      <c r="BC141" s="11" t="s">
        <v>8</v>
      </c>
      <c r="BD141" s="11" t="s">
        <v>25</v>
      </c>
      <c r="BE141" s="11" t="s">
        <v>8</v>
      </c>
      <c r="BF141" s="11"/>
      <c r="BG141" s="11" t="s">
        <v>8</v>
      </c>
      <c r="BH141" s="11" t="s">
        <v>28</v>
      </c>
      <c r="BI141" s="11" t="s">
        <v>8</v>
      </c>
      <c r="BJ141" s="11" t="s">
        <v>8</v>
      </c>
      <c r="BK141" s="11" t="s">
        <v>8</v>
      </c>
      <c r="BL141" s="11" t="s">
        <v>8</v>
      </c>
      <c r="BM141" s="11" t="s">
        <v>7429</v>
      </c>
      <c r="BN141" s="11" t="s">
        <v>8</v>
      </c>
      <c r="BO141" s="11" t="s">
        <v>8</v>
      </c>
      <c r="BP141" s="11" t="s">
        <v>4975</v>
      </c>
      <c r="BQ141" s="11" t="s">
        <v>168</v>
      </c>
      <c r="BR141" s="11"/>
      <c r="BS141" s="11"/>
      <c r="BT141" s="11"/>
      <c r="BU141" s="12"/>
    </row>
    <row r="142" spans="1:73" ht="71.25">
      <c r="A142" s="5">
        <v>1631</v>
      </c>
      <c r="B142" s="6">
        <v>45569</v>
      </c>
      <c r="C142" s="7" t="s">
        <v>7430</v>
      </c>
      <c r="D142" s="6">
        <v>15510</v>
      </c>
      <c r="E142" s="29">
        <f ca="1">_xlfn.DAYS(NOW(),Tabella3[[#This Row],[Data di Nascita]])/365.25</f>
        <v>83.129363449691994</v>
      </c>
      <c r="F142" s="7" t="s">
        <v>7431</v>
      </c>
      <c r="G142" s="7" t="s">
        <v>7432</v>
      </c>
      <c r="H142" s="7" t="s">
        <v>7433</v>
      </c>
      <c r="I142" s="7" t="s">
        <v>7434</v>
      </c>
      <c r="J142" s="7" t="s">
        <v>7435</v>
      </c>
      <c r="K142" s="17">
        <v>1</v>
      </c>
      <c r="L142" s="17"/>
      <c r="M142" s="17"/>
      <c r="N142" s="17"/>
      <c r="O142" s="17"/>
      <c r="P142" s="17">
        <v>1</v>
      </c>
      <c r="Q142" s="17"/>
      <c r="R142" s="17"/>
      <c r="S142" s="17"/>
      <c r="T142" s="7" t="s">
        <v>7436</v>
      </c>
      <c r="U142" s="17"/>
      <c r="V142" s="17">
        <v>1</v>
      </c>
      <c r="W142" s="17"/>
      <c r="X142" s="7" t="s">
        <v>7437</v>
      </c>
      <c r="Y142" s="17"/>
      <c r="Z142" s="17"/>
      <c r="AA142" s="17"/>
      <c r="AB142" s="17"/>
      <c r="AC142" s="17"/>
      <c r="AD142" s="7" t="s">
        <v>7438</v>
      </c>
      <c r="AE142" s="17"/>
      <c r="AF142" s="17"/>
      <c r="AG142" s="17"/>
      <c r="AH142" s="17"/>
      <c r="AI142" s="17"/>
      <c r="AJ142" s="7" t="s">
        <v>7439</v>
      </c>
      <c r="AK142" s="17">
        <v>1</v>
      </c>
      <c r="AL142" s="7" t="s">
        <v>194</v>
      </c>
      <c r="AM142" s="17">
        <v>1</v>
      </c>
      <c r="AN142" s="7" t="s">
        <v>7440</v>
      </c>
      <c r="AO142" s="17">
        <v>1</v>
      </c>
      <c r="AP142" s="17"/>
      <c r="AQ142" s="7" t="s">
        <v>7441</v>
      </c>
      <c r="AR142" s="17"/>
      <c r="AS142" s="7" t="s">
        <v>195</v>
      </c>
      <c r="AT142" s="17">
        <v>1</v>
      </c>
      <c r="AU142" s="17"/>
      <c r="AV142" s="7" t="s">
        <v>195</v>
      </c>
      <c r="AW142" s="17"/>
      <c r="AX142" s="17"/>
      <c r="AY142" s="7" t="s">
        <v>195</v>
      </c>
      <c r="AZ142" s="7" t="s">
        <v>195</v>
      </c>
      <c r="BA142" s="7" t="s">
        <v>195</v>
      </c>
      <c r="BB142" s="7" t="s">
        <v>195</v>
      </c>
      <c r="BC142" s="7"/>
      <c r="BD142" s="7" t="s">
        <v>7442</v>
      </c>
      <c r="BE142" s="7" t="s">
        <v>195</v>
      </c>
      <c r="BF142" s="7"/>
      <c r="BG142" s="7" t="s">
        <v>195</v>
      </c>
      <c r="BH142" s="7"/>
      <c r="BI142" s="7" t="s">
        <v>194</v>
      </c>
      <c r="BJ142" s="7" t="s">
        <v>194</v>
      </c>
      <c r="BK142" s="7" t="s">
        <v>195</v>
      </c>
      <c r="BL142" s="7" t="s">
        <v>195</v>
      </c>
      <c r="BM142" s="7" t="s">
        <v>7443</v>
      </c>
      <c r="BN142" s="7" t="s">
        <v>7444</v>
      </c>
      <c r="BO142" s="7" t="s">
        <v>7445</v>
      </c>
      <c r="BP142" s="7" t="s">
        <v>5804</v>
      </c>
      <c r="BQ142" s="7" t="s">
        <v>7446</v>
      </c>
      <c r="BR142" s="7" t="s">
        <v>998</v>
      </c>
      <c r="BS142" s="7" t="s">
        <v>7447</v>
      </c>
      <c r="BT142" s="7" t="s">
        <v>7448</v>
      </c>
      <c r="BU142" s="8" t="s">
        <v>7449</v>
      </c>
    </row>
    <row r="143" spans="1:73" ht="171">
      <c r="A143" s="9">
        <v>1636</v>
      </c>
      <c r="B143" s="10">
        <v>45574</v>
      </c>
      <c r="C143" s="11" t="s">
        <v>7450</v>
      </c>
      <c r="D143" s="10">
        <v>17362</v>
      </c>
      <c r="E143" s="29">
        <f ca="1">_xlfn.DAYS(NOW(),Tabella3[[#This Row],[Data di Nascita]])/365.25</f>
        <v>78.058863791923343</v>
      </c>
      <c r="F143" s="11" t="s">
        <v>7451</v>
      </c>
      <c r="G143" s="11" t="s">
        <v>7452</v>
      </c>
      <c r="H143" s="11" t="s">
        <v>7453</v>
      </c>
      <c r="I143" s="11" t="s">
        <v>7454</v>
      </c>
      <c r="J143" s="11" t="s">
        <v>7455</v>
      </c>
      <c r="K143" s="17">
        <v>1</v>
      </c>
      <c r="L143" s="18"/>
      <c r="M143" s="18">
        <v>1</v>
      </c>
      <c r="N143" s="18"/>
      <c r="O143" s="18"/>
      <c r="P143" s="18"/>
      <c r="Q143" s="18"/>
      <c r="R143" s="18">
        <v>1</v>
      </c>
      <c r="S143" s="18"/>
      <c r="T143" s="11" t="s">
        <v>7456</v>
      </c>
      <c r="U143" s="18">
        <v>30</v>
      </c>
      <c r="V143" s="18">
        <v>1</v>
      </c>
      <c r="W143" s="18"/>
      <c r="X143" s="11" t="s">
        <v>7363</v>
      </c>
      <c r="Y143" s="18"/>
      <c r="Z143" s="18"/>
      <c r="AA143" s="18">
        <v>1</v>
      </c>
      <c r="AB143" s="18"/>
      <c r="AC143" s="18"/>
      <c r="AD143" s="11" t="s">
        <v>7457</v>
      </c>
      <c r="AE143" s="18"/>
      <c r="AF143" s="18"/>
      <c r="AG143" s="18"/>
      <c r="AH143" s="18"/>
      <c r="AI143" s="18"/>
      <c r="AJ143" s="11" t="s">
        <v>7458</v>
      </c>
      <c r="AK143" s="17">
        <v>1</v>
      </c>
      <c r="AL143" s="11" t="s">
        <v>194</v>
      </c>
      <c r="AM143" s="17">
        <v>1</v>
      </c>
      <c r="AN143" s="11" t="s">
        <v>7459</v>
      </c>
      <c r="AO143" s="17">
        <v>0</v>
      </c>
      <c r="AP143" s="18"/>
      <c r="AQ143" s="11" t="s">
        <v>859</v>
      </c>
      <c r="AR143" s="18"/>
      <c r="AS143" s="11" t="s">
        <v>7460</v>
      </c>
      <c r="AT143" s="18"/>
      <c r="AU143" s="18"/>
      <c r="AV143" s="11" t="s">
        <v>195</v>
      </c>
      <c r="AW143" s="18"/>
      <c r="AX143" s="18"/>
      <c r="AY143" s="11" t="s">
        <v>195</v>
      </c>
      <c r="AZ143" s="11" t="s">
        <v>195</v>
      </c>
      <c r="BA143" s="11" t="s">
        <v>7461</v>
      </c>
      <c r="BB143" s="11" t="s">
        <v>7462</v>
      </c>
      <c r="BC143" s="11" t="s">
        <v>7463</v>
      </c>
      <c r="BD143" s="11" t="s">
        <v>7464</v>
      </c>
      <c r="BE143" s="11" t="s">
        <v>7465</v>
      </c>
      <c r="BF143" s="11"/>
      <c r="BG143" s="11" t="s">
        <v>7466</v>
      </c>
      <c r="BH143" s="11" t="s">
        <v>7467</v>
      </c>
      <c r="BI143" s="11" t="s">
        <v>195</v>
      </c>
      <c r="BJ143" s="11" t="s">
        <v>685</v>
      </c>
      <c r="BK143" s="11" t="s">
        <v>7468</v>
      </c>
      <c r="BL143" s="11" t="s">
        <v>195</v>
      </c>
      <c r="BM143" s="11" t="s">
        <v>7469</v>
      </c>
      <c r="BN143" s="11" t="s">
        <v>194</v>
      </c>
      <c r="BO143" s="11" t="s">
        <v>195</v>
      </c>
      <c r="BP143" s="11" t="s">
        <v>4975</v>
      </c>
      <c r="BQ143" s="11" t="s">
        <v>7470</v>
      </c>
      <c r="BR143" s="11" t="s">
        <v>963</v>
      </c>
      <c r="BS143" s="11" t="s">
        <v>7471</v>
      </c>
      <c r="BT143" s="11" t="s">
        <v>7472</v>
      </c>
      <c r="BU143" s="12" t="s">
        <v>7473</v>
      </c>
    </row>
    <row r="144" spans="1:73" ht="171">
      <c r="A144" s="5">
        <v>1640</v>
      </c>
      <c r="B144" s="6">
        <v>45576</v>
      </c>
      <c r="C144" s="7" t="s">
        <v>7474</v>
      </c>
      <c r="D144" s="6">
        <v>31542</v>
      </c>
      <c r="E144" s="29">
        <f ca="1">_xlfn.DAYS(NOW(),Tabella3[[#This Row],[Data di Nascita]])/365.25</f>
        <v>39.236139630390142</v>
      </c>
      <c r="F144" s="7" t="s">
        <v>7475</v>
      </c>
      <c r="G144" s="7" t="s">
        <v>7476</v>
      </c>
      <c r="H144" s="7" t="s">
        <v>7477</v>
      </c>
      <c r="I144" s="7" t="s">
        <v>618</v>
      </c>
      <c r="J144" s="7" t="s">
        <v>7478</v>
      </c>
      <c r="K144" s="17"/>
      <c r="L144" s="17"/>
      <c r="M144" s="17"/>
      <c r="N144" s="17"/>
      <c r="O144" s="17"/>
      <c r="P144" s="17"/>
      <c r="Q144" s="17"/>
      <c r="R144" s="17"/>
      <c r="S144" s="17"/>
      <c r="T144" s="7" t="s">
        <v>5895</v>
      </c>
      <c r="U144" s="17"/>
      <c r="V144" s="17"/>
      <c r="W144" s="17">
        <v>1</v>
      </c>
      <c r="X144" s="7" t="s">
        <v>8</v>
      </c>
      <c r="Y144" s="17"/>
      <c r="Z144" s="17"/>
      <c r="AA144" s="17"/>
      <c r="AB144" s="17">
        <v>1</v>
      </c>
      <c r="AC144" s="17"/>
      <c r="AD144" s="7" t="s">
        <v>7479</v>
      </c>
      <c r="AE144" s="17"/>
      <c r="AF144" s="17">
        <v>1</v>
      </c>
      <c r="AG144" s="17"/>
      <c r="AH144" s="17"/>
      <c r="AI144" s="17"/>
      <c r="AJ144" s="7" t="s">
        <v>8</v>
      </c>
      <c r="AK144" s="17"/>
      <c r="AL144" s="7" t="s">
        <v>8</v>
      </c>
      <c r="AM144" s="17"/>
      <c r="AN144" s="7" t="s">
        <v>8</v>
      </c>
      <c r="AO144" s="17">
        <v>1</v>
      </c>
      <c r="AP144" s="17"/>
      <c r="AQ144" s="7" t="s">
        <v>8</v>
      </c>
      <c r="AR144" s="17">
        <v>1</v>
      </c>
      <c r="AS144" s="7" t="s">
        <v>1895</v>
      </c>
      <c r="AT144" s="17">
        <v>1</v>
      </c>
      <c r="AU144" s="17"/>
      <c r="AV144" s="7" t="s">
        <v>25</v>
      </c>
      <c r="AW144" s="17"/>
      <c r="AX144" s="17"/>
      <c r="AY144" s="7" t="s">
        <v>8</v>
      </c>
      <c r="AZ144" s="7" t="s">
        <v>7</v>
      </c>
      <c r="BA144" s="7" t="s">
        <v>7</v>
      </c>
      <c r="BB144" s="7" t="s">
        <v>6881</v>
      </c>
      <c r="BC144" s="7" t="s">
        <v>7480</v>
      </c>
      <c r="BD144" s="7" t="s">
        <v>7481</v>
      </c>
      <c r="BE144" s="7" t="s">
        <v>8</v>
      </c>
      <c r="BF144" s="7" t="s">
        <v>7482</v>
      </c>
      <c r="BG144" s="7" t="s">
        <v>7483</v>
      </c>
      <c r="BH144" s="7" t="s">
        <v>351</v>
      </c>
      <c r="BI144" s="7" t="s">
        <v>25</v>
      </c>
      <c r="BJ144" s="7" t="s">
        <v>8</v>
      </c>
      <c r="BK144" s="7" t="s">
        <v>7</v>
      </c>
      <c r="BL144" s="7" t="s">
        <v>7</v>
      </c>
      <c r="BM144" s="7" t="s">
        <v>2286</v>
      </c>
      <c r="BN144" s="7" t="s">
        <v>476</v>
      </c>
      <c r="BO144" s="7" t="s">
        <v>2069</v>
      </c>
      <c r="BP144" s="7" t="s">
        <v>4975</v>
      </c>
      <c r="BQ144" s="7" t="s">
        <v>14</v>
      </c>
      <c r="BR144" s="7" t="s">
        <v>219</v>
      </c>
      <c r="BS144" s="7" t="s">
        <v>169</v>
      </c>
      <c r="BT144" s="7" t="s">
        <v>7484</v>
      </c>
      <c r="BU144" s="8" t="s">
        <v>7485</v>
      </c>
    </row>
    <row r="145" spans="1:73" ht="42.75">
      <c r="A145" s="9">
        <v>1661</v>
      </c>
      <c r="B145" s="10">
        <v>45601</v>
      </c>
      <c r="C145" s="11" t="s">
        <v>7486</v>
      </c>
      <c r="D145" s="10">
        <v>24601</v>
      </c>
      <c r="E145" s="29">
        <f ca="1">_xlfn.DAYS(NOW(),Tabella3[[#This Row],[Data di Nascita]])/365.25</f>
        <v>58.239561943874058</v>
      </c>
      <c r="F145" s="11" t="s">
        <v>7487</v>
      </c>
      <c r="G145" s="11" t="s">
        <v>7488</v>
      </c>
      <c r="H145" s="11" t="s">
        <v>3279</v>
      </c>
      <c r="I145" s="11" t="s">
        <v>618</v>
      </c>
      <c r="J145" s="11" t="s">
        <v>297</v>
      </c>
      <c r="K145" s="18"/>
      <c r="L145" s="18"/>
      <c r="M145" s="18"/>
      <c r="N145" s="18"/>
      <c r="O145" s="18"/>
      <c r="P145" s="18"/>
      <c r="Q145" s="18"/>
      <c r="R145" s="18"/>
      <c r="S145" s="18"/>
      <c r="T145" s="11" t="s">
        <v>7489</v>
      </c>
      <c r="U145" s="18">
        <v>9</v>
      </c>
      <c r="V145" s="18">
        <v>1</v>
      </c>
      <c r="W145" s="18"/>
      <c r="X145" s="11" t="s">
        <v>2365</v>
      </c>
      <c r="Y145" s="18"/>
      <c r="Z145" s="18"/>
      <c r="AA145" s="18">
        <v>1</v>
      </c>
      <c r="AB145" s="18"/>
      <c r="AC145" s="18"/>
      <c r="AD145" s="11" t="s">
        <v>195</v>
      </c>
      <c r="AE145" s="18"/>
      <c r="AF145" s="18"/>
      <c r="AG145" s="18"/>
      <c r="AH145" s="18"/>
      <c r="AI145" s="18"/>
      <c r="AJ145" s="11" t="s">
        <v>194</v>
      </c>
      <c r="AK145" s="17">
        <v>1</v>
      </c>
      <c r="AL145" s="11" t="s">
        <v>195</v>
      </c>
      <c r="AM145" s="18"/>
      <c r="AN145" s="11" t="s">
        <v>195</v>
      </c>
      <c r="AO145" s="17">
        <v>1</v>
      </c>
      <c r="AP145" s="18"/>
      <c r="AQ145" s="11" t="s">
        <v>195</v>
      </c>
      <c r="AR145" s="17">
        <v>1</v>
      </c>
      <c r="AS145" s="11" t="s">
        <v>194</v>
      </c>
      <c r="AT145" s="18"/>
      <c r="AU145" s="18"/>
      <c r="AV145" s="11" t="s">
        <v>195</v>
      </c>
      <c r="AW145" s="18"/>
      <c r="AX145" s="18"/>
      <c r="AY145" s="11" t="s">
        <v>194</v>
      </c>
      <c r="AZ145" s="11" t="s">
        <v>7490</v>
      </c>
      <c r="BA145" s="11" t="s">
        <v>194</v>
      </c>
      <c r="BB145" s="11" t="s">
        <v>195</v>
      </c>
      <c r="BC145" s="11" t="s">
        <v>7491</v>
      </c>
      <c r="BD145" s="11" t="s">
        <v>7492</v>
      </c>
      <c r="BE145" s="11" t="s">
        <v>195</v>
      </c>
      <c r="BF145" s="11"/>
      <c r="BG145" s="11" t="s">
        <v>1486</v>
      </c>
      <c r="BH145" s="11" t="s">
        <v>194</v>
      </c>
      <c r="BI145" s="11" t="s">
        <v>8</v>
      </c>
      <c r="BJ145" s="11" t="s">
        <v>28</v>
      </c>
      <c r="BK145" s="11"/>
      <c r="BL145" s="11"/>
      <c r="BM145" s="11" t="s">
        <v>7493</v>
      </c>
      <c r="BN145" s="11" t="s">
        <v>194</v>
      </c>
      <c r="BO145" s="11" t="s">
        <v>5159</v>
      </c>
      <c r="BP145" s="11" t="s">
        <v>5804</v>
      </c>
      <c r="BQ145" s="11" t="s">
        <v>7494</v>
      </c>
      <c r="BR145" s="11" t="s">
        <v>219</v>
      </c>
      <c r="BS145" s="11" t="s">
        <v>508</v>
      </c>
      <c r="BT145" s="11"/>
      <c r="BU145" s="12"/>
    </row>
    <row r="146" spans="1:73" ht="85.5">
      <c r="A146" s="5">
        <v>1691</v>
      </c>
      <c r="B146" s="6">
        <v>45622</v>
      </c>
      <c r="C146" s="7" t="s">
        <v>7495</v>
      </c>
      <c r="D146" s="6">
        <v>20263</v>
      </c>
      <c r="E146" s="29">
        <f ca="1">_xlfn.DAYS(NOW(),Tabella3[[#This Row],[Data di Nascita]])/365.25</f>
        <v>70.116358658453109</v>
      </c>
      <c r="F146" s="7" t="s">
        <v>7496</v>
      </c>
      <c r="G146" s="7" t="s">
        <v>7497</v>
      </c>
      <c r="H146" s="7" t="s">
        <v>456</v>
      </c>
      <c r="I146" s="7" t="s">
        <v>7498</v>
      </c>
      <c r="J146" s="7" t="s">
        <v>7499</v>
      </c>
      <c r="K146" s="17">
        <v>1</v>
      </c>
      <c r="L146" s="17"/>
      <c r="M146" s="17"/>
      <c r="N146" s="17"/>
      <c r="O146" s="17"/>
      <c r="P146" s="17"/>
      <c r="Q146" s="17"/>
      <c r="R146" s="17"/>
      <c r="S146" s="17"/>
      <c r="T146" s="7" t="s">
        <v>5795</v>
      </c>
      <c r="U146" s="17"/>
      <c r="V146" s="17"/>
      <c r="W146" s="17">
        <v>1</v>
      </c>
      <c r="X146" s="7"/>
      <c r="Y146" s="17">
        <v>1</v>
      </c>
      <c r="Z146" s="17"/>
      <c r="AA146" s="17"/>
      <c r="AB146" s="17"/>
      <c r="AC146" s="17"/>
      <c r="AD146" s="7" t="s">
        <v>195</v>
      </c>
      <c r="AE146" s="17"/>
      <c r="AF146" s="17"/>
      <c r="AG146" s="17"/>
      <c r="AH146" s="17"/>
      <c r="AI146" s="17"/>
      <c r="AJ146" s="7" t="s">
        <v>194</v>
      </c>
      <c r="AK146" s="17">
        <v>1</v>
      </c>
      <c r="AL146" s="7" t="s">
        <v>194</v>
      </c>
      <c r="AM146" s="17">
        <v>1</v>
      </c>
      <c r="AN146" s="7" t="s">
        <v>195</v>
      </c>
      <c r="AO146" s="17">
        <v>1</v>
      </c>
      <c r="AP146" s="17"/>
      <c r="AQ146" s="7" t="s">
        <v>195</v>
      </c>
      <c r="AR146" s="17">
        <v>1</v>
      </c>
      <c r="AS146" s="7" t="s">
        <v>195</v>
      </c>
      <c r="AT146" s="17">
        <v>1</v>
      </c>
      <c r="AU146" s="17"/>
      <c r="AV146" s="7" t="s">
        <v>195</v>
      </c>
      <c r="AW146" s="17"/>
      <c r="AX146" s="17"/>
      <c r="AY146" s="7" t="s">
        <v>195</v>
      </c>
      <c r="AZ146" s="7" t="s">
        <v>195</v>
      </c>
      <c r="BA146" s="7" t="s">
        <v>195</v>
      </c>
      <c r="BB146" s="7" t="s">
        <v>195</v>
      </c>
      <c r="BC146" s="7" t="s">
        <v>7500</v>
      </c>
      <c r="BD146" s="7" t="s">
        <v>7501</v>
      </c>
      <c r="BE146" s="7"/>
      <c r="BF146" s="7"/>
      <c r="BG146" s="7" t="s">
        <v>7502</v>
      </c>
      <c r="BH146" s="7" t="s">
        <v>8</v>
      </c>
      <c r="BI146" s="7" t="s">
        <v>8</v>
      </c>
      <c r="BJ146" s="7" t="s">
        <v>8</v>
      </c>
      <c r="BK146" s="7" t="s">
        <v>8</v>
      </c>
      <c r="BL146" s="7" t="s">
        <v>194</v>
      </c>
      <c r="BM146" s="7" t="s">
        <v>7503</v>
      </c>
      <c r="BN146" s="7" t="s">
        <v>8</v>
      </c>
      <c r="BO146" s="7" t="s">
        <v>8</v>
      </c>
      <c r="BP146" s="7" t="s">
        <v>4975</v>
      </c>
      <c r="BQ146" s="7" t="s">
        <v>7504</v>
      </c>
      <c r="BR146" s="7" t="s">
        <v>71</v>
      </c>
      <c r="BS146" s="7" t="s">
        <v>2424</v>
      </c>
      <c r="BT146" s="7"/>
      <c r="BU146" s="8"/>
    </row>
    <row r="147" spans="1:73" ht="42.75">
      <c r="A147" s="9">
        <v>1698</v>
      </c>
      <c r="B147" s="10">
        <v>45624</v>
      </c>
      <c r="C147" s="11" t="s">
        <v>7505</v>
      </c>
      <c r="D147" s="10">
        <v>22258</v>
      </c>
      <c r="E147" s="29">
        <f ca="1">_xlfn.DAYS(NOW(),Tabella3[[#This Row],[Data di Nascita]])/365.25</f>
        <v>64.654346338124569</v>
      </c>
      <c r="F147" s="11" t="s">
        <v>7506</v>
      </c>
      <c r="G147" s="11" t="s">
        <v>7507</v>
      </c>
      <c r="H147" s="11" t="s">
        <v>3329</v>
      </c>
      <c r="I147" s="11" t="s">
        <v>618</v>
      </c>
      <c r="J147" s="11" t="s">
        <v>3305</v>
      </c>
      <c r="K147" s="18"/>
      <c r="L147" s="18"/>
      <c r="M147" s="18"/>
      <c r="N147" s="18"/>
      <c r="O147" s="18"/>
      <c r="P147" s="18"/>
      <c r="Q147" s="18"/>
      <c r="R147" s="18"/>
      <c r="S147" s="18"/>
      <c r="T147" s="11" t="s">
        <v>7508</v>
      </c>
      <c r="U147" s="18">
        <v>10</v>
      </c>
      <c r="V147" s="18">
        <v>1</v>
      </c>
      <c r="W147" s="18"/>
      <c r="X147" s="11" t="s">
        <v>195</v>
      </c>
      <c r="Y147" s="18"/>
      <c r="Z147" s="18"/>
      <c r="AA147" s="18"/>
      <c r="AB147" s="18">
        <v>1</v>
      </c>
      <c r="AC147" s="18"/>
      <c r="AD147" s="11" t="s">
        <v>7509</v>
      </c>
      <c r="AE147" s="18"/>
      <c r="AF147" s="18"/>
      <c r="AG147" s="18"/>
      <c r="AH147" s="18"/>
      <c r="AI147" s="18"/>
      <c r="AJ147" s="11" t="s">
        <v>195</v>
      </c>
      <c r="AK147" s="18"/>
      <c r="AL147" s="11" t="s">
        <v>195</v>
      </c>
      <c r="AM147" s="18"/>
      <c r="AN147" s="11" t="s">
        <v>195</v>
      </c>
      <c r="AO147" s="17">
        <v>1</v>
      </c>
      <c r="AP147" s="18"/>
      <c r="AQ147" s="11" t="s">
        <v>195</v>
      </c>
      <c r="AR147" s="17">
        <v>1</v>
      </c>
      <c r="AS147" s="11" t="s">
        <v>195</v>
      </c>
      <c r="AT147" s="17">
        <v>1</v>
      </c>
      <c r="AU147" s="18"/>
      <c r="AV147" s="11" t="s">
        <v>195</v>
      </c>
      <c r="AW147" s="18"/>
      <c r="AX147" s="18"/>
      <c r="AY147" s="11" t="s">
        <v>7510</v>
      </c>
      <c r="AZ147" s="11" t="s">
        <v>195</v>
      </c>
      <c r="BA147" s="11" t="s">
        <v>194</v>
      </c>
      <c r="BB147" s="11" t="s">
        <v>195</v>
      </c>
      <c r="BC147" s="11" t="s">
        <v>7511</v>
      </c>
      <c r="BD147" s="11" t="s">
        <v>7512</v>
      </c>
      <c r="BE147" s="11" t="s">
        <v>195</v>
      </c>
      <c r="BF147" s="11"/>
      <c r="BG147" s="11" t="s">
        <v>7513</v>
      </c>
      <c r="BH147" s="11" t="s">
        <v>195</v>
      </c>
      <c r="BI147" s="11" t="s">
        <v>195</v>
      </c>
      <c r="BJ147" s="11" t="s">
        <v>195</v>
      </c>
      <c r="BK147" s="11" t="s">
        <v>195</v>
      </c>
      <c r="BL147" s="11" t="s">
        <v>381</v>
      </c>
      <c r="BM147" s="11" t="s">
        <v>5321</v>
      </c>
      <c r="BN147" s="11" t="s">
        <v>47</v>
      </c>
      <c r="BO147" s="11" t="s">
        <v>25</v>
      </c>
      <c r="BP147" s="11" t="s">
        <v>4975</v>
      </c>
      <c r="BQ147" s="11" t="s">
        <v>7514</v>
      </c>
      <c r="BR147" s="11" t="s">
        <v>71</v>
      </c>
      <c r="BS147" s="11" t="s">
        <v>370</v>
      </c>
      <c r="BT147" s="11"/>
      <c r="BU147" s="12"/>
    </row>
    <row r="148" spans="1:73" ht="57">
      <c r="A148" s="5">
        <v>1708</v>
      </c>
      <c r="B148" s="6">
        <v>45631</v>
      </c>
      <c r="C148" s="7" t="s">
        <v>7515</v>
      </c>
      <c r="D148" s="6">
        <v>26506</v>
      </c>
      <c r="E148" s="29">
        <f ca="1">_xlfn.DAYS(NOW(),Tabella3[[#This Row],[Data di Nascita]])/365.25</f>
        <v>53.023956194387409</v>
      </c>
      <c r="F148" s="7" t="s">
        <v>7516</v>
      </c>
      <c r="G148" s="7" t="s">
        <v>7517</v>
      </c>
      <c r="H148" s="7" t="s">
        <v>3329</v>
      </c>
      <c r="I148" s="7" t="s">
        <v>618</v>
      </c>
      <c r="J148" s="7" t="s">
        <v>7518</v>
      </c>
      <c r="K148" s="17"/>
      <c r="L148" s="17"/>
      <c r="M148" s="17"/>
      <c r="N148" s="17"/>
      <c r="O148" s="17">
        <v>1</v>
      </c>
      <c r="P148" s="17"/>
      <c r="Q148" s="17"/>
      <c r="R148" s="17"/>
      <c r="S148" s="17"/>
      <c r="T148" s="7" t="s">
        <v>5795</v>
      </c>
      <c r="U148" s="17"/>
      <c r="V148" s="17"/>
      <c r="W148" s="17">
        <v>1</v>
      </c>
      <c r="X148" s="7" t="s">
        <v>26</v>
      </c>
      <c r="Y148" s="17"/>
      <c r="Z148" s="17"/>
      <c r="AA148" s="17">
        <v>1</v>
      </c>
      <c r="AB148" s="17"/>
      <c r="AC148" s="17"/>
      <c r="AD148" s="7" t="s">
        <v>25</v>
      </c>
      <c r="AE148" s="17"/>
      <c r="AF148" s="17"/>
      <c r="AG148" s="17"/>
      <c r="AH148" s="17"/>
      <c r="AI148" s="17"/>
      <c r="AJ148" s="7" t="s">
        <v>8</v>
      </c>
      <c r="AK148" s="17"/>
      <c r="AL148" s="7" t="s">
        <v>8</v>
      </c>
      <c r="AM148" s="17"/>
      <c r="AN148" s="7" t="s">
        <v>8</v>
      </c>
      <c r="AO148" s="17">
        <v>1</v>
      </c>
      <c r="AP148" s="17"/>
      <c r="AQ148" s="7" t="s">
        <v>8</v>
      </c>
      <c r="AR148" s="17">
        <v>1</v>
      </c>
      <c r="AS148" s="7" t="s">
        <v>8</v>
      </c>
      <c r="AT148" s="17">
        <v>1</v>
      </c>
      <c r="AU148" s="17"/>
      <c r="AV148" s="7" t="s">
        <v>8</v>
      </c>
      <c r="AW148" s="17"/>
      <c r="AX148" s="17"/>
      <c r="AY148" s="7" t="s">
        <v>8</v>
      </c>
      <c r="AZ148" s="7" t="s">
        <v>28</v>
      </c>
      <c r="BA148" s="7" t="s">
        <v>28</v>
      </c>
      <c r="BB148" s="7" t="s">
        <v>8</v>
      </c>
      <c r="BC148" s="7"/>
      <c r="BD148" s="7" t="s">
        <v>7519</v>
      </c>
      <c r="BE148" s="7"/>
      <c r="BF148" s="7"/>
      <c r="BG148" s="7" t="s">
        <v>8</v>
      </c>
      <c r="BH148" s="7" t="s">
        <v>28</v>
      </c>
      <c r="BI148" s="7" t="s">
        <v>7520</v>
      </c>
      <c r="BJ148" s="7" t="s">
        <v>8</v>
      </c>
      <c r="BK148" s="7" t="s">
        <v>8</v>
      </c>
      <c r="BL148" s="7" t="s">
        <v>28</v>
      </c>
      <c r="BM148" s="7" t="s">
        <v>7521</v>
      </c>
      <c r="BN148" s="7" t="s">
        <v>28</v>
      </c>
      <c r="BO148" s="7" t="s">
        <v>28</v>
      </c>
      <c r="BP148" s="7" t="s">
        <v>5804</v>
      </c>
      <c r="BQ148" s="7" t="s">
        <v>7522</v>
      </c>
      <c r="BR148" s="7" t="s">
        <v>219</v>
      </c>
      <c r="BS148" s="7" t="s">
        <v>105</v>
      </c>
      <c r="BT148" s="7"/>
      <c r="BU148" s="8"/>
    </row>
    <row r="149" spans="1:73" ht="42.75">
      <c r="A149" s="9">
        <v>1742</v>
      </c>
      <c r="B149" s="10">
        <v>45666</v>
      </c>
      <c r="C149" s="11" t="s">
        <v>7523</v>
      </c>
      <c r="D149" s="10">
        <v>34537</v>
      </c>
      <c r="E149" s="29">
        <f ca="1">_xlfn.DAYS(NOW(),Tabella3[[#This Row],[Data di Nascita]])/365.25</f>
        <v>31.036276522929501</v>
      </c>
      <c r="F149" s="11" t="s">
        <v>7524</v>
      </c>
      <c r="G149" s="11" t="s">
        <v>7525</v>
      </c>
      <c r="H149" s="11" t="s">
        <v>3279</v>
      </c>
      <c r="I149" s="11" t="s">
        <v>7498</v>
      </c>
      <c r="J149" s="11" t="s">
        <v>7526</v>
      </c>
      <c r="K149" s="18"/>
      <c r="L149" s="18"/>
      <c r="M149" s="18"/>
      <c r="N149" s="18"/>
      <c r="O149" s="18"/>
      <c r="P149" s="18"/>
      <c r="Q149" s="18"/>
      <c r="R149" s="18"/>
      <c r="S149" s="18"/>
      <c r="T149" s="11" t="s">
        <v>7527</v>
      </c>
      <c r="U149" s="18">
        <v>4</v>
      </c>
      <c r="V149" s="18">
        <v>1</v>
      </c>
      <c r="W149" s="18"/>
      <c r="X149" s="11" t="s">
        <v>695</v>
      </c>
      <c r="Y149" s="18"/>
      <c r="Z149" s="18"/>
      <c r="AA149" s="18">
        <v>1</v>
      </c>
      <c r="AB149" s="18"/>
      <c r="AC149" s="18"/>
      <c r="AD149" s="11" t="s">
        <v>195</v>
      </c>
      <c r="AE149" s="18"/>
      <c r="AF149" s="18"/>
      <c r="AG149" s="18"/>
      <c r="AH149" s="18"/>
      <c r="AI149" s="18"/>
      <c r="AJ149" s="11" t="s">
        <v>194</v>
      </c>
      <c r="AK149" s="17">
        <v>1</v>
      </c>
      <c r="AL149" s="11" t="s">
        <v>195</v>
      </c>
      <c r="AM149" s="18"/>
      <c r="AN149" s="11" t="s">
        <v>195</v>
      </c>
      <c r="AO149" s="17">
        <v>1</v>
      </c>
      <c r="AP149" s="18"/>
      <c r="AQ149" s="11" t="s">
        <v>195</v>
      </c>
      <c r="AR149" s="17">
        <v>1</v>
      </c>
      <c r="AS149" s="11" t="s">
        <v>195</v>
      </c>
      <c r="AT149" s="17">
        <v>1</v>
      </c>
      <c r="AU149" s="18"/>
      <c r="AV149" s="11" t="s">
        <v>195</v>
      </c>
      <c r="AW149" s="18"/>
      <c r="AX149" s="18"/>
      <c r="AY149" s="11" t="s">
        <v>195</v>
      </c>
      <c r="AZ149" s="11" t="s">
        <v>195</v>
      </c>
      <c r="BA149" s="11" t="s">
        <v>195</v>
      </c>
      <c r="BB149" s="11" t="s">
        <v>195</v>
      </c>
      <c r="BC149" s="11" t="s">
        <v>7528</v>
      </c>
      <c r="BD149" s="11" t="s">
        <v>7529</v>
      </c>
      <c r="BE149" s="11" t="s">
        <v>195</v>
      </c>
      <c r="BF149" s="11"/>
      <c r="BG149" s="11" t="s">
        <v>195</v>
      </c>
      <c r="BH149" s="11" t="s">
        <v>194</v>
      </c>
      <c r="BI149" s="11" t="s">
        <v>7530</v>
      </c>
      <c r="BJ149" s="11" t="s">
        <v>195</v>
      </c>
      <c r="BK149" s="11" t="s">
        <v>194</v>
      </c>
      <c r="BL149" s="11" t="s">
        <v>195</v>
      </c>
      <c r="BM149" s="11" t="s">
        <v>354</v>
      </c>
      <c r="BN149" s="11" t="s">
        <v>194</v>
      </c>
      <c r="BO149" s="11" t="s">
        <v>194</v>
      </c>
      <c r="BP149" s="11" t="s">
        <v>4975</v>
      </c>
      <c r="BQ149" s="11" t="s">
        <v>152</v>
      </c>
      <c r="BR149" s="11" t="s">
        <v>105</v>
      </c>
      <c r="BS149" s="11" t="s">
        <v>72</v>
      </c>
      <c r="BT149" s="11"/>
      <c r="BU149" s="12"/>
    </row>
    <row r="150" spans="1:73" ht="42.75">
      <c r="A150" s="5">
        <v>1758</v>
      </c>
      <c r="B150" s="6">
        <v>45673</v>
      </c>
      <c r="C150" s="7" t="s">
        <v>7531</v>
      </c>
      <c r="D150" s="6">
        <v>18014</v>
      </c>
      <c r="E150" s="29">
        <f ca="1">_xlfn.DAYS(NOW(),Tabella3[[#This Row],[Data di Nascita]])/365.25</f>
        <v>76.273785078713203</v>
      </c>
      <c r="F150" s="7" t="s">
        <v>7532</v>
      </c>
      <c r="G150" s="7" t="s">
        <v>7533</v>
      </c>
      <c r="H150" s="7" t="s">
        <v>3329</v>
      </c>
      <c r="I150" s="7" t="s">
        <v>7534</v>
      </c>
      <c r="J150" s="7" t="s">
        <v>7535</v>
      </c>
      <c r="K150" s="17">
        <v>1</v>
      </c>
      <c r="L150" s="17"/>
      <c r="M150" s="18"/>
      <c r="N150" s="17"/>
      <c r="O150" s="17"/>
      <c r="P150" s="17">
        <v>1</v>
      </c>
      <c r="Q150" s="17"/>
      <c r="R150" s="17"/>
      <c r="S150" s="17"/>
      <c r="T150" s="7" t="s">
        <v>7536</v>
      </c>
      <c r="U150" s="17">
        <v>50</v>
      </c>
      <c r="V150" s="17">
        <v>1</v>
      </c>
      <c r="W150" s="17"/>
      <c r="X150" s="7" t="s">
        <v>8</v>
      </c>
      <c r="Y150" s="17"/>
      <c r="Z150" s="17"/>
      <c r="AA150" s="17"/>
      <c r="AB150" s="17">
        <v>1</v>
      </c>
      <c r="AC150" s="17"/>
      <c r="AD150" s="7" t="s">
        <v>25</v>
      </c>
      <c r="AE150" s="17"/>
      <c r="AF150" s="17"/>
      <c r="AG150" s="17"/>
      <c r="AH150" s="17"/>
      <c r="AI150" s="17"/>
      <c r="AJ150" s="7" t="s">
        <v>28</v>
      </c>
      <c r="AK150" s="17">
        <v>1</v>
      </c>
      <c r="AL150" s="7" t="s">
        <v>382</v>
      </c>
      <c r="AM150" s="17"/>
      <c r="AN150" s="7" t="s">
        <v>382</v>
      </c>
      <c r="AO150" s="17">
        <v>1</v>
      </c>
      <c r="AP150" s="17"/>
      <c r="AQ150" s="7" t="s">
        <v>382</v>
      </c>
      <c r="AR150" s="17">
        <v>1</v>
      </c>
      <c r="AS150" s="7" t="s">
        <v>382</v>
      </c>
      <c r="AT150" s="17">
        <v>1</v>
      </c>
      <c r="AU150" s="17"/>
      <c r="AV150" s="7" t="s">
        <v>382</v>
      </c>
      <c r="AW150" s="17"/>
      <c r="AX150" s="17"/>
      <c r="AY150" s="7" t="s">
        <v>382</v>
      </c>
      <c r="AZ150" s="7" t="s">
        <v>382</v>
      </c>
      <c r="BA150" s="7" t="s">
        <v>382</v>
      </c>
      <c r="BB150" s="7" t="s">
        <v>382</v>
      </c>
      <c r="BC150" s="7" t="s">
        <v>7537</v>
      </c>
      <c r="BD150" s="7" t="s">
        <v>7538</v>
      </c>
      <c r="BE150" s="7" t="s">
        <v>382</v>
      </c>
      <c r="BF150" s="7"/>
      <c r="BG150" s="7" t="s">
        <v>272</v>
      </c>
      <c r="BH150" s="7" t="s">
        <v>382</v>
      </c>
      <c r="BI150" s="7" t="s">
        <v>382</v>
      </c>
      <c r="BJ150" s="7" t="s">
        <v>382</v>
      </c>
      <c r="BK150" s="7" t="s">
        <v>3334</v>
      </c>
      <c r="BL150" s="7" t="s">
        <v>382</v>
      </c>
      <c r="BM150" s="7" t="s">
        <v>7539</v>
      </c>
      <c r="BN150" s="7" t="s">
        <v>382</v>
      </c>
      <c r="BO150" s="7" t="s">
        <v>382</v>
      </c>
      <c r="BP150" s="7" t="s">
        <v>5804</v>
      </c>
      <c r="BQ150" s="7" t="s">
        <v>663</v>
      </c>
      <c r="BR150" s="7" t="s">
        <v>219</v>
      </c>
      <c r="BS150" s="7" t="s">
        <v>554</v>
      </c>
      <c r="BT150" s="7"/>
      <c r="BU150" s="8"/>
    </row>
    <row r="151" spans="1:73" ht="71.25">
      <c r="A151" s="9">
        <v>1762</v>
      </c>
      <c r="B151" s="10">
        <v>45677</v>
      </c>
      <c r="C151" s="11" t="s">
        <v>7540</v>
      </c>
      <c r="D151" s="10">
        <v>24011</v>
      </c>
      <c r="E151" s="29">
        <f ca="1">_xlfn.DAYS(NOW(),Tabella3[[#This Row],[Data di Nascita]])/365.25</f>
        <v>59.854893908282001</v>
      </c>
      <c r="F151" s="11" t="s">
        <v>7541</v>
      </c>
      <c r="G151" s="11" t="s">
        <v>7542</v>
      </c>
      <c r="H151" s="11" t="s">
        <v>3279</v>
      </c>
      <c r="I151" s="11" t="s">
        <v>3362</v>
      </c>
      <c r="J151" s="11" t="s">
        <v>297</v>
      </c>
      <c r="K151" s="18"/>
      <c r="L151" s="18"/>
      <c r="M151" s="18"/>
      <c r="N151" s="18"/>
      <c r="O151" s="18"/>
      <c r="P151" s="18"/>
      <c r="Q151" s="18"/>
      <c r="R151" s="18"/>
      <c r="S151" s="18"/>
      <c r="T151" s="11" t="s">
        <v>7543</v>
      </c>
      <c r="U151" s="18">
        <v>5</v>
      </c>
      <c r="V151" s="18">
        <v>1</v>
      </c>
      <c r="W151" s="18"/>
      <c r="X151" s="11" t="s">
        <v>7544</v>
      </c>
      <c r="Y151" s="18"/>
      <c r="Z151" s="18"/>
      <c r="AA151" s="18"/>
      <c r="AB151" s="18"/>
      <c r="AC151" s="18"/>
      <c r="AD151" s="11" t="s">
        <v>8</v>
      </c>
      <c r="AE151" s="18"/>
      <c r="AF151" s="18"/>
      <c r="AG151" s="18"/>
      <c r="AH151" s="18"/>
      <c r="AI151" s="18"/>
      <c r="AJ151" s="11" t="s">
        <v>194</v>
      </c>
      <c r="AK151" s="17">
        <v>1</v>
      </c>
      <c r="AL151" s="11" t="s">
        <v>8</v>
      </c>
      <c r="AM151" s="18"/>
      <c r="AN151" s="11" t="s">
        <v>7545</v>
      </c>
      <c r="AO151" s="17">
        <v>1</v>
      </c>
      <c r="AP151" s="18"/>
      <c r="AQ151" s="11" t="s">
        <v>8</v>
      </c>
      <c r="AR151" s="17">
        <v>1</v>
      </c>
      <c r="AS151" s="11" t="s">
        <v>8</v>
      </c>
      <c r="AT151" s="17">
        <v>1</v>
      </c>
      <c r="AU151" s="18"/>
      <c r="AV151" s="11" t="s">
        <v>8</v>
      </c>
      <c r="AW151" s="18"/>
      <c r="AX151" s="18"/>
      <c r="AY151" s="11" t="s">
        <v>8</v>
      </c>
      <c r="AZ151" s="11" t="s">
        <v>8</v>
      </c>
      <c r="BA151" s="11" t="s">
        <v>8</v>
      </c>
      <c r="BB151" s="11" t="s">
        <v>7546</v>
      </c>
      <c r="BC151" s="11" t="s">
        <v>7547</v>
      </c>
      <c r="BD151" s="11" t="s">
        <v>7548</v>
      </c>
      <c r="BE151" s="11" t="s">
        <v>8</v>
      </c>
      <c r="BF151" s="11"/>
      <c r="BG151" s="11" t="s">
        <v>7549</v>
      </c>
      <c r="BH151" s="11" t="s">
        <v>28</v>
      </c>
      <c r="BI151" s="11" t="s">
        <v>7550</v>
      </c>
      <c r="BJ151" s="11" t="s">
        <v>8</v>
      </c>
      <c r="BK151" s="11" t="s">
        <v>8</v>
      </c>
      <c r="BL151" s="11" t="s">
        <v>8</v>
      </c>
      <c r="BM151" s="11" t="s">
        <v>3385</v>
      </c>
      <c r="BN151" s="11" t="s">
        <v>28</v>
      </c>
      <c r="BO151" s="11" t="s">
        <v>28</v>
      </c>
      <c r="BP151" s="11" t="s">
        <v>5804</v>
      </c>
      <c r="BQ151" s="11" t="s">
        <v>7551</v>
      </c>
      <c r="BR151" s="11" t="s">
        <v>37</v>
      </c>
      <c r="BS151" s="11" t="s">
        <v>2424</v>
      </c>
      <c r="BT151" s="11" t="s">
        <v>7552</v>
      </c>
      <c r="BU151" s="12"/>
    </row>
    <row r="152" spans="1:73" ht="71.25">
      <c r="A152" s="5">
        <v>1771</v>
      </c>
      <c r="B152" s="6">
        <v>45680</v>
      </c>
      <c r="C152" s="7" t="s">
        <v>7553</v>
      </c>
      <c r="D152" s="6">
        <v>29456</v>
      </c>
      <c r="E152" s="29">
        <f ca="1">_xlfn.DAYS(NOW(),Tabella3[[#This Row],[Data di Nascita]])/365.25</f>
        <v>44.947296372347708</v>
      </c>
      <c r="F152" s="7" t="s">
        <v>7554</v>
      </c>
      <c r="G152" s="7" t="s">
        <v>7555</v>
      </c>
      <c r="H152" s="7" t="s">
        <v>3279</v>
      </c>
      <c r="I152" s="7" t="s">
        <v>618</v>
      </c>
      <c r="J152" s="7" t="s">
        <v>904</v>
      </c>
      <c r="K152" s="17"/>
      <c r="L152" s="17"/>
      <c r="M152" s="17"/>
      <c r="N152" s="17"/>
      <c r="O152" s="17">
        <v>1</v>
      </c>
      <c r="P152" s="17"/>
      <c r="Q152" s="17"/>
      <c r="R152" s="17"/>
      <c r="S152" s="17"/>
      <c r="T152" s="7" t="s">
        <v>5795</v>
      </c>
      <c r="U152" s="17"/>
      <c r="V152" s="17"/>
      <c r="W152" s="17">
        <v>1</v>
      </c>
      <c r="X152" s="7" t="s">
        <v>195</v>
      </c>
      <c r="Y152" s="17"/>
      <c r="Z152" s="17"/>
      <c r="AA152" s="17"/>
      <c r="AB152" s="17">
        <v>1</v>
      </c>
      <c r="AC152" s="17"/>
      <c r="AD152" s="7" t="s">
        <v>7556</v>
      </c>
      <c r="AE152" s="17"/>
      <c r="AF152" s="17">
        <v>1</v>
      </c>
      <c r="AG152" s="17"/>
      <c r="AH152" s="17"/>
      <c r="AI152" s="17"/>
      <c r="AJ152" s="7" t="s">
        <v>195</v>
      </c>
      <c r="AK152" s="17"/>
      <c r="AL152" s="7" t="s">
        <v>381</v>
      </c>
      <c r="AM152" s="17">
        <v>1</v>
      </c>
      <c r="AN152" s="7" t="s">
        <v>195</v>
      </c>
      <c r="AO152" s="17">
        <v>1</v>
      </c>
      <c r="AP152" s="17"/>
      <c r="AQ152" s="7" t="s">
        <v>195</v>
      </c>
      <c r="AR152" s="17">
        <v>1</v>
      </c>
      <c r="AS152" s="7" t="s">
        <v>195</v>
      </c>
      <c r="AT152" s="17">
        <v>1</v>
      </c>
      <c r="AU152" s="17"/>
      <c r="AV152" s="7" t="s">
        <v>195</v>
      </c>
      <c r="AW152" s="17"/>
      <c r="AX152" s="17"/>
      <c r="AY152" s="7" t="s">
        <v>195</v>
      </c>
      <c r="AZ152" s="7" t="s">
        <v>195</v>
      </c>
      <c r="BA152" s="7" t="s">
        <v>195</v>
      </c>
      <c r="BB152" s="7" t="s">
        <v>7557</v>
      </c>
      <c r="BC152" s="7" t="s">
        <v>7558</v>
      </c>
      <c r="BD152" s="7" t="s">
        <v>7559</v>
      </c>
      <c r="BE152" s="7" t="s">
        <v>195</v>
      </c>
      <c r="BF152" s="7"/>
      <c r="BG152" s="7" t="s">
        <v>7560</v>
      </c>
      <c r="BH152" s="7" t="s">
        <v>28</v>
      </c>
      <c r="BI152" s="7" t="s">
        <v>195</v>
      </c>
      <c r="BJ152" s="7" t="s">
        <v>195</v>
      </c>
      <c r="BK152" s="7" t="s">
        <v>8</v>
      </c>
      <c r="BL152" s="7" t="s">
        <v>7561</v>
      </c>
      <c r="BM152" s="7" t="s">
        <v>7562</v>
      </c>
      <c r="BN152" s="7" t="s">
        <v>47</v>
      </c>
      <c r="BO152" s="7" t="s">
        <v>3356</v>
      </c>
      <c r="BP152" s="7" t="s">
        <v>5804</v>
      </c>
      <c r="BQ152" s="7" t="s">
        <v>1301</v>
      </c>
      <c r="BR152" s="7" t="s">
        <v>71</v>
      </c>
      <c r="BS152" s="7" t="s">
        <v>105</v>
      </c>
      <c r="BT152" s="7" t="s">
        <v>3426</v>
      </c>
      <c r="BU152" s="8"/>
    </row>
    <row r="153" spans="1:73" ht="128.25">
      <c r="A153" s="9">
        <v>1772</v>
      </c>
      <c r="B153" s="10">
        <v>45680</v>
      </c>
      <c r="C153" s="11" t="s">
        <v>7563</v>
      </c>
      <c r="D153" s="10">
        <v>24561</v>
      </c>
      <c r="E153" s="29">
        <f ca="1">_xlfn.DAYS(NOW(),Tabella3[[#This Row],[Data di Nascita]])/365.25</f>
        <v>58.349075975359341</v>
      </c>
      <c r="F153" s="11" t="s">
        <v>7564</v>
      </c>
      <c r="G153" s="11" t="s">
        <v>7565</v>
      </c>
      <c r="H153" s="11" t="s">
        <v>3329</v>
      </c>
      <c r="I153" s="11" t="s">
        <v>618</v>
      </c>
      <c r="J153" s="11" t="s">
        <v>7566</v>
      </c>
      <c r="K153" s="18"/>
      <c r="L153" s="18">
        <v>1</v>
      </c>
      <c r="M153" s="18"/>
      <c r="N153" s="18"/>
      <c r="O153" s="18"/>
      <c r="P153" s="18"/>
      <c r="Q153" s="18"/>
      <c r="R153" s="18"/>
      <c r="S153" s="18"/>
      <c r="T153" s="11" t="s">
        <v>7567</v>
      </c>
      <c r="U153" s="18"/>
      <c r="V153" s="18"/>
      <c r="W153" s="18">
        <v>1</v>
      </c>
      <c r="X153" s="11" t="s">
        <v>272</v>
      </c>
      <c r="Y153" s="18"/>
      <c r="Z153" s="18"/>
      <c r="AA153" s="18">
        <v>1</v>
      </c>
      <c r="AB153" s="18"/>
      <c r="AC153" s="18"/>
      <c r="AD153" s="11" t="s">
        <v>309</v>
      </c>
      <c r="AE153" s="18"/>
      <c r="AF153" s="18"/>
      <c r="AG153" s="18"/>
      <c r="AH153" s="18"/>
      <c r="AI153" s="18"/>
      <c r="AJ153" s="11" t="s">
        <v>194</v>
      </c>
      <c r="AK153" s="17">
        <v>1</v>
      </c>
      <c r="AL153" s="11" t="s">
        <v>195</v>
      </c>
      <c r="AM153" s="18"/>
      <c r="AN153" s="11" t="s">
        <v>195</v>
      </c>
      <c r="AO153" s="17">
        <v>1</v>
      </c>
      <c r="AP153" s="18"/>
      <c r="AQ153" s="11" t="s">
        <v>195</v>
      </c>
      <c r="AR153" s="17">
        <v>1</v>
      </c>
      <c r="AS153" s="11" t="s">
        <v>195</v>
      </c>
      <c r="AT153" s="17">
        <v>1</v>
      </c>
      <c r="AU153" s="18"/>
      <c r="AV153" s="11" t="s">
        <v>195</v>
      </c>
      <c r="AW153" s="18"/>
      <c r="AX153" s="18"/>
      <c r="AY153" s="11" t="s">
        <v>195</v>
      </c>
      <c r="AZ153" s="11" t="s">
        <v>195</v>
      </c>
      <c r="BA153" s="11" t="s">
        <v>195</v>
      </c>
      <c r="BB153" s="11" t="s">
        <v>195</v>
      </c>
      <c r="BC153" s="11" t="s">
        <v>195</v>
      </c>
      <c r="BD153" s="11" t="s">
        <v>7568</v>
      </c>
      <c r="BE153" s="11" t="s">
        <v>195</v>
      </c>
      <c r="BF153" s="11"/>
      <c r="BG153" s="11" t="s">
        <v>195</v>
      </c>
      <c r="BH153" s="11" t="s">
        <v>195</v>
      </c>
      <c r="BI153" s="11" t="s">
        <v>195</v>
      </c>
      <c r="BJ153" s="11" t="s">
        <v>195</v>
      </c>
      <c r="BK153" s="11" t="s">
        <v>7569</v>
      </c>
      <c r="BL153" s="11" t="s">
        <v>195</v>
      </c>
      <c r="BM153" s="11" t="s">
        <v>5321</v>
      </c>
      <c r="BN153" s="11" t="s">
        <v>195</v>
      </c>
      <c r="BO153" s="11" t="s">
        <v>7570</v>
      </c>
      <c r="BP153" s="11" t="s">
        <v>4975</v>
      </c>
      <c r="BQ153" s="11" t="s">
        <v>70</v>
      </c>
      <c r="BR153" s="11" t="s">
        <v>71</v>
      </c>
      <c r="BS153" s="11" t="s">
        <v>508</v>
      </c>
      <c r="BT153" s="11" t="s">
        <v>7571</v>
      </c>
      <c r="BU153" s="12"/>
    </row>
    <row r="154" spans="1:73" ht="71.25">
      <c r="A154" s="5">
        <v>1776</v>
      </c>
      <c r="B154" s="6">
        <v>45684</v>
      </c>
      <c r="C154" s="7" t="s">
        <v>7572</v>
      </c>
      <c r="D154" s="6">
        <v>19018</v>
      </c>
      <c r="E154" s="29">
        <f ca="1">_xlfn.DAYS(NOW(),Tabella3[[#This Row],[Data di Nascita]])/365.25</f>
        <v>73.524982888432575</v>
      </c>
      <c r="F154" s="7" t="s">
        <v>7573</v>
      </c>
      <c r="G154" s="7" t="s">
        <v>7574</v>
      </c>
      <c r="H154" s="7" t="s">
        <v>3279</v>
      </c>
      <c r="I154" s="7" t="s">
        <v>618</v>
      </c>
      <c r="J154" s="7" t="s">
        <v>2058</v>
      </c>
      <c r="K154" s="17">
        <v>1</v>
      </c>
      <c r="L154" s="17"/>
      <c r="M154" s="17"/>
      <c r="N154" s="17"/>
      <c r="O154" s="17"/>
      <c r="P154" s="17"/>
      <c r="Q154" s="17"/>
      <c r="R154" s="17"/>
      <c r="S154" s="17"/>
      <c r="T154" s="7" t="s">
        <v>7575</v>
      </c>
      <c r="U154" s="17">
        <v>1</v>
      </c>
      <c r="V154" s="17">
        <v>1</v>
      </c>
      <c r="W154" s="17"/>
      <c r="X154" s="7" t="s">
        <v>25</v>
      </c>
      <c r="Y154" s="17"/>
      <c r="Z154" s="17"/>
      <c r="AA154" s="17"/>
      <c r="AB154" s="17">
        <v>1</v>
      </c>
      <c r="AC154" s="17"/>
      <c r="AD154" s="7" t="s">
        <v>7576</v>
      </c>
      <c r="AE154" s="17"/>
      <c r="AF154" s="17"/>
      <c r="AG154" s="17"/>
      <c r="AH154" s="17"/>
      <c r="AI154" s="17"/>
      <c r="AJ154" s="7" t="s">
        <v>194</v>
      </c>
      <c r="AK154" s="17">
        <v>1</v>
      </c>
      <c r="AL154" s="7" t="s">
        <v>28</v>
      </c>
      <c r="AM154" s="17">
        <v>1</v>
      </c>
      <c r="AN154" s="7" t="s">
        <v>8</v>
      </c>
      <c r="AO154" s="17">
        <v>1</v>
      </c>
      <c r="AP154" s="17"/>
      <c r="AQ154" s="7" t="s">
        <v>8</v>
      </c>
      <c r="AR154" s="17">
        <v>1</v>
      </c>
      <c r="AS154" s="7" t="s">
        <v>28</v>
      </c>
      <c r="AT154" s="17"/>
      <c r="AU154" s="17"/>
      <c r="AV154" s="7" t="s">
        <v>8</v>
      </c>
      <c r="AW154" s="17"/>
      <c r="AX154" s="17"/>
      <c r="AY154" s="7" t="s">
        <v>8</v>
      </c>
      <c r="AZ154" s="7" t="s">
        <v>28</v>
      </c>
      <c r="BA154" s="7" t="s">
        <v>8</v>
      </c>
      <c r="BB154" s="7" t="s">
        <v>8</v>
      </c>
      <c r="BC154" s="7" t="s">
        <v>8</v>
      </c>
      <c r="BD154" s="7" t="s">
        <v>7577</v>
      </c>
      <c r="BE154" s="7" t="s">
        <v>195</v>
      </c>
      <c r="BF154" s="7"/>
      <c r="BG154" s="7" t="s">
        <v>8</v>
      </c>
      <c r="BH154" s="7" t="s">
        <v>8</v>
      </c>
      <c r="BI154" s="7" t="s">
        <v>8</v>
      </c>
      <c r="BJ154" s="7" t="s">
        <v>8</v>
      </c>
      <c r="BK154" s="7" t="s">
        <v>3334</v>
      </c>
      <c r="BL154" s="7" t="s">
        <v>8</v>
      </c>
      <c r="BM154" s="7" t="s">
        <v>8</v>
      </c>
      <c r="BN154" s="7" t="s">
        <v>34</v>
      </c>
      <c r="BO154" s="7" t="s">
        <v>8</v>
      </c>
      <c r="BP154" s="7" t="s">
        <v>4975</v>
      </c>
      <c r="BQ154" s="7" t="s">
        <v>507</v>
      </c>
      <c r="BR154" s="7" t="s">
        <v>37</v>
      </c>
      <c r="BS154" s="7" t="s">
        <v>72</v>
      </c>
      <c r="BT154" s="7" t="s">
        <v>3426</v>
      </c>
      <c r="BU154" s="8"/>
    </row>
    <row r="155" spans="1:73" ht="242.25">
      <c r="A155" s="9">
        <v>1799</v>
      </c>
      <c r="B155" s="10">
        <v>45694</v>
      </c>
      <c r="C155" s="11" t="s">
        <v>7578</v>
      </c>
      <c r="D155" s="10">
        <v>31988</v>
      </c>
      <c r="E155" s="29">
        <f ca="1">_xlfn.DAYS(NOW(),Tabella3[[#This Row],[Data di Nascita]])/365.25</f>
        <v>38.015058179329223</v>
      </c>
      <c r="F155" s="11" t="s">
        <v>7579</v>
      </c>
      <c r="G155" s="11" t="s">
        <v>7580</v>
      </c>
      <c r="H155" s="11" t="s">
        <v>3453</v>
      </c>
      <c r="I155" s="11" t="s">
        <v>211</v>
      </c>
      <c r="J155" s="11" t="s">
        <v>7581</v>
      </c>
      <c r="K155" s="18"/>
      <c r="L155" s="18"/>
      <c r="M155" s="18"/>
      <c r="N155" s="18"/>
      <c r="O155" s="18"/>
      <c r="P155" s="18"/>
      <c r="Q155" s="18"/>
      <c r="R155" s="18"/>
      <c r="S155" s="18"/>
      <c r="T155" s="11" t="s">
        <v>7582</v>
      </c>
      <c r="U155" s="18">
        <v>15</v>
      </c>
      <c r="V155" s="18"/>
      <c r="W155" s="18"/>
      <c r="X155" s="11" t="s">
        <v>195</v>
      </c>
      <c r="Y155" s="18"/>
      <c r="Z155" s="18"/>
      <c r="AA155" s="18"/>
      <c r="AB155" s="18">
        <v>1</v>
      </c>
      <c r="AC155" s="18"/>
      <c r="AD155" s="11" t="s">
        <v>309</v>
      </c>
      <c r="AE155" s="18"/>
      <c r="AF155" s="18"/>
      <c r="AG155" s="18"/>
      <c r="AH155" s="18"/>
      <c r="AI155" s="18"/>
      <c r="AJ155" s="11" t="s">
        <v>195</v>
      </c>
      <c r="AK155" s="18"/>
      <c r="AL155" s="11" t="s">
        <v>516</v>
      </c>
      <c r="AM155" s="17">
        <v>1</v>
      </c>
      <c r="AN155" s="11" t="s">
        <v>195</v>
      </c>
      <c r="AO155" s="17">
        <v>1</v>
      </c>
      <c r="AP155" s="18"/>
      <c r="AQ155" s="11" t="s">
        <v>195</v>
      </c>
      <c r="AR155" s="17">
        <v>1</v>
      </c>
      <c r="AS155" s="11" t="s">
        <v>195</v>
      </c>
      <c r="AT155" s="17">
        <v>1</v>
      </c>
      <c r="AU155" s="18"/>
      <c r="AV155" s="11" t="s">
        <v>195</v>
      </c>
      <c r="AW155" s="18"/>
      <c r="AX155" s="18"/>
      <c r="AY155" s="11" t="s">
        <v>195</v>
      </c>
      <c r="AZ155" s="11" t="s">
        <v>516</v>
      </c>
      <c r="BA155" s="11" t="s">
        <v>195</v>
      </c>
      <c r="BB155" s="11" t="s">
        <v>195</v>
      </c>
      <c r="BC155" s="11"/>
      <c r="BD155" s="11" t="s">
        <v>7583</v>
      </c>
      <c r="BE155" s="11" t="s">
        <v>195</v>
      </c>
      <c r="BF155" s="11"/>
      <c r="BG155" s="11" t="s">
        <v>309</v>
      </c>
      <c r="BH155" s="11" t="s">
        <v>516</v>
      </c>
      <c r="BI155" s="11" t="s">
        <v>516</v>
      </c>
      <c r="BJ155" s="11" t="s">
        <v>195</v>
      </c>
      <c r="BK155" s="11" t="s">
        <v>195</v>
      </c>
      <c r="BL155" s="11" t="s">
        <v>195</v>
      </c>
      <c r="BM155" s="11" t="s">
        <v>2585</v>
      </c>
      <c r="BN155" s="11" t="s">
        <v>309</v>
      </c>
      <c r="BO155" s="11" t="s">
        <v>7584</v>
      </c>
      <c r="BP155" s="11" t="s">
        <v>5804</v>
      </c>
      <c r="BQ155" s="11" t="s">
        <v>7585</v>
      </c>
      <c r="BR155" s="11" t="s">
        <v>153</v>
      </c>
      <c r="BS155" s="11" t="s">
        <v>7586</v>
      </c>
      <c r="BT155" s="11" t="s">
        <v>3483</v>
      </c>
      <c r="BU155" s="12"/>
    </row>
    <row r="156" spans="1:73" ht="256.5">
      <c r="A156" s="5">
        <v>1800</v>
      </c>
      <c r="B156" s="6">
        <v>45694</v>
      </c>
      <c r="C156" s="7" t="s">
        <v>7587</v>
      </c>
      <c r="D156" s="6">
        <v>25824</v>
      </c>
      <c r="E156" s="29">
        <f ca="1">_xlfn.DAYS(NOW(),Tabella3[[#This Row],[Data di Nascita]])/365.25</f>
        <v>54.891170431211499</v>
      </c>
      <c r="F156" s="7" t="s">
        <v>7588</v>
      </c>
      <c r="G156" s="7" t="s">
        <v>7589</v>
      </c>
      <c r="H156" s="7" t="s">
        <v>3453</v>
      </c>
      <c r="I156" s="7" t="s">
        <v>7590</v>
      </c>
      <c r="J156" s="7" t="s">
        <v>7591</v>
      </c>
      <c r="K156" s="17"/>
      <c r="L156" s="17"/>
      <c r="M156" s="17"/>
      <c r="N156" s="17"/>
      <c r="O156" s="17"/>
      <c r="P156" s="17"/>
      <c r="Q156" s="17"/>
      <c r="R156" s="17"/>
      <c r="S156" s="17"/>
      <c r="T156" s="7" t="s">
        <v>7592</v>
      </c>
      <c r="U156" s="17">
        <v>40</v>
      </c>
      <c r="V156" s="17">
        <v>1</v>
      </c>
      <c r="W156" s="17"/>
      <c r="X156" s="7" t="s">
        <v>3193</v>
      </c>
      <c r="Y156" s="17"/>
      <c r="Z156" s="17"/>
      <c r="AA156" s="17"/>
      <c r="AB156" s="17"/>
      <c r="AC156" s="17"/>
      <c r="AD156" s="7" t="s">
        <v>7593</v>
      </c>
      <c r="AE156" s="17"/>
      <c r="AF156" s="17"/>
      <c r="AG156" s="17"/>
      <c r="AH156" s="17"/>
      <c r="AI156" s="17"/>
      <c r="AJ156" s="7" t="s">
        <v>195</v>
      </c>
      <c r="AK156" s="17"/>
      <c r="AL156" s="7" t="s">
        <v>195</v>
      </c>
      <c r="AM156" s="17"/>
      <c r="AN156" s="7" t="s">
        <v>195</v>
      </c>
      <c r="AO156" s="17">
        <v>1</v>
      </c>
      <c r="AP156" s="17"/>
      <c r="AQ156" s="7" t="s">
        <v>195</v>
      </c>
      <c r="AR156" s="17">
        <v>1</v>
      </c>
      <c r="AS156" s="7" t="s">
        <v>195</v>
      </c>
      <c r="AT156" s="17">
        <v>1</v>
      </c>
      <c r="AU156" s="17"/>
      <c r="AV156" s="7" t="s">
        <v>195</v>
      </c>
      <c r="AW156" s="17"/>
      <c r="AX156" s="17"/>
      <c r="AY156" s="7" t="s">
        <v>195</v>
      </c>
      <c r="AZ156" s="7" t="s">
        <v>195</v>
      </c>
      <c r="BA156" s="7" t="s">
        <v>516</v>
      </c>
      <c r="BB156" s="7" t="s">
        <v>195</v>
      </c>
      <c r="BC156" s="7"/>
      <c r="BD156" s="7" t="s">
        <v>7594</v>
      </c>
      <c r="BE156" s="7" t="s">
        <v>195</v>
      </c>
      <c r="BF156" s="7"/>
      <c r="BG156" s="7" t="s">
        <v>7595</v>
      </c>
      <c r="BH156" s="7" t="s">
        <v>516</v>
      </c>
      <c r="BI156" s="7" t="s">
        <v>2365</v>
      </c>
      <c r="BJ156" s="7" t="s">
        <v>2365</v>
      </c>
      <c r="BK156" s="7" t="s">
        <v>195</v>
      </c>
      <c r="BL156" s="7" t="s">
        <v>516</v>
      </c>
      <c r="BM156" s="7" t="s">
        <v>7596</v>
      </c>
      <c r="BN156" s="7" t="s">
        <v>3448</v>
      </c>
      <c r="BO156" s="7" t="s">
        <v>516</v>
      </c>
      <c r="BP156" s="7" t="s">
        <v>4975</v>
      </c>
      <c r="BQ156" s="7" t="s">
        <v>6492</v>
      </c>
      <c r="BR156" s="7" t="s">
        <v>355</v>
      </c>
      <c r="BS156" s="7" t="s">
        <v>105</v>
      </c>
      <c r="BT156" s="7" t="s">
        <v>7597</v>
      </c>
      <c r="BU156" s="8" t="s">
        <v>3453</v>
      </c>
    </row>
    <row r="157" spans="1:73" ht="228">
      <c r="A157" s="9">
        <v>1810</v>
      </c>
      <c r="B157" s="10">
        <v>45701</v>
      </c>
      <c r="C157" s="11" t="s">
        <v>7598</v>
      </c>
      <c r="D157" s="10">
        <v>31476</v>
      </c>
      <c r="E157" s="29">
        <f ca="1">_xlfn.DAYS(NOW(),Tabella3[[#This Row],[Data di Nascita]])/365.25</f>
        <v>39.416837782340863</v>
      </c>
      <c r="F157" s="11" t="s">
        <v>7599</v>
      </c>
      <c r="G157" s="11" t="s">
        <v>7600</v>
      </c>
      <c r="H157" s="11" t="s">
        <v>3453</v>
      </c>
      <c r="I157" s="11" t="s">
        <v>211</v>
      </c>
      <c r="J157" s="11" t="s">
        <v>3173</v>
      </c>
      <c r="K157" s="18"/>
      <c r="L157" s="18"/>
      <c r="M157" s="18"/>
      <c r="N157" s="18"/>
      <c r="O157" s="18"/>
      <c r="P157" s="18"/>
      <c r="Q157" s="18"/>
      <c r="R157" s="18"/>
      <c r="S157" s="18"/>
      <c r="T157" s="11" t="s">
        <v>7032</v>
      </c>
      <c r="U157" s="18"/>
      <c r="V157" s="18"/>
      <c r="W157" s="18">
        <v>1</v>
      </c>
      <c r="X157" s="11" t="s">
        <v>195</v>
      </c>
      <c r="Y157" s="18"/>
      <c r="Z157" s="18"/>
      <c r="AA157" s="18"/>
      <c r="AB157" s="18">
        <v>1</v>
      </c>
      <c r="AC157" s="18"/>
      <c r="AD157" s="11" t="s">
        <v>3331</v>
      </c>
      <c r="AE157" s="18"/>
      <c r="AF157" s="18">
        <v>1</v>
      </c>
      <c r="AG157" s="18"/>
      <c r="AH157" s="18"/>
      <c r="AI157" s="18"/>
      <c r="AJ157" s="11" t="s">
        <v>516</v>
      </c>
      <c r="AK157" s="17">
        <v>1</v>
      </c>
      <c r="AL157" s="11" t="s">
        <v>195</v>
      </c>
      <c r="AM157" s="18"/>
      <c r="AN157" s="11" t="s">
        <v>195</v>
      </c>
      <c r="AO157" s="17">
        <v>1</v>
      </c>
      <c r="AP157" s="18"/>
      <c r="AQ157" s="11" t="s">
        <v>195</v>
      </c>
      <c r="AR157" s="17">
        <v>1</v>
      </c>
      <c r="AS157" s="11" t="s">
        <v>195</v>
      </c>
      <c r="AT157" s="17">
        <v>1</v>
      </c>
      <c r="AU157" s="18"/>
      <c r="AV157" s="11" t="s">
        <v>195</v>
      </c>
      <c r="AW157" s="18"/>
      <c r="AX157" s="18"/>
      <c r="AY157" s="11" t="s">
        <v>195</v>
      </c>
      <c r="AZ157" s="11" t="s">
        <v>195</v>
      </c>
      <c r="BA157" s="11" t="s">
        <v>195</v>
      </c>
      <c r="BB157" s="11" t="s">
        <v>195</v>
      </c>
      <c r="BC157" s="11" t="s">
        <v>7601</v>
      </c>
      <c r="BD157" s="11" t="s">
        <v>380</v>
      </c>
      <c r="BE157" s="11" t="s">
        <v>195</v>
      </c>
      <c r="BF157" s="11"/>
      <c r="BG157" s="11" t="s">
        <v>195</v>
      </c>
      <c r="BH157" s="11" t="s">
        <v>195</v>
      </c>
      <c r="BI157" s="11" t="s">
        <v>195</v>
      </c>
      <c r="BJ157" s="11" t="s">
        <v>195</v>
      </c>
      <c r="BK157" s="11" t="s">
        <v>195</v>
      </c>
      <c r="BL157" s="11" t="s">
        <v>516</v>
      </c>
      <c r="BM157" s="11" t="s">
        <v>3590</v>
      </c>
      <c r="BN157" s="11" t="s">
        <v>3448</v>
      </c>
      <c r="BO157" s="11" t="s">
        <v>195</v>
      </c>
      <c r="BP157" s="11" t="s">
        <v>4975</v>
      </c>
      <c r="BQ157" s="11" t="s">
        <v>7514</v>
      </c>
      <c r="BR157" s="11" t="s">
        <v>153</v>
      </c>
      <c r="BS157" s="11" t="s">
        <v>184</v>
      </c>
      <c r="BT157" s="11" t="s">
        <v>7602</v>
      </c>
      <c r="BU157" s="12" t="s">
        <v>3453</v>
      </c>
    </row>
    <row r="158" spans="1:73" ht="85.5">
      <c r="A158" s="5">
        <v>1822</v>
      </c>
      <c r="B158" s="6">
        <v>45707</v>
      </c>
      <c r="C158" s="7" t="s">
        <v>7603</v>
      </c>
      <c r="D158" s="6">
        <v>20841</v>
      </c>
      <c r="E158" s="29">
        <f ca="1">_xlfn.DAYS(NOW(),Tabella3[[#This Row],[Data di Nascita]])/365.25</f>
        <v>68.533880903490754</v>
      </c>
      <c r="F158" s="7" t="s">
        <v>7604</v>
      </c>
      <c r="G158" s="7" t="s">
        <v>7605</v>
      </c>
      <c r="H158" s="7" t="s">
        <v>3453</v>
      </c>
      <c r="I158" s="7" t="s">
        <v>3604</v>
      </c>
      <c r="J158" s="7" t="s">
        <v>7606</v>
      </c>
      <c r="K158" s="17">
        <v>1</v>
      </c>
      <c r="L158" s="17"/>
      <c r="M158" s="17"/>
      <c r="N158" s="17"/>
      <c r="O158" s="17"/>
      <c r="P158" s="17"/>
      <c r="Q158" s="17"/>
      <c r="R158" s="17"/>
      <c r="S158" s="17"/>
      <c r="T158" s="7" t="s">
        <v>7607</v>
      </c>
      <c r="U158" s="17">
        <v>15</v>
      </c>
      <c r="V158" s="17">
        <v>1</v>
      </c>
      <c r="W158" s="17"/>
      <c r="X158" s="7" t="s">
        <v>195</v>
      </c>
      <c r="Y158" s="17"/>
      <c r="Z158" s="17"/>
      <c r="AA158" s="17"/>
      <c r="AB158" s="17">
        <v>1</v>
      </c>
      <c r="AC158" s="17"/>
      <c r="AD158" s="7" t="s">
        <v>7608</v>
      </c>
      <c r="AE158" s="17"/>
      <c r="AF158" s="17">
        <v>1</v>
      </c>
      <c r="AG158" s="17">
        <v>1</v>
      </c>
      <c r="AH158" s="17"/>
      <c r="AI158" s="17"/>
      <c r="AJ158" s="7" t="s">
        <v>195</v>
      </c>
      <c r="AK158" s="17"/>
      <c r="AL158" s="7" t="s">
        <v>195</v>
      </c>
      <c r="AM158" s="17"/>
      <c r="AN158" s="7" t="s">
        <v>195</v>
      </c>
      <c r="AO158" s="17">
        <v>1</v>
      </c>
      <c r="AP158" s="17"/>
      <c r="AQ158" s="7" t="s">
        <v>195</v>
      </c>
      <c r="AR158" s="17">
        <v>1</v>
      </c>
      <c r="AS158" s="7" t="s">
        <v>516</v>
      </c>
      <c r="AT158" s="17"/>
      <c r="AU158" s="17"/>
      <c r="AV158" s="7" t="s">
        <v>195</v>
      </c>
      <c r="AW158" s="17"/>
      <c r="AX158" s="17"/>
      <c r="AY158" s="7" t="s">
        <v>195</v>
      </c>
      <c r="AZ158" s="7" t="s">
        <v>195</v>
      </c>
      <c r="BA158" s="7" t="s">
        <v>516</v>
      </c>
      <c r="BB158" s="7" t="s">
        <v>7557</v>
      </c>
      <c r="BC158" s="7"/>
      <c r="BD158" s="7" t="s">
        <v>7609</v>
      </c>
      <c r="BE158" s="7" t="s">
        <v>195</v>
      </c>
      <c r="BF158" s="7"/>
      <c r="BG158" s="7" t="s">
        <v>7610</v>
      </c>
      <c r="BH158" s="7" t="s">
        <v>195</v>
      </c>
      <c r="BI158" s="7" t="s">
        <v>516</v>
      </c>
      <c r="BJ158" s="7" t="s">
        <v>195</v>
      </c>
      <c r="BK158" s="7" t="s">
        <v>516</v>
      </c>
      <c r="BL158" s="7" t="s">
        <v>516</v>
      </c>
      <c r="BM158" s="7" t="s">
        <v>2936</v>
      </c>
      <c r="BN158" s="7" t="s">
        <v>516</v>
      </c>
      <c r="BO158" s="7" t="s">
        <v>516</v>
      </c>
      <c r="BP158" s="7" t="s">
        <v>5804</v>
      </c>
      <c r="BQ158" s="7" t="s">
        <v>7611</v>
      </c>
      <c r="BR158" s="7" t="s">
        <v>355</v>
      </c>
      <c r="BS158" s="7" t="s">
        <v>169</v>
      </c>
      <c r="BT158" s="7" t="s">
        <v>7612</v>
      </c>
      <c r="BU158" s="8" t="s">
        <v>3453</v>
      </c>
    </row>
    <row r="159" spans="1:73" ht="57">
      <c r="A159" s="9">
        <v>1851</v>
      </c>
      <c r="B159" s="10">
        <v>45721</v>
      </c>
      <c r="C159" s="11" t="s">
        <v>7613</v>
      </c>
      <c r="D159" s="10">
        <v>21927</v>
      </c>
      <c r="E159" s="29">
        <f ca="1">_xlfn.DAYS(NOW(),Tabella3[[#This Row],[Data di Nascita]])/365.25</f>
        <v>65.560574948665291</v>
      </c>
      <c r="F159" s="11" t="s">
        <v>7614</v>
      </c>
      <c r="G159" s="11" t="s">
        <v>7615</v>
      </c>
      <c r="H159" s="11" t="s">
        <v>3453</v>
      </c>
      <c r="I159" s="11" t="s">
        <v>2238</v>
      </c>
      <c r="J159" s="11" t="s">
        <v>7616</v>
      </c>
      <c r="K159" s="17">
        <v>1</v>
      </c>
      <c r="L159" s="18"/>
      <c r="M159" s="18"/>
      <c r="N159" s="18"/>
      <c r="O159" s="18"/>
      <c r="P159" s="18"/>
      <c r="Q159" s="18">
        <v>1</v>
      </c>
      <c r="R159" s="18"/>
      <c r="S159" s="18"/>
      <c r="T159" s="11" t="s">
        <v>7329</v>
      </c>
      <c r="U159" s="18"/>
      <c r="V159" s="18"/>
      <c r="W159" s="18">
        <v>1</v>
      </c>
      <c r="X159" s="11" t="s">
        <v>195</v>
      </c>
      <c r="Y159" s="18"/>
      <c r="Z159" s="18"/>
      <c r="AA159" s="18"/>
      <c r="AB159" s="18">
        <v>1</v>
      </c>
      <c r="AC159" s="18"/>
      <c r="AD159" s="11" t="s">
        <v>309</v>
      </c>
      <c r="AE159" s="18"/>
      <c r="AF159" s="18"/>
      <c r="AG159" s="18"/>
      <c r="AH159" s="18"/>
      <c r="AI159" s="18"/>
      <c r="AJ159" s="11" t="s">
        <v>516</v>
      </c>
      <c r="AK159" s="17">
        <v>1</v>
      </c>
      <c r="AL159" s="11" t="s">
        <v>195</v>
      </c>
      <c r="AM159" s="18"/>
      <c r="AN159" s="11" t="s">
        <v>195</v>
      </c>
      <c r="AO159" s="17">
        <v>1</v>
      </c>
      <c r="AP159" s="18"/>
      <c r="AQ159" s="11" t="s">
        <v>195</v>
      </c>
      <c r="AR159" s="17">
        <v>1</v>
      </c>
      <c r="AS159" s="11" t="s">
        <v>195</v>
      </c>
      <c r="AT159" s="17">
        <v>1</v>
      </c>
      <c r="AU159" s="18"/>
      <c r="AV159" s="11" t="s">
        <v>195</v>
      </c>
      <c r="AW159" s="18"/>
      <c r="AX159" s="18"/>
      <c r="AY159" s="11" t="s">
        <v>516</v>
      </c>
      <c r="AZ159" s="11" t="s">
        <v>516</v>
      </c>
      <c r="BA159" s="11" t="s">
        <v>516</v>
      </c>
      <c r="BB159" s="11" t="s">
        <v>195</v>
      </c>
      <c r="BC159" s="11"/>
      <c r="BD159" s="11" t="s">
        <v>7617</v>
      </c>
      <c r="BE159" s="11" t="s">
        <v>195</v>
      </c>
      <c r="BF159" s="11"/>
      <c r="BG159" s="11" t="s">
        <v>516</v>
      </c>
      <c r="BH159" s="11" t="s">
        <v>516</v>
      </c>
      <c r="BI159" s="11" t="s">
        <v>516</v>
      </c>
      <c r="BJ159" s="11" t="s">
        <v>195</v>
      </c>
      <c r="BK159" s="11" t="s">
        <v>195</v>
      </c>
      <c r="BL159" s="11" t="s">
        <v>516</v>
      </c>
      <c r="BM159" s="11" t="s">
        <v>7618</v>
      </c>
      <c r="BN159" s="11" t="s">
        <v>516</v>
      </c>
      <c r="BO159" s="11" t="s">
        <v>516</v>
      </c>
      <c r="BP159" s="11" t="s">
        <v>4975</v>
      </c>
      <c r="BQ159" s="11" t="s">
        <v>1703</v>
      </c>
      <c r="BR159" s="11" t="s">
        <v>7619</v>
      </c>
      <c r="BS159" s="11" t="s">
        <v>1443</v>
      </c>
      <c r="BT159" s="11" t="s">
        <v>2514</v>
      </c>
      <c r="BU159" s="12" t="s">
        <v>3453</v>
      </c>
    </row>
    <row r="160" spans="1:73" ht="71.25">
      <c r="A160" s="5">
        <v>1870</v>
      </c>
      <c r="B160" s="6">
        <v>45733</v>
      </c>
      <c r="C160" s="7" t="s">
        <v>7620</v>
      </c>
      <c r="D160" s="6">
        <v>28684</v>
      </c>
      <c r="E160" s="29">
        <f ca="1">_xlfn.DAYS(NOW(),Tabella3[[#This Row],[Data di Nascita]])/365.25</f>
        <v>47.060917180013689</v>
      </c>
      <c r="F160" s="7" t="s">
        <v>7621</v>
      </c>
      <c r="G160" s="7" t="s">
        <v>7622</v>
      </c>
      <c r="H160" s="7" t="s">
        <v>439</v>
      </c>
      <c r="I160" s="7" t="s">
        <v>618</v>
      </c>
      <c r="J160" s="7" t="s">
        <v>3330</v>
      </c>
      <c r="K160" s="17"/>
      <c r="L160" s="17"/>
      <c r="M160" s="17"/>
      <c r="N160" s="17"/>
      <c r="O160" s="17"/>
      <c r="P160" s="17"/>
      <c r="Q160" s="17"/>
      <c r="R160" s="17"/>
      <c r="S160" s="17"/>
      <c r="T160" s="7" t="s">
        <v>7623</v>
      </c>
      <c r="U160" s="17">
        <v>15</v>
      </c>
      <c r="V160" s="17">
        <v>1</v>
      </c>
      <c r="W160" s="17"/>
      <c r="X160" s="7" t="s">
        <v>272</v>
      </c>
      <c r="Y160" s="17"/>
      <c r="Z160" s="17"/>
      <c r="AA160" s="17">
        <v>1</v>
      </c>
      <c r="AB160" s="17"/>
      <c r="AC160" s="17"/>
      <c r="AD160" s="7" t="s">
        <v>25</v>
      </c>
      <c r="AE160" s="17"/>
      <c r="AF160" s="17"/>
      <c r="AG160" s="17"/>
      <c r="AH160" s="17"/>
      <c r="AI160" s="17"/>
      <c r="AJ160" s="7" t="s">
        <v>28</v>
      </c>
      <c r="AK160" s="17">
        <v>1</v>
      </c>
      <c r="AL160" s="7" t="s">
        <v>8</v>
      </c>
      <c r="AM160" s="17"/>
      <c r="AN160" s="7" t="s">
        <v>8</v>
      </c>
      <c r="AO160" s="17">
        <v>1</v>
      </c>
      <c r="AP160" s="17"/>
      <c r="AQ160" s="7" t="s">
        <v>8</v>
      </c>
      <c r="AR160" s="17">
        <v>1</v>
      </c>
      <c r="AS160" s="7" t="s">
        <v>8</v>
      </c>
      <c r="AT160" s="17">
        <v>1</v>
      </c>
      <c r="AU160" s="17"/>
      <c r="AV160" s="7" t="s">
        <v>8</v>
      </c>
      <c r="AW160" s="17"/>
      <c r="AX160" s="17"/>
      <c r="AY160" s="7" t="s">
        <v>8</v>
      </c>
      <c r="AZ160" s="7" t="s">
        <v>8</v>
      </c>
      <c r="BA160" s="7" t="s">
        <v>8</v>
      </c>
      <c r="BB160" s="7" t="s">
        <v>8</v>
      </c>
      <c r="BC160" s="7" t="s">
        <v>7624</v>
      </c>
      <c r="BD160" s="7" t="s">
        <v>8</v>
      </c>
      <c r="BE160" s="7" t="s">
        <v>8</v>
      </c>
      <c r="BF160" s="7"/>
      <c r="BG160" s="7" t="s">
        <v>7625</v>
      </c>
      <c r="BH160" s="7" t="s">
        <v>7626</v>
      </c>
      <c r="BI160" s="7" t="s">
        <v>8</v>
      </c>
      <c r="BJ160" s="7" t="s">
        <v>8</v>
      </c>
      <c r="BK160" s="7" t="s">
        <v>3334</v>
      </c>
      <c r="BL160" s="7" t="s">
        <v>25</v>
      </c>
      <c r="BM160" s="7" t="s">
        <v>5276</v>
      </c>
      <c r="BN160" s="7" t="s">
        <v>34</v>
      </c>
      <c r="BO160" s="7" t="s">
        <v>25</v>
      </c>
      <c r="BP160" s="7" t="s">
        <v>5804</v>
      </c>
      <c r="BQ160" s="7" t="s">
        <v>7627</v>
      </c>
      <c r="BR160" s="7" t="s">
        <v>37</v>
      </c>
      <c r="BS160" s="7" t="s">
        <v>355</v>
      </c>
      <c r="BT160" s="7" t="s">
        <v>3434</v>
      </c>
      <c r="BU160" s="8"/>
    </row>
    <row r="161" spans="1:73" ht="42.75">
      <c r="A161" s="9">
        <v>1872</v>
      </c>
      <c r="B161" s="10">
        <v>45734</v>
      </c>
      <c r="C161" s="11" t="s">
        <v>7628</v>
      </c>
      <c r="D161" s="10">
        <v>28694</v>
      </c>
      <c r="E161" s="29">
        <f ca="1">_xlfn.DAYS(NOW(),Tabella3[[#This Row],[Data di Nascita]])/365.25</f>
        <v>47.03353867214237</v>
      </c>
      <c r="F161" s="11" t="s">
        <v>7629</v>
      </c>
      <c r="G161" s="11" t="s">
        <v>7630</v>
      </c>
      <c r="H161" s="11" t="s">
        <v>3453</v>
      </c>
      <c r="I161" s="11" t="s">
        <v>211</v>
      </c>
      <c r="J161" s="11" t="s">
        <v>7631</v>
      </c>
      <c r="K161" s="18"/>
      <c r="L161" s="18"/>
      <c r="M161" s="18">
        <v>1</v>
      </c>
      <c r="N161" s="18"/>
      <c r="O161" s="18"/>
      <c r="P161" s="18"/>
      <c r="Q161" s="18"/>
      <c r="R161" s="18"/>
      <c r="S161" s="18"/>
      <c r="T161" s="11" t="s">
        <v>3535</v>
      </c>
      <c r="U161" s="18">
        <v>30</v>
      </c>
      <c r="V161" s="18"/>
      <c r="W161" s="18"/>
      <c r="X161" s="11" t="s">
        <v>7632</v>
      </c>
      <c r="Y161" s="18"/>
      <c r="Z161" s="18"/>
      <c r="AA161" s="18"/>
      <c r="AB161" s="18"/>
      <c r="AC161" s="18"/>
      <c r="AD161" s="11" t="s">
        <v>7633</v>
      </c>
      <c r="AE161" s="18"/>
      <c r="AF161" s="18">
        <v>1</v>
      </c>
      <c r="AG161" s="18"/>
      <c r="AH161" s="18"/>
      <c r="AI161" s="18"/>
      <c r="AJ161" s="11" t="s">
        <v>516</v>
      </c>
      <c r="AK161" s="17">
        <v>1</v>
      </c>
      <c r="AL161" s="11" t="s">
        <v>195</v>
      </c>
      <c r="AM161" s="18"/>
      <c r="AN161" s="11" t="s">
        <v>195</v>
      </c>
      <c r="AO161" s="17">
        <v>1</v>
      </c>
      <c r="AP161" s="18"/>
      <c r="AQ161" s="11" t="s">
        <v>195</v>
      </c>
      <c r="AR161" s="17">
        <v>1</v>
      </c>
      <c r="AS161" s="11" t="s">
        <v>195</v>
      </c>
      <c r="AT161" s="17">
        <v>1</v>
      </c>
      <c r="AU161" s="18"/>
      <c r="AV161" s="11" t="s">
        <v>195</v>
      </c>
      <c r="AW161" s="18"/>
      <c r="AX161" s="18"/>
      <c r="AY161" s="11" t="s">
        <v>195</v>
      </c>
      <c r="AZ161" s="11" t="s">
        <v>195</v>
      </c>
      <c r="BA161" s="11" t="s">
        <v>195</v>
      </c>
      <c r="BB161" s="11" t="s">
        <v>195</v>
      </c>
      <c r="BC161" s="11"/>
      <c r="BD161" s="11" t="s">
        <v>380</v>
      </c>
      <c r="BE161" s="11" t="s">
        <v>195</v>
      </c>
      <c r="BF161" s="11"/>
      <c r="BG161" s="11" t="s">
        <v>195</v>
      </c>
      <c r="BH161" s="11" t="s">
        <v>195</v>
      </c>
      <c r="BI161" s="11" t="s">
        <v>516</v>
      </c>
      <c r="BJ161" s="11" t="s">
        <v>195</v>
      </c>
      <c r="BK161" s="11" t="s">
        <v>516</v>
      </c>
      <c r="BL161" s="11" t="s">
        <v>195</v>
      </c>
      <c r="BM161" s="11" t="s">
        <v>2585</v>
      </c>
      <c r="BN161" s="11" t="s">
        <v>195</v>
      </c>
      <c r="BO161" s="11" t="s">
        <v>195</v>
      </c>
      <c r="BP161" s="11" t="s">
        <v>5804</v>
      </c>
      <c r="BQ161" s="11" t="s">
        <v>7634</v>
      </c>
      <c r="BR161" s="11" t="s">
        <v>389</v>
      </c>
      <c r="BS161" s="11" t="s">
        <v>1443</v>
      </c>
      <c r="BT161" s="11" t="s">
        <v>1165</v>
      </c>
      <c r="BU161" s="12" t="s">
        <v>3453</v>
      </c>
    </row>
    <row r="162" spans="1:73" ht="199.5">
      <c r="A162" s="5">
        <v>1889</v>
      </c>
      <c r="B162" s="6">
        <v>45742</v>
      </c>
      <c r="C162" s="7" t="s">
        <v>7635</v>
      </c>
      <c r="D162" s="6">
        <v>34673</v>
      </c>
      <c r="E162" s="29">
        <f ca="1">_xlfn.DAYS(NOW(),Tabella3[[#This Row],[Data di Nascita]])/365.25</f>
        <v>30.663928815879533</v>
      </c>
      <c r="F162" s="7" t="s">
        <v>7636</v>
      </c>
      <c r="G162" s="7" t="s">
        <v>7637</v>
      </c>
      <c r="H162" s="7" t="s">
        <v>3453</v>
      </c>
      <c r="I162" s="7" t="s">
        <v>7638</v>
      </c>
      <c r="J162" s="7" t="s">
        <v>7639</v>
      </c>
      <c r="K162" s="17"/>
      <c r="L162" s="17"/>
      <c r="M162" s="17"/>
      <c r="N162" s="18">
        <v>1</v>
      </c>
      <c r="O162" s="17"/>
      <c r="P162" s="17"/>
      <c r="Q162" s="17"/>
      <c r="R162" s="17"/>
      <c r="S162" s="17"/>
      <c r="T162" s="7" t="s">
        <v>7032</v>
      </c>
      <c r="U162" s="17"/>
      <c r="V162" s="17"/>
      <c r="W162" s="17">
        <v>1</v>
      </c>
      <c r="X162" s="7" t="s">
        <v>195</v>
      </c>
      <c r="Y162" s="17"/>
      <c r="Z162" s="17"/>
      <c r="AA162" s="17"/>
      <c r="AB162" s="17">
        <v>1</v>
      </c>
      <c r="AC162" s="17"/>
      <c r="AD162" s="7" t="s">
        <v>309</v>
      </c>
      <c r="AE162" s="17"/>
      <c r="AF162" s="17"/>
      <c r="AG162" s="17"/>
      <c r="AH162" s="17"/>
      <c r="AI162" s="17"/>
      <c r="AJ162" s="7" t="s">
        <v>516</v>
      </c>
      <c r="AK162" s="17">
        <v>1</v>
      </c>
      <c r="AL162" s="7" t="s">
        <v>195</v>
      </c>
      <c r="AM162" s="17"/>
      <c r="AN162" s="7" t="s">
        <v>195</v>
      </c>
      <c r="AO162" s="17">
        <v>1</v>
      </c>
      <c r="AP162" s="17"/>
      <c r="AQ162" s="7" t="s">
        <v>195</v>
      </c>
      <c r="AR162" s="17">
        <v>1</v>
      </c>
      <c r="AS162" s="7" t="s">
        <v>195</v>
      </c>
      <c r="AT162" s="17">
        <v>1</v>
      </c>
      <c r="AU162" s="17"/>
      <c r="AV162" s="7" t="s">
        <v>195</v>
      </c>
      <c r="AW162" s="17"/>
      <c r="AX162" s="17"/>
      <c r="AY162" s="7" t="s">
        <v>195</v>
      </c>
      <c r="AZ162" s="7" t="s">
        <v>195</v>
      </c>
      <c r="BA162" s="7" t="s">
        <v>195</v>
      </c>
      <c r="BB162" s="7" t="s">
        <v>195</v>
      </c>
      <c r="BC162" s="7" t="s">
        <v>3536</v>
      </c>
      <c r="BD162" s="7" t="s">
        <v>380</v>
      </c>
      <c r="BE162" s="7" t="s">
        <v>195</v>
      </c>
      <c r="BF162" s="7"/>
      <c r="BG162" s="7" t="s">
        <v>195</v>
      </c>
      <c r="BH162" s="7" t="s">
        <v>195</v>
      </c>
      <c r="BI162" s="7" t="s">
        <v>195</v>
      </c>
      <c r="BJ162" s="7" t="s">
        <v>195</v>
      </c>
      <c r="BK162" s="7" t="s">
        <v>195</v>
      </c>
      <c r="BL162" s="7" t="s">
        <v>195</v>
      </c>
      <c r="BM162" s="7" t="s">
        <v>3590</v>
      </c>
      <c r="BN162" s="7" t="s">
        <v>3448</v>
      </c>
      <c r="BO162" s="7" t="s">
        <v>195</v>
      </c>
      <c r="BP162" s="7" t="s">
        <v>4975</v>
      </c>
      <c r="BQ162" s="7" t="s">
        <v>2953</v>
      </c>
      <c r="BR162" s="7" t="s">
        <v>71</v>
      </c>
      <c r="BS162" s="7" t="s">
        <v>122</v>
      </c>
      <c r="BT162" s="7" t="s">
        <v>7640</v>
      </c>
      <c r="BU162" s="8" t="s">
        <v>3453</v>
      </c>
    </row>
    <row r="163" spans="1:73" ht="71.25">
      <c r="A163" s="9">
        <v>1898</v>
      </c>
      <c r="B163" s="10">
        <v>45744</v>
      </c>
      <c r="C163" s="11" t="s">
        <v>7641</v>
      </c>
      <c r="D163" s="10">
        <v>26134</v>
      </c>
      <c r="E163" s="29">
        <f ca="1">_xlfn.DAYS(NOW(),Tabella3[[#This Row],[Data di Nascita]])/365.25</f>
        <v>54.042436687200549</v>
      </c>
      <c r="F163" s="11" t="s">
        <v>7642</v>
      </c>
      <c r="G163" s="11" t="s">
        <v>7643</v>
      </c>
      <c r="H163" s="11" t="s">
        <v>3453</v>
      </c>
      <c r="I163" s="11" t="s">
        <v>211</v>
      </c>
      <c r="J163" s="11" t="s">
        <v>7644</v>
      </c>
      <c r="K163" s="18"/>
      <c r="L163" s="18"/>
      <c r="M163" s="18"/>
      <c r="N163" s="18">
        <v>1</v>
      </c>
      <c r="O163" s="18"/>
      <c r="P163" s="18"/>
      <c r="Q163" s="18"/>
      <c r="R163" s="18"/>
      <c r="S163" s="18"/>
      <c r="T163" s="11" t="s">
        <v>7329</v>
      </c>
      <c r="U163" s="18"/>
      <c r="V163" s="18"/>
      <c r="W163" s="18">
        <v>1</v>
      </c>
      <c r="X163" s="11" t="s">
        <v>195</v>
      </c>
      <c r="Y163" s="18"/>
      <c r="Z163" s="18"/>
      <c r="AA163" s="18"/>
      <c r="AB163" s="18">
        <v>1</v>
      </c>
      <c r="AC163" s="18"/>
      <c r="AD163" s="11" t="s">
        <v>7645</v>
      </c>
      <c r="AE163" s="18"/>
      <c r="AF163" s="18">
        <v>1</v>
      </c>
      <c r="AG163" s="18"/>
      <c r="AH163" s="18"/>
      <c r="AI163" s="18">
        <v>1</v>
      </c>
      <c r="AJ163" s="11" t="s">
        <v>516</v>
      </c>
      <c r="AK163" s="17">
        <v>1</v>
      </c>
      <c r="AL163" s="11" t="s">
        <v>516</v>
      </c>
      <c r="AM163" s="17">
        <v>1</v>
      </c>
      <c r="AN163" s="11" t="s">
        <v>195</v>
      </c>
      <c r="AO163" s="17">
        <v>1</v>
      </c>
      <c r="AP163" s="18"/>
      <c r="AQ163" s="11" t="s">
        <v>195</v>
      </c>
      <c r="AR163" s="17">
        <v>1</v>
      </c>
      <c r="AS163" s="11" t="s">
        <v>516</v>
      </c>
      <c r="AT163" s="18"/>
      <c r="AU163" s="18"/>
      <c r="AV163" s="11" t="s">
        <v>516</v>
      </c>
      <c r="AW163" s="18"/>
      <c r="AX163" s="18">
        <v>1</v>
      </c>
      <c r="AY163" s="11" t="s">
        <v>195</v>
      </c>
      <c r="AZ163" s="11" t="s">
        <v>195</v>
      </c>
      <c r="BA163" s="11" t="s">
        <v>516</v>
      </c>
      <c r="BB163" s="11" t="s">
        <v>7557</v>
      </c>
      <c r="BC163" s="11" t="s">
        <v>7646</v>
      </c>
      <c r="BD163" s="11" t="s">
        <v>7647</v>
      </c>
      <c r="BE163" s="11" t="s">
        <v>195</v>
      </c>
      <c r="BF163" s="11"/>
      <c r="BG163" s="11" t="s">
        <v>195</v>
      </c>
      <c r="BH163" s="11" t="s">
        <v>195</v>
      </c>
      <c r="BI163" s="11" t="s">
        <v>516</v>
      </c>
      <c r="BJ163" s="11" t="s">
        <v>195</v>
      </c>
      <c r="BK163" s="11" t="s">
        <v>516</v>
      </c>
      <c r="BL163" s="11" t="s">
        <v>516</v>
      </c>
      <c r="BM163" s="11" t="s">
        <v>195</v>
      </c>
      <c r="BN163" s="11" t="s">
        <v>516</v>
      </c>
      <c r="BO163" s="11" t="s">
        <v>195</v>
      </c>
      <c r="BP163" s="11" t="s">
        <v>5804</v>
      </c>
      <c r="BQ163" s="11" t="s">
        <v>7648</v>
      </c>
      <c r="BR163" s="11" t="s">
        <v>37</v>
      </c>
      <c r="BS163" s="11" t="s">
        <v>248</v>
      </c>
      <c r="BT163" s="11" t="s">
        <v>2514</v>
      </c>
      <c r="BU163" s="12" t="s">
        <v>3453</v>
      </c>
    </row>
    <row r="164" spans="1:73" ht="42.75">
      <c r="A164" s="70">
        <v>1921</v>
      </c>
      <c r="B164" s="69">
        <v>45755</v>
      </c>
      <c r="C164" s="71" t="s">
        <v>7649</v>
      </c>
      <c r="D164" s="69">
        <v>36595</v>
      </c>
      <c r="E164" s="29">
        <f ca="1">_xlfn.DAYS(NOW(),Tabella3[[#This Row],[Data di Nascita]])/365.25</f>
        <v>25.401779603011637</v>
      </c>
      <c r="F164" s="71" t="s">
        <v>7650</v>
      </c>
      <c r="G164" s="71" t="s">
        <v>7651</v>
      </c>
      <c r="H164" s="71" t="s">
        <v>3453</v>
      </c>
      <c r="I164" s="71" t="s">
        <v>211</v>
      </c>
      <c r="J164" s="71" t="s">
        <v>7652</v>
      </c>
      <c r="K164" s="27"/>
      <c r="L164" s="27"/>
      <c r="M164" s="27"/>
      <c r="N164" s="27"/>
      <c r="O164" s="27"/>
      <c r="P164" s="27">
        <v>1</v>
      </c>
      <c r="Q164" s="27"/>
      <c r="R164" s="27"/>
      <c r="S164" s="27"/>
      <c r="T164" s="71" t="s">
        <v>195</v>
      </c>
      <c r="U164" s="27"/>
      <c r="V164" s="27"/>
      <c r="W164" s="27">
        <v>1</v>
      </c>
      <c r="X164" s="71" t="s">
        <v>195</v>
      </c>
      <c r="Y164" s="27"/>
      <c r="Z164" s="27"/>
      <c r="AA164" s="27"/>
      <c r="AB164" s="27">
        <v>1</v>
      </c>
      <c r="AC164" s="27"/>
      <c r="AD164" s="71" t="s">
        <v>796</v>
      </c>
      <c r="AE164" s="27"/>
      <c r="AF164" s="27">
        <v>1</v>
      </c>
      <c r="AG164" s="27"/>
      <c r="AH164" s="27"/>
      <c r="AI164" s="27"/>
      <c r="AJ164" s="71" t="s">
        <v>195</v>
      </c>
      <c r="AK164" s="27"/>
      <c r="AL164" s="71" t="s">
        <v>195</v>
      </c>
      <c r="AM164" s="27"/>
      <c r="AN164" s="71" t="s">
        <v>195</v>
      </c>
      <c r="AO164" s="17">
        <v>1</v>
      </c>
      <c r="AP164" s="27"/>
      <c r="AQ164" s="71" t="s">
        <v>195</v>
      </c>
      <c r="AR164" s="17">
        <v>1</v>
      </c>
      <c r="AS164" s="71" t="s">
        <v>195</v>
      </c>
      <c r="AT164" s="17">
        <v>1</v>
      </c>
      <c r="AU164" s="27"/>
      <c r="AV164" s="71" t="s">
        <v>195</v>
      </c>
      <c r="AW164" s="27"/>
      <c r="AX164" s="27"/>
      <c r="AY164" s="71" t="s">
        <v>195</v>
      </c>
      <c r="AZ164" s="71" t="s">
        <v>195</v>
      </c>
      <c r="BA164" s="71" t="s">
        <v>2365</v>
      </c>
      <c r="BB164" s="71" t="s">
        <v>195</v>
      </c>
      <c r="BC164" s="71"/>
      <c r="BD164" s="71" t="s">
        <v>380</v>
      </c>
      <c r="BE164" s="71" t="s">
        <v>195</v>
      </c>
      <c r="BF164" s="71"/>
      <c r="BG164" s="71" t="s">
        <v>195</v>
      </c>
      <c r="BH164" s="71" t="s">
        <v>195</v>
      </c>
      <c r="BI164" s="71" t="s">
        <v>195</v>
      </c>
      <c r="BJ164" s="71" t="s">
        <v>195</v>
      </c>
      <c r="BK164" s="71" t="s">
        <v>195</v>
      </c>
      <c r="BL164" s="71" t="s">
        <v>516</v>
      </c>
      <c r="BM164" s="71" t="s">
        <v>195</v>
      </c>
      <c r="BN164" s="71" t="s">
        <v>195</v>
      </c>
      <c r="BO164" s="71" t="s">
        <v>195</v>
      </c>
      <c r="BP164" s="71" t="s">
        <v>5804</v>
      </c>
      <c r="BQ164" s="71" t="s">
        <v>7653</v>
      </c>
      <c r="BR164" s="71" t="s">
        <v>37</v>
      </c>
      <c r="BS164" s="71" t="s">
        <v>169</v>
      </c>
      <c r="BT164" s="71" t="s">
        <v>1165</v>
      </c>
      <c r="BU164" s="72" t="s">
        <v>3453</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8F44-8C35-4B04-B495-A37E6E810D78}">
  <dimension ref="A1:DA128"/>
  <sheetViews>
    <sheetView tabSelected="1" zoomScale="80" zoomScaleNormal="80" workbookViewId="0">
      <pane xSplit="4" topLeftCell="BJ1" activePane="topRight" state="frozen"/>
      <selection pane="topRight" activeCell="BK86" sqref="BK86"/>
    </sheetView>
  </sheetViews>
  <sheetFormatPr defaultColWidth="25" defaultRowHeight="14.25"/>
  <cols>
    <col min="1" max="1" width="6.125" style="50" bestFit="1" customWidth="1"/>
    <col min="2" max="2" width="12.75" style="50" bestFit="1" customWidth="1"/>
    <col min="3" max="3" width="25" style="50"/>
    <col min="4" max="4" width="14.5" style="50" bestFit="1" customWidth="1"/>
    <col min="5" max="5" width="15.5" style="50" bestFit="1" customWidth="1"/>
    <col min="6" max="6" width="20.75" style="50" bestFit="1" customWidth="1"/>
    <col min="7" max="7" width="24.5" style="50" bestFit="1" customWidth="1"/>
    <col min="8" max="8" width="38.375" style="50" bestFit="1" customWidth="1"/>
    <col min="9" max="9" width="24.625" style="50" bestFit="1" customWidth="1"/>
    <col min="10" max="10" width="29.375" style="50" bestFit="1" customWidth="1"/>
    <col min="11" max="11" width="12.625" style="50" bestFit="1" customWidth="1"/>
    <col min="12" max="12" width="24.625" style="50" bestFit="1" customWidth="1"/>
    <col min="13" max="13" width="25" style="50"/>
    <col min="14" max="14" width="24.125" style="50" bestFit="1" customWidth="1"/>
    <col min="15" max="15" width="22.375" style="53" bestFit="1" customWidth="1"/>
    <col min="16" max="16" width="26.125" style="53" bestFit="1" customWidth="1"/>
    <col min="17" max="17" width="24.25" style="50" bestFit="1" customWidth="1"/>
    <col min="18" max="18" width="25.75" style="50" bestFit="1" customWidth="1"/>
    <col min="19" max="19" width="38.25" style="50" bestFit="1" customWidth="1"/>
    <col min="20" max="20" width="36.625" style="50" bestFit="1" customWidth="1"/>
    <col min="21" max="21" width="26.625" style="50" bestFit="1" customWidth="1"/>
    <col min="22" max="23" width="26.625" style="50" customWidth="1"/>
    <col min="24" max="24" width="22.625" style="50" bestFit="1" customWidth="1"/>
    <col min="25" max="28" width="22.625" style="50" customWidth="1"/>
    <col min="29" max="29" width="28.875" style="50" bestFit="1" customWidth="1"/>
    <col min="30" max="34" width="28.875" style="50" customWidth="1"/>
    <col min="35" max="35" width="31.375" style="50" bestFit="1" customWidth="1"/>
    <col min="36" max="38" width="31.375" style="50" customWidth="1"/>
    <col min="39" max="39" width="26.5" style="50" bestFit="1" customWidth="1"/>
    <col min="40" max="40" width="26.5" style="50" customWidth="1"/>
    <col min="41" max="46" width="25" style="50"/>
    <col min="47" max="47" width="24.5" style="50" bestFit="1" customWidth="1"/>
    <col min="48" max="49" width="24.5" style="50" customWidth="1"/>
    <col min="50" max="50" width="32.375" style="50" bestFit="1" customWidth="1"/>
    <col min="51" max="51" width="23.125" style="50" bestFit="1" customWidth="1"/>
    <col min="52" max="52" width="23.75" style="50" bestFit="1" customWidth="1"/>
    <col min="53" max="53" width="23.75" style="50" customWidth="1"/>
    <col min="54" max="54" width="23.75" style="50" bestFit="1" customWidth="1"/>
    <col min="55" max="55" width="23.75" style="50" customWidth="1"/>
    <col min="56" max="56" width="24.5" style="50" bestFit="1" customWidth="1"/>
    <col min="57" max="57" width="24.5" style="50" customWidth="1"/>
    <col min="58" max="58" width="32" style="50" bestFit="1" customWidth="1"/>
    <col min="59" max="59" width="32" style="50" customWidth="1"/>
    <col min="60" max="60" width="25.625" style="50" bestFit="1" customWidth="1"/>
    <col min="61" max="61" width="25.625" style="50" customWidth="1"/>
    <col min="62" max="62" width="17.25" style="50" bestFit="1" customWidth="1"/>
    <col min="63" max="63" width="58.125" style="50" customWidth="1"/>
    <col min="64" max="69" width="13.25" style="50" customWidth="1"/>
    <col min="70" max="70" width="12.375" style="50" bestFit="1" customWidth="1"/>
    <col min="71" max="72" width="10.25" style="50" bestFit="1" customWidth="1"/>
    <col min="73" max="74" width="15" style="50" customWidth="1"/>
    <col min="75" max="76" width="11.625" style="50" customWidth="1"/>
    <col min="77" max="77" width="16.875" style="50" bestFit="1" customWidth="1"/>
    <col min="78" max="78" width="16.875" style="50" customWidth="1"/>
    <col min="79" max="79" width="8.375" style="50" customWidth="1"/>
    <col min="80" max="80" width="15.875" style="50" customWidth="1"/>
    <col min="81" max="81" width="8.625" style="50" bestFit="1" customWidth="1"/>
    <col min="82" max="82" width="8.625" style="50" customWidth="1"/>
    <col min="83" max="83" width="7.5" style="50" bestFit="1" customWidth="1"/>
    <col min="84" max="84" width="7.5" style="50" customWidth="1"/>
    <col min="85" max="85" width="14.125" style="50" bestFit="1" customWidth="1"/>
    <col min="86" max="86" width="9.75" style="50" bestFit="1" customWidth="1"/>
    <col min="87" max="87" width="6.5" style="50" bestFit="1" customWidth="1"/>
    <col min="88" max="88" width="27.125" style="50" bestFit="1" customWidth="1"/>
    <col min="89" max="89" width="36" style="50" bestFit="1" customWidth="1"/>
    <col min="90" max="90" width="29" style="50" bestFit="1" customWidth="1"/>
    <col min="91" max="94" width="29" style="50" customWidth="1"/>
    <col min="95" max="95" width="25" style="50"/>
    <col min="96" max="96" width="25.625" style="50" bestFit="1" customWidth="1"/>
    <col min="97" max="97" width="25.625" style="50" customWidth="1"/>
    <col min="98" max="98" width="25" style="50"/>
    <col min="99" max="99" width="15.625" style="50" bestFit="1" customWidth="1"/>
    <col min="100" max="100" width="15.25" style="50" bestFit="1" customWidth="1"/>
    <col min="101" max="102" width="25" style="50"/>
    <col min="103" max="103" width="29.75" style="50" bestFit="1" customWidth="1"/>
    <col min="104" max="104" width="39.5" style="50" bestFit="1" customWidth="1"/>
    <col min="105" max="16384" width="25" style="50"/>
  </cols>
  <sheetData>
    <row r="1" spans="1:105" ht="75.75" thickBot="1">
      <c r="A1" s="2" t="s">
        <v>3843</v>
      </c>
      <c r="B1" s="3" t="s">
        <v>3641</v>
      </c>
      <c r="C1" s="3" t="s">
        <v>3642</v>
      </c>
      <c r="D1" s="3" t="s">
        <v>3844</v>
      </c>
      <c r="E1" s="3" t="s">
        <v>5407</v>
      </c>
      <c r="F1" s="3" t="s">
        <v>3845</v>
      </c>
      <c r="G1" s="3" t="s">
        <v>3645</v>
      </c>
      <c r="H1" s="3" t="s">
        <v>3646</v>
      </c>
      <c r="I1" s="3" t="s">
        <v>3647</v>
      </c>
      <c r="J1" s="3" t="s">
        <v>3846</v>
      </c>
      <c r="K1" s="3" t="s">
        <v>5408</v>
      </c>
      <c r="L1" s="3" t="s">
        <v>3847</v>
      </c>
      <c r="M1" s="3" t="s">
        <v>3848</v>
      </c>
      <c r="N1" s="3" t="s">
        <v>3664</v>
      </c>
      <c r="O1" s="3" t="s">
        <v>3832</v>
      </c>
      <c r="P1" s="3" t="s">
        <v>5409</v>
      </c>
      <c r="Q1" s="3" t="s">
        <v>3849</v>
      </c>
      <c r="R1" s="3" t="s">
        <v>3850</v>
      </c>
      <c r="S1" s="3" t="s">
        <v>3851</v>
      </c>
      <c r="T1" s="3" t="s">
        <v>3852</v>
      </c>
      <c r="U1" s="3" t="s">
        <v>5411</v>
      </c>
      <c r="V1" s="3" t="s">
        <v>5442</v>
      </c>
      <c r="W1" s="3" t="s">
        <v>439</v>
      </c>
      <c r="X1" s="3" t="s">
        <v>5410</v>
      </c>
      <c r="Y1" s="3" t="s">
        <v>5426</v>
      </c>
      <c r="Z1" s="3" t="s">
        <v>5427</v>
      </c>
      <c r="AA1" s="3" t="s">
        <v>5428</v>
      </c>
      <c r="AB1" s="3" t="s">
        <v>5429</v>
      </c>
      <c r="AC1" s="3" t="s">
        <v>2874</v>
      </c>
      <c r="AD1" s="3" t="s">
        <v>5479</v>
      </c>
      <c r="AE1" s="3" t="s">
        <v>5475</v>
      </c>
      <c r="AF1" s="3" t="s">
        <v>5476</v>
      </c>
      <c r="AG1" s="3" t="s">
        <v>5481</v>
      </c>
      <c r="AH1" s="3" t="s">
        <v>5480</v>
      </c>
      <c r="AI1" s="3" t="s">
        <v>3853</v>
      </c>
      <c r="AJ1" s="3" t="s">
        <v>5482</v>
      </c>
      <c r="AK1" s="3" t="s">
        <v>5514</v>
      </c>
      <c r="AL1" s="3" t="s">
        <v>5515</v>
      </c>
      <c r="AM1" s="3" t="s">
        <v>3854</v>
      </c>
      <c r="AN1" s="3" t="s">
        <v>5520</v>
      </c>
      <c r="AO1" s="3" t="s">
        <v>3667</v>
      </c>
      <c r="AP1" s="3" t="s">
        <v>5521</v>
      </c>
      <c r="AQ1" s="3" t="s">
        <v>5522</v>
      </c>
      <c r="AR1" s="3" t="s">
        <v>5574</v>
      </c>
      <c r="AS1" s="3" t="s">
        <v>5575</v>
      </c>
      <c r="AT1" s="3" t="s">
        <v>5576</v>
      </c>
      <c r="AU1" s="3" t="s">
        <v>3668</v>
      </c>
      <c r="AV1" s="3" t="s">
        <v>5579</v>
      </c>
      <c r="AW1" s="3" t="s">
        <v>5581</v>
      </c>
      <c r="AX1" s="3" t="s">
        <v>3855</v>
      </c>
      <c r="AY1" s="3" t="s">
        <v>5582</v>
      </c>
      <c r="AZ1" s="3" t="s">
        <v>3856</v>
      </c>
      <c r="BA1" s="3" t="s">
        <v>5585</v>
      </c>
      <c r="BB1" s="3" t="s">
        <v>3671</v>
      </c>
      <c r="BC1" s="3" t="s">
        <v>3840</v>
      </c>
      <c r="BD1" s="3" t="s">
        <v>3857</v>
      </c>
      <c r="BE1" s="3" t="s">
        <v>5588</v>
      </c>
      <c r="BF1" s="3" t="s">
        <v>3858</v>
      </c>
      <c r="BG1" s="3" t="s">
        <v>3841</v>
      </c>
      <c r="BH1" s="3" t="s">
        <v>3673</v>
      </c>
      <c r="BI1" s="3" t="s">
        <v>3842</v>
      </c>
      <c r="BJ1" s="3" t="s">
        <v>3674</v>
      </c>
      <c r="BK1" s="3" t="s">
        <v>3859</v>
      </c>
      <c r="BL1" s="3" t="s">
        <v>5728</v>
      </c>
      <c r="BM1" s="3" t="s">
        <v>5723</v>
      </c>
      <c r="BN1" s="3" t="s">
        <v>5726</v>
      </c>
      <c r="BO1" s="3" t="s">
        <v>5727</v>
      </c>
      <c r="BP1" s="3" t="s">
        <v>5722</v>
      </c>
      <c r="BQ1" s="3" t="s">
        <v>5725</v>
      </c>
      <c r="BR1" s="3" t="s">
        <v>859</v>
      </c>
      <c r="BS1" s="3" t="s">
        <v>5712</v>
      </c>
      <c r="BT1" s="3" t="s">
        <v>3799</v>
      </c>
      <c r="BU1" s="3" t="s">
        <v>1063</v>
      </c>
      <c r="BV1" s="3" t="s">
        <v>5714</v>
      </c>
      <c r="BW1" s="3" t="s">
        <v>5721</v>
      </c>
      <c r="BX1" s="3" t="s">
        <v>5713</v>
      </c>
      <c r="BY1" s="3" t="s">
        <v>5724</v>
      </c>
      <c r="BZ1" s="3" t="s">
        <v>5718</v>
      </c>
      <c r="CA1" s="3" t="s">
        <v>5715</v>
      </c>
      <c r="CB1" s="3" t="s">
        <v>5716</v>
      </c>
      <c r="CC1" s="3" t="s">
        <v>5717</v>
      </c>
      <c r="CD1" s="3" t="s">
        <v>5719</v>
      </c>
      <c r="CE1" s="3" t="s">
        <v>5720</v>
      </c>
      <c r="CF1" s="3" t="s">
        <v>5729</v>
      </c>
      <c r="CG1" s="3" t="s">
        <v>3675</v>
      </c>
      <c r="CH1" s="3" t="s">
        <v>3860</v>
      </c>
      <c r="CI1" s="3" t="s">
        <v>3861</v>
      </c>
      <c r="CJ1" s="3" t="s">
        <v>3677</v>
      </c>
      <c r="CK1" s="3" t="s">
        <v>3862</v>
      </c>
      <c r="CL1" s="3" t="s">
        <v>3863</v>
      </c>
      <c r="CM1" s="3" t="s">
        <v>3864</v>
      </c>
      <c r="CN1" s="3" t="s">
        <v>5707</v>
      </c>
      <c r="CO1" s="3" t="s">
        <v>5708</v>
      </c>
      <c r="CP1" s="3" t="s">
        <v>5709</v>
      </c>
      <c r="CQ1" s="3" t="s">
        <v>5710</v>
      </c>
      <c r="CR1" s="3" t="s">
        <v>3865</v>
      </c>
      <c r="CS1" s="3" t="s">
        <v>3866</v>
      </c>
      <c r="CT1" s="3" t="s">
        <v>5711</v>
      </c>
      <c r="CU1" s="3" t="s">
        <v>3867</v>
      </c>
      <c r="CV1" s="3" t="s">
        <v>3868</v>
      </c>
      <c r="CW1" s="3" t="s">
        <v>3869</v>
      </c>
      <c r="CX1" s="3" t="s">
        <v>1080</v>
      </c>
      <c r="CY1" s="3" t="s">
        <v>5706</v>
      </c>
      <c r="CZ1" s="3" t="s">
        <v>3870</v>
      </c>
      <c r="DA1" s="4" t="s">
        <v>3871</v>
      </c>
    </row>
    <row r="2" spans="1:105" ht="129" thickTop="1">
      <c r="A2" s="5">
        <v>33</v>
      </c>
      <c r="B2" s="6">
        <v>44228</v>
      </c>
      <c r="C2" s="7" t="s">
        <v>3872</v>
      </c>
      <c r="D2" s="6">
        <v>18205</v>
      </c>
      <c r="E2" s="51">
        <f ca="1">_xlfn.DAYS(NOW(),Tabella2[[#This Row],[Data Nascita]])/365.25</f>
        <v>75.750855578370974</v>
      </c>
      <c r="F2" s="7" t="s">
        <v>3873</v>
      </c>
      <c r="G2" s="7" t="s">
        <v>3874</v>
      </c>
      <c r="H2" s="7" t="s">
        <v>3875</v>
      </c>
      <c r="I2" s="7" t="s">
        <v>3876</v>
      </c>
      <c r="J2" s="7" t="s">
        <v>3877</v>
      </c>
      <c r="K2" s="7"/>
      <c r="L2" s="7"/>
      <c r="M2" s="7"/>
      <c r="N2" s="7"/>
      <c r="O2" s="17" t="s">
        <v>5412</v>
      </c>
      <c r="P2" s="17">
        <v>0</v>
      </c>
      <c r="Q2" s="7" t="s">
        <v>8</v>
      </c>
      <c r="R2" s="7" t="s">
        <v>8</v>
      </c>
      <c r="S2" s="7" t="s">
        <v>3878</v>
      </c>
      <c r="T2" s="7" t="s">
        <v>5412</v>
      </c>
      <c r="U2" s="17">
        <f>IF(ISERROR(SEARCH("null",Tabella2[[#This Row],[Patologia respiratoria nota]],1)),0,1)</f>
        <v>1</v>
      </c>
      <c r="V2" s="17">
        <f>IF(ISERROR(SEARCH("MUTA",Tabella2[[#This Row],[Patologia respiratoria nota]],1)),0,1)</f>
        <v>0</v>
      </c>
      <c r="W2" s="17">
        <f>IF(ISERROR(SEARCH("OSAS",Tabella2[[#This Row],[Patologia respiratoria nota]],1)),0,1)</f>
        <v>0</v>
      </c>
      <c r="X2" s="17">
        <f>IF(ISERROR(SEARCH("BPCO",Tabella2[[#This Row],[Patologia respiratoria nota]],1)),0,1)</f>
        <v>0</v>
      </c>
      <c r="Y2" s="17">
        <f>IF(ISERROR(SEARCH("ASMA",Tabella2[[#This Row],[Patologia respiratoria nota]],1)),0,1)</f>
        <v>0</v>
      </c>
      <c r="Z2" s="17">
        <f>IF(ISERROR(SEARCH("ASMA, OSAS",Tabella2[[#This Row],[Patologia respiratoria nota]],1)),0,1)</f>
        <v>0</v>
      </c>
      <c r="AA2" s="17">
        <f>IF(ISERROR(SEARCH("BPCO, OSAS",Tabella2[[#This Row],[Patologia respiratoria nota]],1)),0,1)</f>
        <v>0</v>
      </c>
      <c r="AB2" s="17">
        <f>IF(ISERROR(SEARCH("ASMA, BPCO, OSAS",Tabella2[[#This Row],[Patologia respiratoria nota]],1)),0,1)</f>
        <v>0</v>
      </c>
      <c r="AC2" s="15" t="s">
        <v>657</v>
      </c>
      <c r="AD2" s="19">
        <f>IF(ISERROR(SEARCH("NDD",Tabella2[[#This Row],[Tosse]],1)),0,1)</f>
        <v>0</v>
      </c>
      <c r="AE2" s="19">
        <f>IF(ISERROR(SEARCH("NEGA",Tabella2[[#This Row],[Tosse]],1)),0,1)</f>
        <v>1</v>
      </c>
      <c r="AF2" s="19">
        <f>IF(ISERROR(SEARCH("OCCASIONALMENTE",Tabella2[[#This Row],[Tosse]],1)),0,1)</f>
        <v>0</v>
      </c>
      <c r="AG2" s="19">
        <f>IF(ISERROR(SEARCH("RARAMENTE",Tabella2[[#This Row],[Tosse]],1)),0,1)</f>
        <v>0</v>
      </c>
      <c r="AH2" s="19">
        <f>IF(ISERROR(SEARCH("SI",Tabella2[[#This Row],[Tosse]],1)),0,1)</f>
        <v>0</v>
      </c>
      <c r="AI2" s="7" t="s">
        <v>657</v>
      </c>
      <c r="AJ2" s="17">
        <f>IF(ISERROR(SEARCH("SI",Tabella2[[#This Row],[Espettorazione]],1)),0,1)</f>
        <v>0</v>
      </c>
      <c r="AK2" s="17">
        <f>IF(ISERROR(SEARCH("NEGA",Tabella2[[#This Row],[Espettorazione]],1)),0,1)</f>
        <v>1</v>
      </c>
      <c r="AL2" s="17">
        <f>IF(ISERROR(SEARCH("NDD",Tabella2[[#This Row],[Espettorazione]],1)),0,1)</f>
        <v>0</v>
      </c>
      <c r="AM2" s="7" t="s">
        <v>7</v>
      </c>
      <c r="AN2" s="17">
        <v>1</v>
      </c>
      <c r="AO2" s="7" t="s">
        <v>7</v>
      </c>
      <c r="AP2" s="17">
        <f>IF(ISERROR(SEARCH("NEGA",Tabella2[[#This Row],[Dispnea da sforzo]],1)),0,1)</f>
        <v>0</v>
      </c>
      <c r="AQ2" s="17">
        <f>IF(ISERROR(SEARCH("NEGA",Tabella2[[#This Row],[Dispnea da sforzo]],1)),1,0)</f>
        <v>1</v>
      </c>
      <c r="AR2" s="17">
        <f>IF(ISERROR(SEARCH("LIEVI",Tabella2[[#This Row],[Dispnea da sforzo]],1)),0,1)</f>
        <v>0</v>
      </c>
      <c r="AS2" s="17">
        <f>IF(ISERROR(SEARCH("MODERATI",Tabella2[[#This Row],[Dispnea da sforzo]],1)),0,1)</f>
        <v>0</v>
      </c>
      <c r="AT2" s="17">
        <f>IF(ISERROR(SEARCH("INTENSI",Tabella2[[#This Row],[Dispnea da sforzo]],1)),0,1)</f>
        <v>0</v>
      </c>
      <c r="AU2" s="7" t="s">
        <v>657</v>
      </c>
      <c r="AV2" s="17">
        <f>IF(ISERROR(SEARCH("NEGA",Tabella2[[#This Row],[Dispnea a riposo]],1)),0,1)</f>
        <v>1</v>
      </c>
      <c r="AW2" s="17">
        <f>IF(ISERROR(SEARCH("NDD",Tabella2[[#This Row],[Dispnea a riposo]],1)),0,1)</f>
        <v>0</v>
      </c>
      <c r="AX2" s="7" t="s">
        <v>657</v>
      </c>
      <c r="AY2" s="17">
        <v>0</v>
      </c>
      <c r="AZ2" s="7" t="s">
        <v>34</v>
      </c>
      <c r="BA2" s="17">
        <v>1</v>
      </c>
      <c r="BB2" s="7" t="s">
        <v>134</v>
      </c>
      <c r="BC2" s="17">
        <v>1</v>
      </c>
      <c r="BD2" s="7" t="s">
        <v>3879</v>
      </c>
      <c r="BE2" s="17">
        <v>1</v>
      </c>
      <c r="BF2" s="7" t="s">
        <v>7</v>
      </c>
      <c r="BG2" s="17">
        <v>1</v>
      </c>
      <c r="BH2" s="7" t="s">
        <v>657</v>
      </c>
      <c r="BI2" s="17">
        <v>0</v>
      </c>
      <c r="BJ2" s="7">
        <v>17</v>
      </c>
      <c r="BK2" s="7" t="s">
        <v>3880</v>
      </c>
      <c r="BL2" s="17" t="s">
        <v>5477</v>
      </c>
      <c r="BM2" s="17"/>
      <c r="BN2" s="17"/>
      <c r="BO2" s="17"/>
      <c r="BP2" s="17"/>
      <c r="BQ2" s="17"/>
      <c r="BR2" s="17"/>
      <c r="BS2" s="17">
        <v>1</v>
      </c>
      <c r="BT2" s="17">
        <v>1</v>
      </c>
      <c r="BU2" s="17">
        <v>1</v>
      </c>
      <c r="BV2" s="17">
        <v>1</v>
      </c>
      <c r="BW2" s="17"/>
      <c r="BX2" s="17">
        <v>1</v>
      </c>
      <c r="BY2" s="17"/>
      <c r="BZ2" s="17">
        <v>1</v>
      </c>
      <c r="CA2" s="17"/>
      <c r="CB2" s="17"/>
      <c r="CC2" s="17"/>
      <c r="CD2" s="17">
        <v>1</v>
      </c>
      <c r="CE2" s="17"/>
      <c r="CF2" s="17"/>
      <c r="CG2" s="7">
        <v>28</v>
      </c>
      <c r="CH2" s="7"/>
      <c r="CI2" s="7">
        <v>98</v>
      </c>
      <c r="CJ2" s="7">
        <v>80</v>
      </c>
      <c r="CK2" s="7" t="s">
        <v>3881</v>
      </c>
      <c r="CL2" s="7" t="s">
        <v>3882</v>
      </c>
      <c r="CM2" s="7" t="s">
        <v>3883</v>
      </c>
      <c r="CN2" s="17">
        <v>0</v>
      </c>
      <c r="CO2" s="17">
        <v>0</v>
      </c>
      <c r="CP2" s="17">
        <v>1</v>
      </c>
      <c r="CQ2" s="17">
        <v>0</v>
      </c>
      <c r="CR2" s="7" t="s">
        <v>3884</v>
      </c>
      <c r="CS2" s="7" t="s">
        <v>3885</v>
      </c>
      <c r="CT2" s="64">
        <v>0.26100000000000001</v>
      </c>
      <c r="CU2" s="7" t="s">
        <v>3886</v>
      </c>
      <c r="CV2" s="7"/>
      <c r="CW2" s="7"/>
      <c r="CX2" s="7" t="s">
        <v>7</v>
      </c>
      <c r="CY2" s="17">
        <v>1</v>
      </c>
      <c r="CZ2" s="7" t="s">
        <v>3887</v>
      </c>
      <c r="DA2" s="8" t="s">
        <v>3888</v>
      </c>
    </row>
    <row r="3" spans="1:105" ht="71.25">
      <c r="A3" s="9">
        <v>41</v>
      </c>
      <c r="B3" s="10">
        <v>44231</v>
      </c>
      <c r="C3" s="11" t="s">
        <v>3889</v>
      </c>
      <c r="D3" s="10">
        <v>15346</v>
      </c>
      <c r="E3" s="52">
        <f ca="1">_xlfn.DAYS(NOW(),Tabella2[[#This Row],[Data Nascita]])/365.25</f>
        <v>83.578370978781663</v>
      </c>
      <c r="F3" s="11" t="s">
        <v>3890</v>
      </c>
      <c r="G3" s="11" t="s">
        <v>3891</v>
      </c>
      <c r="H3" s="11" t="s">
        <v>3892</v>
      </c>
      <c r="I3" s="11" t="s">
        <v>3893</v>
      </c>
      <c r="J3" s="11" t="s">
        <v>3894</v>
      </c>
      <c r="K3" s="11"/>
      <c r="L3" s="11"/>
      <c r="M3" s="11"/>
      <c r="N3" s="11"/>
      <c r="O3" s="17" t="s">
        <v>5412</v>
      </c>
      <c r="P3" s="17">
        <v>0</v>
      </c>
      <c r="Q3" s="11" t="s">
        <v>8</v>
      </c>
      <c r="R3" s="11" t="s">
        <v>8</v>
      </c>
      <c r="S3" s="11" t="s">
        <v>3895</v>
      </c>
      <c r="T3" s="7" t="s">
        <v>5412</v>
      </c>
      <c r="U3" s="18">
        <f>IF(ISERROR(SEARCH("null",Tabella2[[#This Row],[Patologia respiratoria nota]],1)),0,1)</f>
        <v>1</v>
      </c>
      <c r="V3" s="17">
        <f>IF(ISERROR(SEARCH("MUTA",Tabella2[[#This Row],[Patologia respiratoria nota]],1)),0,1)</f>
        <v>0</v>
      </c>
      <c r="W3" s="18">
        <f>IF(ISERROR(SEARCH("OSAS",Tabella2[[#This Row],[Patologia respiratoria nota]],1)),0,1)</f>
        <v>0</v>
      </c>
      <c r="X3" s="17">
        <f>IF(ISERROR(SEARCH("BPCO",Tabella2[[#This Row],[Patologia respiratoria nota]],1)),0,1)</f>
        <v>0</v>
      </c>
      <c r="Y3" s="17">
        <f>IF(ISERROR(SEARCH("ASMA",Tabella2[[#This Row],[Patologia respiratoria nota]],1)),0,1)</f>
        <v>0</v>
      </c>
      <c r="Z3" s="17">
        <f>IF(ISERROR(SEARCH("ASMA, OSAS",Tabella2[[#This Row],[Patologia respiratoria nota]],1)),0,1)</f>
        <v>0</v>
      </c>
      <c r="AA3" s="17">
        <f>IF(ISERROR(SEARCH("BPCO, OSAS",Tabella2[[#This Row],[Patologia respiratoria nota]],1)),0,1)</f>
        <v>0</v>
      </c>
      <c r="AB3" s="17">
        <f>IF(ISERROR(SEARCH("ASMA, BPCO, OSAS",Tabella2[[#This Row],[Patologia respiratoria nota]],1)),0,1)</f>
        <v>0</v>
      </c>
      <c r="AC3" s="15" t="s">
        <v>657</v>
      </c>
      <c r="AD3" s="19">
        <f>IF(ISERROR(SEARCH("NDD",Tabella2[[#This Row],[Tosse]],1)),0,1)</f>
        <v>0</v>
      </c>
      <c r="AE3" s="19">
        <f>IF(ISERROR(SEARCH("NEGA",Tabella2[[#This Row],[Tosse]],1)),0,1)</f>
        <v>1</v>
      </c>
      <c r="AF3" s="19">
        <f>IF(ISERROR(SEARCH("OCCASIONALMENTE",Tabella2[[#This Row],[Tosse]],1)),0,1)</f>
        <v>0</v>
      </c>
      <c r="AG3" s="19">
        <f>IF(ISERROR(SEARCH("RARAMENTE",Tabella2[[#This Row],[Tosse]],1)),0,1)</f>
        <v>0</v>
      </c>
      <c r="AH3" s="19">
        <f>IF(ISERROR(SEARCH("SI",Tabella2[[#This Row],[Tosse]],1)),0,1)</f>
        <v>0</v>
      </c>
      <c r="AI3" s="11" t="s">
        <v>657</v>
      </c>
      <c r="AJ3" s="18">
        <f>IF(ISERROR(SEARCH("SI",Tabella2[[#This Row],[Espettorazione]],1)),0,1)</f>
        <v>0</v>
      </c>
      <c r="AK3" s="18">
        <f>IF(ISERROR(SEARCH("NEGA",Tabella2[[#This Row],[Espettorazione]],1)),0,1)</f>
        <v>1</v>
      </c>
      <c r="AL3" s="18">
        <f>IF(ISERROR(SEARCH("NDD",Tabella2[[#This Row],[Espettorazione]],1)),0,1)</f>
        <v>0</v>
      </c>
      <c r="AM3" s="11" t="s">
        <v>7</v>
      </c>
      <c r="AN3" s="17">
        <v>1</v>
      </c>
      <c r="AO3" s="7" t="s">
        <v>657</v>
      </c>
      <c r="AP3" s="17">
        <f>IF(ISERROR(SEARCH("NEGA",Tabella2[[#This Row],[Dispnea da sforzo]],1)),0,1)</f>
        <v>1</v>
      </c>
      <c r="AQ3" s="17">
        <f>IF(ISERROR(SEARCH("NEGA",Tabella2[[#This Row],[Dispnea da sforzo]],1)),1,0)</f>
        <v>0</v>
      </c>
      <c r="AR3" s="17">
        <f>IF(ISERROR(SEARCH("LIEVI",Tabella2[[#This Row],[Dispnea da sforzo]],1)),0,1)</f>
        <v>0</v>
      </c>
      <c r="AS3" s="17">
        <f>IF(ISERROR(SEARCH("MODERATI",Tabella2[[#This Row],[Dispnea da sforzo]],1)),0,1)</f>
        <v>0</v>
      </c>
      <c r="AT3" s="17">
        <f>IF(ISERROR(SEARCH("INTENSI",Tabella2[[#This Row],[Dispnea da sforzo]],1)),0,1)</f>
        <v>0</v>
      </c>
      <c r="AU3" s="11" t="s">
        <v>657</v>
      </c>
      <c r="AV3" s="18">
        <f>IF(ISERROR(SEARCH("NEGA",Tabella2[[#This Row],[Dispnea a riposo]],1)),0,1)</f>
        <v>1</v>
      </c>
      <c r="AW3" s="18">
        <f>IF(ISERROR(SEARCH("NDD",Tabella2[[#This Row],[Dispnea a riposo]],1)),0,1)</f>
        <v>0</v>
      </c>
      <c r="AX3" s="11" t="s">
        <v>657</v>
      </c>
      <c r="AY3" s="17">
        <v>0</v>
      </c>
      <c r="AZ3" s="11" t="s">
        <v>7</v>
      </c>
      <c r="BA3" s="17">
        <v>1</v>
      </c>
      <c r="BB3" s="11" t="s">
        <v>5477</v>
      </c>
      <c r="BC3" s="18">
        <v>0</v>
      </c>
      <c r="BD3" s="11" t="s">
        <v>3896</v>
      </c>
      <c r="BE3" s="17">
        <v>1</v>
      </c>
      <c r="BF3" s="11" t="s">
        <v>7</v>
      </c>
      <c r="BG3" s="17">
        <v>1</v>
      </c>
      <c r="BH3" s="11" t="s">
        <v>7</v>
      </c>
      <c r="BI3" s="18">
        <v>1</v>
      </c>
      <c r="BJ3" s="11">
        <v>13</v>
      </c>
      <c r="BK3" s="11" t="s">
        <v>3897</v>
      </c>
      <c r="BL3" s="18" t="s">
        <v>5477</v>
      </c>
      <c r="BM3" s="18"/>
      <c r="BN3" s="18"/>
      <c r="BO3" s="18"/>
      <c r="BP3" s="18"/>
      <c r="BQ3" s="18"/>
      <c r="BR3" s="18"/>
      <c r="BS3" s="18"/>
      <c r="BT3" s="18"/>
      <c r="BU3" s="18"/>
      <c r="BV3" s="18">
        <v>1</v>
      </c>
      <c r="BW3" s="18">
        <v>1</v>
      </c>
      <c r="BX3" s="18"/>
      <c r="BY3" s="18"/>
      <c r="BZ3" s="18">
        <v>1</v>
      </c>
      <c r="CA3" s="18">
        <v>1</v>
      </c>
      <c r="CB3" s="18">
        <v>1</v>
      </c>
      <c r="CC3" s="18">
        <v>1</v>
      </c>
      <c r="CD3" s="18">
        <v>1</v>
      </c>
      <c r="CE3" s="18">
        <v>1</v>
      </c>
      <c r="CF3" s="18"/>
      <c r="CG3" s="11">
        <v>27</v>
      </c>
      <c r="CH3" s="11"/>
      <c r="CI3" s="11">
        <v>95</v>
      </c>
      <c r="CJ3" s="11">
        <v>79</v>
      </c>
      <c r="CK3" s="11" t="s">
        <v>3898</v>
      </c>
      <c r="CL3" s="11" t="s">
        <v>3899</v>
      </c>
      <c r="CM3" s="11" t="s">
        <v>3900</v>
      </c>
      <c r="CN3" s="17">
        <v>0</v>
      </c>
      <c r="CO3" s="17">
        <v>0</v>
      </c>
      <c r="CP3" s="17">
        <v>0</v>
      </c>
      <c r="CQ3" s="17">
        <v>1</v>
      </c>
      <c r="CR3" s="11" t="s">
        <v>3884</v>
      </c>
      <c r="CS3" s="11" t="s">
        <v>3901</v>
      </c>
      <c r="CT3" s="65">
        <v>1</v>
      </c>
      <c r="CU3" s="11" t="s">
        <v>3902</v>
      </c>
      <c r="CV3" s="11"/>
      <c r="CW3" s="11"/>
      <c r="CX3" s="11" t="s">
        <v>3896</v>
      </c>
      <c r="CY3" s="17">
        <v>1</v>
      </c>
      <c r="CZ3" s="11" t="s">
        <v>3903</v>
      </c>
      <c r="DA3" s="12" t="s">
        <v>3904</v>
      </c>
    </row>
    <row r="4" spans="1:105" ht="71.25">
      <c r="A4" s="5">
        <v>68</v>
      </c>
      <c r="B4" s="6">
        <v>44243</v>
      </c>
      <c r="C4" s="7" t="s">
        <v>3905</v>
      </c>
      <c r="D4" s="6">
        <v>15659</v>
      </c>
      <c r="E4" s="51">
        <f ca="1">_xlfn.DAYS(NOW(),Tabella2[[#This Row],[Data Nascita]])/365.25</f>
        <v>82.721423682409309</v>
      </c>
      <c r="F4" s="7" t="s">
        <v>3906</v>
      </c>
      <c r="G4" s="7" t="s">
        <v>3907</v>
      </c>
      <c r="H4" s="7" t="s">
        <v>3908</v>
      </c>
      <c r="I4" s="7" t="s">
        <v>269</v>
      </c>
      <c r="J4" s="7" t="s">
        <v>3909</v>
      </c>
      <c r="K4" s="7"/>
      <c r="L4" s="7"/>
      <c r="M4" s="7"/>
      <c r="N4" s="7"/>
      <c r="O4" s="17" t="s">
        <v>5412</v>
      </c>
      <c r="P4" s="17">
        <v>0</v>
      </c>
      <c r="Q4" s="7" t="s">
        <v>8</v>
      </c>
      <c r="R4" s="7" t="s">
        <v>8</v>
      </c>
      <c r="S4" s="7" t="s">
        <v>3910</v>
      </c>
      <c r="T4" s="7" t="s">
        <v>5412</v>
      </c>
      <c r="U4" s="17">
        <f>IF(ISERROR(SEARCH("null",Tabella2[[#This Row],[Patologia respiratoria nota]],1)),0,1)</f>
        <v>1</v>
      </c>
      <c r="V4" s="17">
        <f>IF(ISERROR(SEARCH("MUTA",Tabella2[[#This Row],[Patologia respiratoria nota]],1)),0,1)</f>
        <v>0</v>
      </c>
      <c r="W4" s="17">
        <f>IF(ISERROR(SEARCH("OSAS",Tabella2[[#This Row],[Patologia respiratoria nota]],1)),0,1)</f>
        <v>0</v>
      </c>
      <c r="X4" s="17">
        <f>IF(ISERROR(SEARCH("BPCO",Tabella2[[#This Row],[Patologia respiratoria nota]],1)),0,1)</f>
        <v>0</v>
      </c>
      <c r="Y4" s="17">
        <f>IF(ISERROR(SEARCH("ASMA",Tabella2[[#This Row],[Patologia respiratoria nota]],1)),0,1)</f>
        <v>0</v>
      </c>
      <c r="Z4" s="17">
        <f>IF(ISERROR(SEARCH("ASMA, OSAS",Tabella2[[#This Row],[Patologia respiratoria nota]],1)),0,1)</f>
        <v>0</v>
      </c>
      <c r="AA4" s="17">
        <f>IF(ISERROR(SEARCH("BPCO, OSAS",Tabella2[[#This Row],[Patologia respiratoria nota]],1)),0,1)</f>
        <v>0</v>
      </c>
      <c r="AB4" s="17">
        <f>IF(ISERROR(SEARCH("ASMA, BPCO, OSAS",Tabella2[[#This Row],[Patologia respiratoria nota]],1)),0,1)</f>
        <v>0</v>
      </c>
      <c r="AC4" s="7" t="s">
        <v>5454</v>
      </c>
      <c r="AD4" s="17">
        <f>IF(ISERROR(SEARCH("NDD",Tabella2[[#This Row],[Tosse]],1)),0,1)</f>
        <v>0</v>
      </c>
      <c r="AE4" s="17">
        <f>IF(ISERROR(SEARCH("NEGA",Tabella2[[#This Row],[Tosse]],1)),0,1)</f>
        <v>0</v>
      </c>
      <c r="AF4" s="17">
        <f>IF(ISERROR(SEARCH("OCCASIONALMENTE",Tabella2[[#This Row],[Tosse]],1)),0,1)</f>
        <v>0</v>
      </c>
      <c r="AG4" s="17">
        <f>IF(ISERROR(SEARCH("RARAMENTE",Tabella2[[#This Row],[Tosse]],1)),0,1)</f>
        <v>0</v>
      </c>
      <c r="AH4" s="17">
        <v>1</v>
      </c>
      <c r="AI4" s="7" t="s">
        <v>5483</v>
      </c>
      <c r="AJ4" s="17">
        <f>IF(ISERROR(SEARCH("SI",Tabella2[[#This Row],[Espettorazione]],1)),0,1)</f>
        <v>1</v>
      </c>
      <c r="AK4" s="17">
        <v>0</v>
      </c>
      <c r="AL4" s="17">
        <f>IF(ISERROR(SEARCH("NDD",Tabella2[[#This Row],[Espettorazione]],1)),0,1)</f>
        <v>0</v>
      </c>
      <c r="AM4" s="7" t="s">
        <v>657</v>
      </c>
      <c r="AN4" s="17">
        <v>0</v>
      </c>
      <c r="AO4" s="7" t="s">
        <v>5537</v>
      </c>
      <c r="AP4" s="17">
        <f>IF(ISERROR(SEARCH("NEGA",Tabella2[[#This Row],[Dispnea da sforzo]],1)),0,1)</f>
        <v>0</v>
      </c>
      <c r="AQ4" s="17">
        <f>IF(ISERROR(SEARCH("NEGA",Tabella2[[#This Row],[Dispnea da sforzo]],1)),1,0)</f>
        <v>1</v>
      </c>
      <c r="AR4" s="17">
        <f>IF(ISERROR(SEARCH("LIEVI",Tabella2[[#This Row],[Dispnea da sforzo]],1)),0,1)</f>
        <v>0</v>
      </c>
      <c r="AS4" s="17">
        <f>IF(ISERROR(SEARCH("MODERATI",Tabella2[[#This Row],[Dispnea da sforzo]],1)),0,1)</f>
        <v>1</v>
      </c>
      <c r="AT4" s="17">
        <f>IF(ISERROR(SEARCH("INTENSI",Tabella2[[#This Row],[Dispnea da sforzo]],1)),0,1)</f>
        <v>0</v>
      </c>
      <c r="AU4" s="7" t="s">
        <v>657</v>
      </c>
      <c r="AV4" s="17">
        <f>IF(ISERROR(SEARCH("NEGA",Tabella2[[#This Row],[Dispnea a riposo]],1)),0,1)</f>
        <v>1</v>
      </c>
      <c r="AW4" s="17">
        <f>IF(ISERROR(SEARCH("NDD",Tabella2[[#This Row],[Dispnea a riposo]],1)),0,1)</f>
        <v>0</v>
      </c>
      <c r="AX4" s="7" t="s">
        <v>657</v>
      </c>
      <c r="AY4" s="17">
        <v>0</v>
      </c>
      <c r="AZ4" s="7" t="s">
        <v>7</v>
      </c>
      <c r="BA4" s="17">
        <v>1</v>
      </c>
      <c r="BB4" s="7" t="s">
        <v>657</v>
      </c>
      <c r="BC4" s="17">
        <v>0</v>
      </c>
      <c r="BD4" s="7" t="s">
        <v>7</v>
      </c>
      <c r="BE4" s="17">
        <v>1</v>
      </c>
      <c r="BF4" s="7" t="s">
        <v>657</v>
      </c>
      <c r="BG4" s="17">
        <v>0</v>
      </c>
      <c r="BH4" s="7" t="s">
        <v>657</v>
      </c>
      <c r="BI4" s="17">
        <v>0</v>
      </c>
      <c r="BJ4" s="7">
        <v>12</v>
      </c>
      <c r="BK4" s="7" t="s">
        <v>3911</v>
      </c>
      <c r="BL4" s="17" t="s">
        <v>5477</v>
      </c>
      <c r="BM4" s="17"/>
      <c r="BN4" s="17"/>
      <c r="BO4" s="17"/>
      <c r="BP4" s="17">
        <v>1</v>
      </c>
      <c r="BQ4" s="17">
        <v>1</v>
      </c>
      <c r="BR4" s="17">
        <v>1</v>
      </c>
      <c r="BS4" s="17">
        <v>1</v>
      </c>
      <c r="BT4" s="17">
        <v>1</v>
      </c>
      <c r="BU4" s="17"/>
      <c r="BV4" s="17">
        <v>1</v>
      </c>
      <c r="BW4" s="17"/>
      <c r="BX4" s="17"/>
      <c r="BY4" s="17"/>
      <c r="BZ4" s="17">
        <v>1</v>
      </c>
      <c r="CA4" s="17"/>
      <c r="CB4" s="17"/>
      <c r="CC4" s="17"/>
      <c r="CD4" s="17"/>
      <c r="CE4" s="17"/>
      <c r="CF4" s="17"/>
      <c r="CG4" s="7">
        <v>36</v>
      </c>
      <c r="CH4" s="7"/>
      <c r="CI4" s="7">
        <v>86</v>
      </c>
      <c r="CJ4" s="7">
        <v>80</v>
      </c>
      <c r="CK4" s="7" t="s">
        <v>3912</v>
      </c>
      <c r="CL4" s="7" t="s">
        <v>3913</v>
      </c>
      <c r="CM4" s="7" t="s">
        <v>3914</v>
      </c>
      <c r="CN4" s="17">
        <v>0</v>
      </c>
      <c r="CO4" s="17">
        <v>1</v>
      </c>
      <c r="CP4" s="17">
        <v>0</v>
      </c>
      <c r="CQ4" s="17">
        <v>0</v>
      </c>
      <c r="CR4" s="7" t="s">
        <v>3884</v>
      </c>
      <c r="CS4" s="7" t="s">
        <v>3915</v>
      </c>
      <c r="CT4" s="64">
        <v>1</v>
      </c>
      <c r="CU4" s="7" t="s">
        <v>3916</v>
      </c>
      <c r="CV4" s="7"/>
      <c r="CW4" s="7"/>
      <c r="CX4" s="7" t="s">
        <v>7</v>
      </c>
      <c r="CY4" s="17">
        <v>1</v>
      </c>
      <c r="CZ4" s="7" t="s">
        <v>3917</v>
      </c>
      <c r="DA4" s="8"/>
    </row>
    <row r="5" spans="1:105" s="54" customFormat="1" ht="99.75">
      <c r="A5" s="9">
        <v>95</v>
      </c>
      <c r="B5" s="10">
        <v>44253</v>
      </c>
      <c r="C5" s="11" t="s">
        <v>3918</v>
      </c>
      <c r="D5" s="10">
        <v>28413</v>
      </c>
      <c r="E5" s="52">
        <f ca="1">_xlfn.DAYS(NOW(),Tabella2[[#This Row],[Data Nascita]])/365.25</f>
        <v>47.802874743326491</v>
      </c>
      <c r="F5" s="11" t="s">
        <v>3919</v>
      </c>
      <c r="G5" s="11" t="s">
        <v>3920</v>
      </c>
      <c r="H5" s="11" t="s">
        <v>3921</v>
      </c>
      <c r="I5" s="11" t="s">
        <v>3922</v>
      </c>
      <c r="J5" s="11" t="s">
        <v>3923</v>
      </c>
      <c r="K5" s="11"/>
      <c r="L5" s="11"/>
      <c r="M5" s="11"/>
      <c r="N5" s="11"/>
      <c r="O5" s="17" t="s">
        <v>5412</v>
      </c>
      <c r="P5" s="17">
        <v>0</v>
      </c>
      <c r="Q5" s="11" t="s">
        <v>8</v>
      </c>
      <c r="R5" s="11" t="s">
        <v>3924</v>
      </c>
      <c r="S5" s="11" t="s">
        <v>3925</v>
      </c>
      <c r="T5" s="7" t="s">
        <v>5412</v>
      </c>
      <c r="U5" s="18">
        <f>IF(ISERROR(SEARCH("null",Tabella2[[#This Row],[Patologia respiratoria nota]],1)),0,1)</f>
        <v>1</v>
      </c>
      <c r="V5" s="17">
        <f>IF(ISERROR(SEARCH("MUTA",Tabella2[[#This Row],[Patologia respiratoria nota]],1)),0,1)</f>
        <v>0</v>
      </c>
      <c r="W5" s="18">
        <f>IF(ISERROR(SEARCH("OSAS",Tabella2[[#This Row],[Patologia respiratoria nota]],1)),0,1)</f>
        <v>0</v>
      </c>
      <c r="X5" s="17">
        <f>IF(ISERROR(SEARCH("BPCO",Tabella2[[#This Row],[Patologia respiratoria nota]],1)),0,1)</f>
        <v>0</v>
      </c>
      <c r="Y5" s="17">
        <f>IF(ISERROR(SEARCH("ASMA",Tabella2[[#This Row],[Patologia respiratoria nota]],1)),0,1)</f>
        <v>0</v>
      </c>
      <c r="Z5" s="17">
        <f>IF(ISERROR(SEARCH("ASMA, OSAS",Tabella2[[#This Row],[Patologia respiratoria nota]],1)),0,1)</f>
        <v>0</v>
      </c>
      <c r="AA5" s="17">
        <f>IF(ISERROR(SEARCH("BPCO, OSAS",Tabella2[[#This Row],[Patologia respiratoria nota]],1)),0,1)</f>
        <v>0</v>
      </c>
      <c r="AB5" s="17">
        <f>IF(ISERROR(SEARCH("ASMA, BPCO, OSAS",Tabella2[[#This Row],[Patologia respiratoria nota]],1)),0,1)</f>
        <v>0</v>
      </c>
      <c r="AC5" s="15" t="s">
        <v>657</v>
      </c>
      <c r="AD5" s="19">
        <f>IF(ISERROR(SEARCH("NDD",Tabella2[[#This Row],[Tosse]],1)),0,1)</f>
        <v>0</v>
      </c>
      <c r="AE5" s="19">
        <f>IF(ISERROR(SEARCH("NEGA",Tabella2[[#This Row],[Tosse]],1)),0,1)</f>
        <v>1</v>
      </c>
      <c r="AF5" s="19">
        <f>IF(ISERROR(SEARCH("OCCASIONALMENTE",Tabella2[[#This Row],[Tosse]],1)),0,1)</f>
        <v>0</v>
      </c>
      <c r="AG5" s="19">
        <f>IF(ISERROR(SEARCH("RARAMENTE",Tabella2[[#This Row],[Tosse]],1)),0,1)</f>
        <v>0</v>
      </c>
      <c r="AH5" s="19">
        <f>IF(ISERROR(SEARCH("SI",Tabella2[[#This Row],[Tosse]],1)),0,1)</f>
        <v>0</v>
      </c>
      <c r="AI5" s="11" t="s">
        <v>5503</v>
      </c>
      <c r="AJ5" s="18">
        <f>IF(ISERROR(SEARCH("SI",Tabella2[[#This Row],[Espettorazione]],1)),0,1)</f>
        <v>1</v>
      </c>
      <c r="AK5" s="17">
        <v>0</v>
      </c>
      <c r="AL5" s="18">
        <f>IF(ISERROR(SEARCH("NDD",Tabella2[[#This Row],[Espettorazione]],1)),0,1)</f>
        <v>0</v>
      </c>
      <c r="AM5" s="11" t="s">
        <v>3926</v>
      </c>
      <c r="AN5" s="17">
        <v>1</v>
      </c>
      <c r="AO5" s="11" t="s">
        <v>5538</v>
      </c>
      <c r="AP5" s="17">
        <f>IF(ISERROR(SEARCH("NEGA",Tabella2[[#This Row],[Dispnea da sforzo]],1)),0,1)</f>
        <v>0</v>
      </c>
      <c r="AQ5" s="17">
        <f>IF(ISERROR(SEARCH("NEGA",Tabella2[[#This Row],[Dispnea da sforzo]],1)),1,0)</f>
        <v>1</v>
      </c>
      <c r="AR5" s="17">
        <f>IF(ISERROR(SEARCH("LIEVI",Tabella2[[#This Row],[Dispnea da sforzo]],1)),0,1)</f>
        <v>0</v>
      </c>
      <c r="AS5" s="17">
        <f>IF(ISERROR(SEARCH("MODERATI",Tabella2[[#This Row],[Dispnea da sforzo]],1)),0,1)</f>
        <v>1</v>
      </c>
      <c r="AT5" s="17">
        <f>IF(ISERROR(SEARCH("INTENSI",Tabella2[[#This Row],[Dispnea da sforzo]],1)),0,1)</f>
        <v>0</v>
      </c>
      <c r="AU5" s="11" t="s">
        <v>657</v>
      </c>
      <c r="AV5" s="18">
        <f>IF(ISERROR(SEARCH("NEGA",Tabella2[[#This Row],[Dispnea a riposo]],1)),0,1)</f>
        <v>1</v>
      </c>
      <c r="AW5" s="18">
        <f>IF(ISERROR(SEARCH("NDD",Tabella2[[#This Row],[Dispnea a riposo]],1)),0,1)</f>
        <v>0</v>
      </c>
      <c r="AX5" s="11" t="s">
        <v>7</v>
      </c>
      <c r="AY5" s="18">
        <v>1</v>
      </c>
      <c r="AZ5" s="11" t="s">
        <v>657</v>
      </c>
      <c r="BA5" s="18">
        <v>0</v>
      </c>
      <c r="BB5" s="11" t="s">
        <v>134</v>
      </c>
      <c r="BC5" s="17">
        <v>1</v>
      </c>
      <c r="BD5" s="11" t="s">
        <v>7</v>
      </c>
      <c r="BE5" s="17">
        <v>1</v>
      </c>
      <c r="BF5" s="11" t="s">
        <v>34</v>
      </c>
      <c r="BG5" s="17">
        <v>1</v>
      </c>
      <c r="BH5" s="11" t="s">
        <v>7</v>
      </c>
      <c r="BI5" s="18">
        <v>1</v>
      </c>
      <c r="BJ5" s="11">
        <v>12</v>
      </c>
      <c r="BK5" s="11" t="s">
        <v>3927</v>
      </c>
      <c r="BL5" s="18">
        <v>-15</v>
      </c>
      <c r="BM5" s="18"/>
      <c r="BN5" s="18"/>
      <c r="BO5" s="18"/>
      <c r="BP5" s="18"/>
      <c r="BQ5" s="18">
        <v>1</v>
      </c>
      <c r="BR5" s="18"/>
      <c r="BS5" s="18"/>
      <c r="BT5" s="18"/>
      <c r="BU5" s="18"/>
      <c r="BV5" s="18"/>
      <c r="BW5" s="18"/>
      <c r="BX5" s="18"/>
      <c r="BY5" s="18"/>
      <c r="BZ5" s="18"/>
      <c r="CA5" s="18"/>
      <c r="CB5" s="18"/>
      <c r="CC5" s="18"/>
      <c r="CD5" s="18"/>
      <c r="CE5" s="18"/>
      <c r="CF5" s="18"/>
      <c r="CG5" s="11">
        <v>32</v>
      </c>
      <c r="CH5" s="11"/>
      <c r="CI5" s="11">
        <v>97</v>
      </c>
      <c r="CJ5" s="11">
        <v>57</v>
      </c>
      <c r="CK5" s="11" t="s">
        <v>3928</v>
      </c>
      <c r="CL5" s="11" t="s">
        <v>3929</v>
      </c>
      <c r="CM5" s="11" t="s">
        <v>49</v>
      </c>
      <c r="CN5" s="17">
        <v>0</v>
      </c>
      <c r="CO5" s="17">
        <v>0</v>
      </c>
      <c r="CP5" s="17">
        <v>0</v>
      </c>
      <c r="CQ5" s="17">
        <v>0</v>
      </c>
      <c r="CR5" s="11" t="s">
        <v>49</v>
      </c>
      <c r="CS5" s="33" t="s">
        <v>5477</v>
      </c>
      <c r="CT5" s="65"/>
      <c r="CU5" s="11"/>
      <c r="CV5" s="11"/>
      <c r="CW5" s="11"/>
      <c r="CX5" s="11" t="s">
        <v>3930</v>
      </c>
      <c r="CY5" s="17">
        <v>1</v>
      </c>
      <c r="CZ5" s="11" t="s">
        <v>3931</v>
      </c>
      <c r="DA5" s="12" t="s">
        <v>3932</v>
      </c>
    </row>
    <row r="6" spans="1:105" ht="57">
      <c r="A6" s="5">
        <v>98</v>
      </c>
      <c r="B6" s="6">
        <v>44256</v>
      </c>
      <c r="C6" s="7" t="s">
        <v>3933</v>
      </c>
      <c r="D6" s="6">
        <v>25688</v>
      </c>
      <c r="E6" s="51">
        <f ca="1">_xlfn.DAYS(NOW(),Tabella2[[#This Row],[Data Nascita]])/365.25</f>
        <v>55.263518138261468</v>
      </c>
      <c r="F6" s="7" t="s">
        <v>3934</v>
      </c>
      <c r="G6" s="7" t="s">
        <v>3935</v>
      </c>
      <c r="H6" s="7" t="s">
        <v>3936</v>
      </c>
      <c r="I6" s="7" t="s">
        <v>457</v>
      </c>
      <c r="J6" s="7"/>
      <c r="K6" s="7"/>
      <c r="L6" s="7"/>
      <c r="M6" s="7"/>
      <c r="N6" s="7"/>
      <c r="O6" s="17" t="s">
        <v>5412</v>
      </c>
      <c r="P6" s="17">
        <v>0</v>
      </c>
      <c r="Q6" s="7"/>
      <c r="R6" s="7"/>
      <c r="S6" s="7"/>
      <c r="T6" s="7" t="s">
        <v>5412</v>
      </c>
      <c r="U6" s="17">
        <f>IF(ISERROR(SEARCH("null",Tabella2[[#This Row],[Patologia respiratoria nota]],1)),0,1)</f>
        <v>1</v>
      </c>
      <c r="V6" s="17">
        <f>IF(ISERROR(SEARCH("MUTA",Tabella2[[#This Row],[Patologia respiratoria nota]],1)),0,1)</f>
        <v>0</v>
      </c>
      <c r="W6" s="17">
        <f>IF(ISERROR(SEARCH("OSAS",Tabella2[[#This Row],[Patologia respiratoria nota]],1)),0,1)</f>
        <v>0</v>
      </c>
      <c r="X6" s="17">
        <f>IF(ISERROR(SEARCH("BPCO",Tabella2[[#This Row],[Patologia respiratoria nota]],1)),0,1)</f>
        <v>0</v>
      </c>
      <c r="Y6" s="17">
        <f>IF(ISERROR(SEARCH("ASMA",Tabella2[[#This Row],[Patologia respiratoria nota]],1)),0,1)</f>
        <v>0</v>
      </c>
      <c r="Z6" s="17">
        <f>IF(ISERROR(SEARCH("ASMA, OSAS",Tabella2[[#This Row],[Patologia respiratoria nota]],1)),0,1)</f>
        <v>0</v>
      </c>
      <c r="AA6" s="17">
        <f>IF(ISERROR(SEARCH("BPCO, OSAS",Tabella2[[#This Row],[Patologia respiratoria nota]],1)),0,1)</f>
        <v>0</v>
      </c>
      <c r="AB6" s="17">
        <f>IF(ISERROR(SEARCH("ASMA, BPCO, OSAS",Tabella2[[#This Row],[Patologia respiratoria nota]],1)),0,1)</f>
        <v>0</v>
      </c>
      <c r="AC6" s="7" t="s">
        <v>381</v>
      </c>
      <c r="AD6" s="17">
        <f>IF(ISERROR(SEARCH("NDD",Tabella2[[#This Row],[Tosse]],1)),0,1)</f>
        <v>0</v>
      </c>
      <c r="AE6" s="17">
        <f>IF(ISERROR(SEARCH("NEGA",Tabella2[[#This Row],[Tosse]],1)),0,1)</f>
        <v>0</v>
      </c>
      <c r="AF6" s="17">
        <f>IF(ISERROR(SEARCH("OCCASIONALMENTE",Tabella2[[#This Row],[Tosse]],1)),0,1)</f>
        <v>0</v>
      </c>
      <c r="AG6" s="17">
        <f>IF(ISERROR(SEARCH("RARAMENTE",Tabella2[[#This Row],[Tosse]],1)),0,1)</f>
        <v>0</v>
      </c>
      <c r="AH6" s="17">
        <v>1</v>
      </c>
      <c r="AI6" s="7" t="s">
        <v>381</v>
      </c>
      <c r="AJ6" s="17">
        <f>IF(ISERROR(SEARCH("SI",Tabella2[[#This Row],[Espettorazione]],1)),0,1)</f>
        <v>1</v>
      </c>
      <c r="AK6" s="17">
        <v>0</v>
      </c>
      <c r="AL6" s="17">
        <f>IF(ISERROR(SEARCH("NDD",Tabella2[[#This Row],[Espettorazione]],1)),0,1)</f>
        <v>0</v>
      </c>
      <c r="AM6" s="7" t="s">
        <v>28</v>
      </c>
      <c r="AN6" s="17">
        <v>1</v>
      </c>
      <c r="AO6" s="7" t="s">
        <v>28</v>
      </c>
      <c r="AP6" s="17">
        <f>IF(ISERROR(SEARCH("NEGA",Tabella2[[#This Row],[Dispnea da sforzo]],1)),0,1)</f>
        <v>0</v>
      </c>
      <c r="AQ6" s="17">
        <f>IF(ISERROR(SEARCH("NEGA",Tabella2[[#This Row],[Dispnea da sforzo]],1)),1,0)</f>
        <v>1</v>
      </c>
      <c r="AR6" s="17">
        <f>IF(ISERROR(SEARCH("LIEVI",Tabella2[[#This Row],[Dispnea da sforzo]],1)),0,1)</f>
        <v>0</v>
      </c>
      <c r="AS6" s="17">
        <f>IF(ISERROR(SEARCH("MODERATI",Tabella2[[#This Row],[Dispnea da sforzo]],1)),0,1)</f>
        <v>0</v>
      </c>
      <c r="AT6" s="17">
        <f>IF(ISERROR(SEARCH("INTENSI",Tabella2[[#This Row],[Dispnea da sforzo]],1)),0,1)</f>
        <v>0</v>
      </c>
      <c r="AU6" s="7" t="s">
        <v>28</v>
      </c>
      <c r="AV6" s="17">
        <f>IF(ISERROR(SEARCH("NEGA",Tabella2[[#This Row],[Dispnea a riposo]],1)),0,1)</f>
        <v>0</v>
      </c>
      <c r="AW6" s="17">
        <f>IF(ISERROR(SEARCH("NDD",Tabella2[[#This Row],[Dispnea a riposo]],1)),0,1)</f>
        <v>0</v>
      </c>
      <c r="AX6" s="7" t="s">
        <v>657</v>
      </c>
      <c r="AY6" s="17">
        <v>0</v>
      </c>
      <c r="AZ6" s="7" t="s">
        <v>3937</v>
      </c>
      <c r="BA6" s="17">
        <v>1</v>
      </c>
      <c r="BB6" s="7" t="s">
        <v>3938</v>
      </c>
      <c r="BC6" s="17">
        <v>1</v>
      </c>
      <c r="BD6" s="7" t="s">
        <v>28</v>
      </c>
      <c r="BE6" s="17">
        <v>1</v>
      </c>
      <c r="BF6" s="7" t="s">
        <v>28</v>
      </c>
      <c r="BG6" s="17">
        <v>1</v>
      </c>
      <c r="BH6" s="7" t="s">
        <v>657</v>
      </c>
      <c r="BI6" s="17">
        <v>0</v>
      </c>
      <c r="BJ6" s="7">
        <v>15</v>
      </c>
      <c r="BK6" s="7" t="s">
        <v>3939</v>
      </c>
      <c r="BL6" s="17" t="s">
        <v>5477</v>
      </c>
      <c r="BM6" s="17">
        <v>1</v>
      </c>
      <c r="BN6" s="17"/>
      <c r="BO6" s="17"/>
      <c r="BP6" s="17">
        <v>1</v>
      </c>
      <c r="BQ6" s="17">
        <v>1</v>
      </c>
      <c r="BR6" s="17"/>
      <c r="BS6" s="17">
        <v>1</v>
      </c>
      <c r="BT6" s="17"/>
      <c r="BU6" s="17"/>
      <c r="BV6" s="17"/>
      <c r="BW6" s="17"/>
      <c r="BX6" s="17"/>
      <c r="BY6" s="17"/>
      <c r="BZ6" s="17"/>
      <c r="CA6" s="17">
        <v>1</v>
      </c>
      <c r="CB6" s="17"/>
      <c r="CC6" s="17"/>
      <c r="CD6" s="17"/>
      <c r="CE6" s="17"/>
      <c r="CF6" s="17"/>
      <c r="CG6" s="7">
        <v>34</v>
      </c>
      <c r="CH6" s="7"/>
      <c r="CI6" s="7">
        <v>98</v>
      </c>
      <c r="CJ6" s="7">
        <v>77</v>
      </c>
      <c r="CK6" s="7" t="s">
        <v>3940</v>
      </c>
      <c r="CL6" s="7" t="s">
        <v>3941</v>
      </c>
      <c r="CM6" s="7" t="s">
        <v>3942</v>
      </c>
      <c r="CN6" s="17">
        <v>0</v>
      </c>
      <c r="CO6" s="17">
        <v>0</v>
      </c>
      <c r="CP6" s="17">
        <v>0</v>
      </c>
      <c r="CQ6" s="17">
        <v>0</v>
      </c>
      <c r="CR6" s="7"/>
      <c r="CS6" s="33" t="s">
        <v>5477</v>
      </c>
      <c r="CT6" s="64"/>
      <c r="CU6" s="7"/>
      <c r="CV6" s="7"/>
      <c r="CW6" s="7"/>
      <c r="CX6" s="7" t="s">
        <v>5477</v>
      </c>
      <c r="CY6" s="17">
        <v>0</v>
      </c>
      <c r="CZ6" s="7" t="s">
        <v>3943</v>
      </c>
      <c r="DA6" s="8"/>
    </row>
    <row r="7" spans="1:105" customFormat="1" ht="57">
      <c r="A7" s="35">
        <v>141</v>
      </c>
      <c r="B7" s="36">
        <v>44273</v>
      </c>
      <c r="C7" s="11" t="s">
        <v>3944</v>
      </c>
      <c r="D7" s="36">
        <v>14829</v>
      </c>
      <c r="E7" s="44">
        <f ca="1">_xlfn.DAYS(NOW(),Tabella2[[#This Row],[Data Nascita]])/365.25</f>
        <v>84.993839835728949</v>
      </c>
      <c r="F7" s="37" t="s">
        <v>3945</v>
      </c>
      <c r="G7" s="37" t="s">
        <v>3946</v>
      </c>
      <c r="H7" s="37" t="s">
        <v>3947</v>
      </c>
      <c r="I7" s="37" t="s">
        <v>3948</v>
      </c>
      <c r="J7" s="37" t="s">
        <v>3949</v>
      </c>
      <c r="K7" s="37"/>
      <c r="L7" s="37"/>
      <c r="M7" s="37"/>
      <c r="N7" s="37"/>
      <c r="O7" s="47" t="s">
        <v>5412</v>
      </c>
      <c r="P7" s="47">
        <v>0</v>
      </c>
      <c r="Q7" s="37" t="s">
        <v>3950</v>
      </c>
      <c r="R7" s="37" t="s">
        <v>2800</v>
      </c>
      <c r="S7" s="37" t="s">
        <v>3951</v>
      </c>
      <c r="T7" s="33" t="s">
        <v>5412</v>
      </c>
      <c r="U7" s="46">
        <f>IF(ISERROR(SEARCH("null",Tabella2[[#This Row],[Patologia respiratoria nota]],1)),0,1)</f>
        <v>1</v>
      </c>
      <c r="V7" s="47">
        <f>IF(ISERROR(SEARCH("MUTA",Tabella2[[#This Row],[Patologia respiratoria nota]],1)),0,1)</f>
        <v>0</v>
      </c>
      <c r="W7" s="46">
        <f>IF(ISERROR(SEARCH("OSAS",Tabella2[[#This Row],[Patologia respiratoria nota]],1)),0,1)</f>
        <v>0</v>
      </c>
      <c r="X7" s="47">
        <f>IF(ISERROR(SEARCH("BPCO",Tabella2[[#This Row],[Patologia respiratoria nota]],1)),0,1)</f>
        <v>0</v>
      </c>
      <c r="Y7" s="47">
        <f>IF(ISERROR(SEARCH("ASMA",Tabella2[[#This Row],[Patologia respiratoria nota]],1)),0,1)</f>
        <v>0</v>
      </c>
      <c r="Z7" s="47">
        <f>IF(ISERROR(SEARCH("ASMA, OSAS",Tabella2[[#This Row],[Patologia respiratoria nota]],1)),0,1)</f>
        <v>0</v>
      </c>
      <c r="AA7" s="47">
        <f>IF(ISERROR(SEARCH("BPCO, OSAS",Tabella2[[#This Row],[Patologia respiratoria nota]],1)),0,1)</f>
        <v>0</v>
      </c>
      <c r="AB7" s="47">
        <f>IF(ISERROR(SEARCH("ASMA, BPCO, OSAS",Tabella2[[#This Row],[Patologia respiratoria nota]],1)),0,1)</f>
        <v>0</v>
      </c>
      <c r="AC7" s="41" t="s">
        <v>657</v>
      </c>
      <c r="AD7" s="48">
        <f>IF(ISERROR(SEARCH("NDD",Tabella2[[#This Row],[Tosse]],1)),0,1)</f>
        <v>0</v>
      </c>
      <c r="AE7" s="48">
        <f>IF(ISERROR(SEARCH("NEGA",Tabella2[[#This Row],[Tosse]],1)),0,1)</f>
        <v>1</v>
      </c>
      <c r="AF7" s="48">
        <f>IF(ISERROR(SEARCH("OCCASIONALMENTE",Tabella2[[#This Row],[Tosse]],1)),0,1)</f>
        <v>0</v>
      </c>
      <c r="AG7" s="48">
        <f>IF(ISERROR(SEARCH("RARAMENTE",Tabella2[[#This Row],[Tosse]],1)),0,1)</f>
        <v>0</v>
      </c>
      <c r="AH7" s="48">
        <f>IF(ISERROR(SEARCH("SI",Tabella2[[#This Row],[Tosse]],1)),0,1)</f>
        <v>0</v>
      </c>
      <c r="AI7" s="37" t="s">
        <v>657</v>
      </c>
      <c r="AJ7" s="46">
        <f>IF(ISERROR(SEARCH("SI",Tabella2[[#This Row],[Espettorazione]],1)),0,1)</f>
        <v>0</v>
      </c>
      <c r="AK7" s="46">
        <f>IF(ISERROR(SEARCH("NEGA",Tabella2[[#This Row],[Espettorazione]],1)),0,1)</f>
        <v>1</v>
      </c>
      <c r="AL7" s="46">
        <f>IF(ISERROR(SEARCH("NDD",Tabella2[[#This Row],[Espettorazione]],1)),0,1)</f>
        <v>0</v>
      </c>
      <c r="AM7" s="37" t="s">
        <v>5519</v>
      </c>
      <c r="AN7" s="47">
        <v>0</v>
      </c>
      <c r="AO7" s="37" t="s">
        <v>5577</v>
      </c>
      <c r="AP7" s="47">
        <f>IF(ISERROR(SEARCH("NEGA",Tabella2[[#This Row],[Dispnea da sforzo]],1)),0,1)</f>
        <v>0</v>
      </c>
      <c r="AQ7" s="47">
        <f>IF(ISERROR(SEARCH("NEGA",Tabella2[[#This Row],[Dispnea da sforzo]],1)),1,0)</f>
        <v>1</v>
      </c>
      <c r="AR7" s="47">
        <f>IF(ISERROR(SEARCH("LIEVI",Tabella2[[#This Row],[Dispnea da sforzo]],1)),0,1)</f>
        <v>1</v>
      </c>
      <c r="AS7" s="47">
        <f>IF(ISERROR(SEARCH("MODERATI",Tabella2[[#This Row],[Dispnea da sforzo]],1)),0,1)</f>
        <v>0</v>
      </c>
      <c r="AT7" s="47">
        <f>IF(ISERROR(SEARCH("INTENSI",Tabella2[[#This Row],[Dispnea da sforzo]],1)),0,1)</f>
        <v>0</v>
      </c>
      <c r="AU7" s="37" t="s">
        <v>5512</v>
      </c>
      <c r="AV7" s="46">
        <f>IF(ISERROR(SEARCH("NEGA",Tabella2[[#This Row],[Dispnea a riposo]],1)),0,1)</f>
        <v>1</v>
      </c>
      <c r="AW7" s="46">
        <f>IF(ISERROR(SEARCH("NDD",Tabella2[[#This Row],[Dispnea a riposo]],1)),0,1)</f>
        <v>0</v>
      </c>
      <c r="AX7" s="37" t="s">
        <v>3953</v>
      </c>
      <c r="AY7" s="46">
        <v>1</v>
      </c>
      <c r="AZ7" s="37" t="s">
        <v>5512</v>
      </c>
      <c r="BA7" s="18">
        <v>0</v>
      </c>
      <c r="BB7" s="37" t="s">
        <v>3954</v>
      </c>
      <c r="BC7" s="17">
        <v>1</v>
      </c>
      <c r="BD7" s="37" t="s">
        <v>3955</v>
      </c>
      <c r="BE7" s="17">
        <v>1</v>
      </c>
      <c r="BF7" s="37" t="s">
        <v>3952</v>
      </c>
      <c r="BG7" s="17">
        <v>1</v>
      </c>
      <c r="BH7" s="37" t="s">
        <v>5512</v>
      </c>
      <c r="BI7" s="17">
        <v>0</v>
      </c>
      <c r="BJ7" s="37">
        <v>13</v>
      </c>
      <c r="BK7" s="37" t="s">
        <v>3956</v>
      </c>
      <c r="BL7" s="46"/>
      <c r="BM7" s="46"/>
      <c r="BN7" s="46"/>
      <c r="BO7" s="46"/>
      <c r="BP7" s="46">
        <v>1</v>
      </c>
      <c r="BQ7" s="46"/>
      <c r="BR7" s="46"/>
      <c r="BS7" s="46">
        <v>1</v>
      </c>
      <c r="BT7" s="46"/>
      <c r="BU7" s="46"/>
      <c r="BV7" s="46"/>
      <c r="BW7" s="46"/>
      <c r="BX7" s="46"/>
      <c r="BY7" s="46"/>
      <c r="BZ7" s="46"/>
      <c r="CA7" s="46"/>
      <c r="CB7" s="46"/>
      <c r="CC7" s="46"/>
      <c r="CD7" s="46"/>
      <c r="CE7" s="46">
        <v>1</v>
      </c>
      <c r="CF7" s="46">
        <v>1</v>
      </c>
      <c r="CG7" s="37">
        <v>29</v>
      </c>
      <c r="CH7" s="37"/>
      <c r="CI7" s="37">
        <v>96</v>
      </c>
      <c r="CJ7" s="37">
        <v>60</v>
      </c>
      <c r="CK7" s="37" t="s">
        <v>3957</v>
      </c>
      <c r="CL7" s="37" t="s">
        <v>3958</v>
      </c>
      <c r="CM7" s="37" t="s">
        <v>3959</v>
      </c>
      <c r="CN7" s="17">
        <v>0</v>
      </c>
      <c r="CO7" s="17">
        <v>0</v>
      </c>
      <c r="CP7" s="17">
        <v>1</v>
      </c>
      <c r="CQ7" s="17">
        <v>0</v>
      </c>
      <c r="CR7" s="37" t="s">
        <v>3960</v>
      </c>
      <c r="CS7" s="62">
        <v>0.50800000000000001</v>
      </c>
      <c r="CT7" s="63">
        <v>0.50800000000000001</v>
      </c>
      <c r="CU7" s="37" t="s">
        <v>3961</v>
      </c>
      <c r="CV7" s="37"/>
      <c r="CW7" s="37"/>
      <c r="CX7" s="37" t="s">
        <v>3962</v>
      </c>
      <c r="CY7" s="17">
        <v>1</v>
      </c>
      <c r="CZ7" s="37" t="s">
        <v>3963</v>
      </c>
      <c r="DA7" s="38" t="s">
        <v>3964</v>
      </c>
    </row>
    <row r="8" spans="1:105" ht="85.5">
      <c r="A8" s="5">
        <v>184</v>
      </c>
      <c r="B8" s="6">
        <v>44302</v>
      </c>
      <c r="C8" s="7" t="s">
        <v>3965</v>
      </c>
      <c r="D8" s="6">
        <v>22675</v>
      </c>
      <c r="E8" s="51">
        <f ca="1">_xlfn.DAYS(NOW(),Tabella2[[#This Row],[Data Nascita]])/365.25</f>
        <v>63.512662559890487</v>
      </c>
      <c r="F8" s="7" t="s">
        <v>3966</v>
      </c>
      <c r="G8" s="7" t="s">
        <v>3967</v>
      </c>
      <c r="H8" s="7" t="s">
        <v>3968</v>
      </c>
      <c r="I8" s="7" t="s">
        <v>3969</v>
      </c>
      <c r="J8" s="7" t="s">
        <v>3970</v>
      </c>
      <c r="K8" s="7"/>
      <c r="L8" s="7"/>
      <c r="M8" s="7"/>
      <c r="N8" s="7" t="s">
        <v>8</v>
      </c>
      <c r="O8" s="17">
        <v>0</v>
      </c>
      <c r="P8" s="17">
        <v>1</v>
      </c>
      <c r="Q8" s="7" t="s">
        <v>25</v>
      </c>
      <c r="R8" s="7" t="s">
        <v>3971</v>
      </c>
      <c r="S8" s="7" t="s">
        <v>3972</v>
      </c>
      <c r="T8" s="7" t="s">
        <v>5443</v>
      </c>
      <c r="U8" s="17">
        <f>IF(ISERROR(SEARCH("null",Tabella2[[#This Row],[Patologia respiratoria nota]],1)),0,1)</f>
        <v>0</v>
      </c>
      <c r="V8" s="17">
        <f>IF(ISERROR(SEARCH("MUTA",Tabella2[[#This Row],[Patologia respiratoria nota]],1)),0,1)</f>
        <v>1</v>
      </c>
      <c r="W8" s="17">
        <f>IF(ISERROR(SEARCH("OSAS",Tabella2[[#This Row],[Patologia respiratoria nota]],1)),0,1)</f>
        <v>0</v>
      </c>
      <c r="X8" s="17">
        <f>IF(ISERROR(SEARCH("BPCO",Tabella2[[#This Row],[Patologia respiratoria nota]],1)),0,1)</f>
        <v>0</v>
      </c>
      <c r="Y8" s="17">
        <f>IF(ISERROR(SEARCH("ASMA",Tabella2[[#This Row],[Patologia respiratoria nota]],1)),0,1)</f>
        <v>0</v>
      </c>
      <c r="Z8" s="17">
        <f>IF(ISERROR(SEARCH("ASMA, OSAS",Tabella2[[#This Row],[Patologia respiratoria nota]],1)),0,1)</f>
        <v>0</v>
      </c>
      <c r="AA8" s="17">
        <f>IF(ISERROR(SEARCH("BPCO, OSAS",Tabella2[[#This Row],[Patologia respiratoria nota]],1)),0,1)</f>
        <v>0</v>
      </c>
      <c r="AB8" s="17">
        <f>IF(ISERROR(SEARCH("ASMA, BPCO, OSAS",Tabella2[[#This Row],[Patologia respiratoria nota]],1)),0,1)</f>
        <v>0</v>
      </c>
      <c r="AC8" s="15" t="s">
        <v>657</v>
      </c>
      <c r="AD8" s="19">
        <f>IF(ISERROR(SEARCH("NDD",Tabella2[[#This Row],[Tosse]],1)),0,1)</f>
        <v>0</v>
      </c>
      <c r="AE8" s="19">
        <f>IF(ISERROR(SEARCH("NEGA",Tabella2[[#This Row],[Tosse]],1)),0,1)</f>
        <v>1</v>
      </c>
      <c r="AF8" s="19">
        <f>IF(ISERROR(SEARCH("OCCASIONALMENTE",Tabella2[[#This Row],[Tosse]],1)),0,1)</f>
        <v>0</v>
      </c>
      <c r="AG8" s="19">
        <f>IF(ISERROR(SEARCH("RARAMENTE",Tabella2[[#This Row],[Tosse]],1)),0,1)</f>
        <v>0</v>
      </c>
      <c r="AH8" s="19">
        <f>IF(ISERROR(SEARCH("SI",Tabella2[[#This Row],[Tosse]],1)),0,1)</f>
        <v>0</v>
      </c>
      <c r="AI8" s="7" t="s">
        <v>657</v>
      </c>
      <c r="AJ8" s="17">
        <f>IF(ISERROR(SEARCH("SI",Tabella2[[#This Row],[Espettorazione]],1)),0,1)</f>
        <v>0</v>
      </c>
      <c r="AK8" s="17">
        <f>IF(ISERROR(SEARCH("NEGA",Tabella2[[#This Row],[Espettorazione]],1)),0,1)</f>
        <v>1</v>
      </c>
      <c r="AL8" s="17">
        <f>IF(ISERROR(SEARCH("NDD",Tabella2[[#This Row],[Espettorazione]],1)),0,1)</f>
        <v>0</v>
      </c>
      <c r="AM8" s="7" t="s">
        <v>657</v>
      </c>
      <c r="AN8" s="17">
        <v>0</v>
      </c>
      <c r="AO8" s="7" t="s">
        <v>5578</v>
      </c>
      <c r="AP8" s="17">
        <f>IF(ISERROR(SEARCH("NEGA",Tabella2[[#This Row],[Dispnea da sforzo]],1)),0,1)</f>
        <v>0</v>
      </c>
      <c r="AQ8" s="17">
        <f>IF(ISERROR(SEARCH("NEGA",Tabella2[[#This Row],[Dispnea da sforzo]],1)),1,0)</f>
        <v>1</v>
      </c>
      <c r="AR8" s="17">
        <f>IF(ISERROR(SEARCH("LIEVI",Tabella2[[#This Row],[Dispnea da sforzo]],1)),0,1)</f>
        <v>0</v>
      </c>
      <c r="AS8" s="17">
        <f>IF(ISERROR(SEARCH("MODERATI",Tabella2[[#This Row],[Dispnea da sforzo]],1)),0,1)</f>
        <v>0</v>
      </c>
      <c r="AT8" s="17">
        <f>IF(ISERROR(SEARCH("INTENSI",Tabella2[[#This Row],[Dispnea da sforzo]],1)),0,1)</f>
        <v>1</v>
      </c>
      <c r="AU8" s="7" t="s">
        <v>657</v>
      </c>
      <c r="AV8" s="17">
        <f>IF(ISERROR(SEARCH("NEGA",Tabella2[[#This Row],[Dispnea a riposo]],1)),0,1)</f>
        <v>1</v>
      </c>
      <c r="AW8" s="17">
        <f>IF(ISERROR(SEARCH("NDD",Tabella2[[#This Row],[Dispnea a riposo]],1)),0,1)</f>
        <v>0</v>
      </c>
      <c r="AX8" s="7" t="s">
        <v>5584</v>
      </c>
      <c r="AY8" s="17">
        <v>0</v>
      </c>
      <c r="AZ8" s="7" t="s">
        <v>657</v>
      </c>
      <c r="BA8" s="18">
        <v>0</v>
      </c>
      <c r="BB8" s="7" t="s">
        <v>134</v>
      </c>
      <c r="BC8" s="17">
        <v>1</v>
      </c>
      <c r="BD8" s="7" t="s">
        <v>151</v>
      </c>
      <c r="BE8" s="17">
        <v>1</v>
      </c>
      <c r="BF8" s="7" t="s">
        <v>3973</v>
      </c>
      <c r="BG8" s="17">
        <v>1</v>
      </c>
      <c r="BH8" s="7" t="s">
        <v>657</v>
      </c>
      <c r="BI8" s="17">
        <v>0</v>
      </c>
      <c r="BJ8" s="7">
        <v>12</v>
      </c>
      <c r="BK8" s="7" t="s">
        <v>3974</v>
      </c>
      <c r="BL8" s="17"/>
      <c r="BM8" s="17"/>
      <c r="BN8" s="17"/>
      <c r="BO8" s="17"/>
      <c r="BP8" s="17">
        <v>1</v>
      </c>
      <c r="BQ8" s="17">
        <v>1</v>
      </c>
      <c r="BR8" s="17"/>
      <c r="BS8" s="17"/>
      <c r="BT8" s="17"/>
      <c r="BU8" s="17"/>
      <c r="BV8" s="17"/>
      <c r="BW8" s="17"/>
      <c r="BX8" s="17">
        <v>1</v>
      </c>
      <c r="BY8" s="17"/>
      <c r="BZ8" s="17"/>
      <c r="CA8" s="17"/>
      <c r="CB8" s="17"/>
      <c r="CC8" s="17"/>
      <c r="CD8" s="17"/>
      <c r="CE8" s="17"/>
      <c r="CF8" s="17"/>
      <c r="CG8" s="7">
        <v>33</v>
      </c>
      <c r="CH8" s="7"/>
      <c r="CI8" s="7">
        <v>97</v>
      </c>
      <c r="CJ8" s="7">
        <v>76</v>
      </c>
      <c r="CK8" s="7" t="s">
        <v>3975</v>
      </c>
      <c r="CL8" s="7" t="s">
        <v>3976</v>
      </c>
      <c r="CM8" s="7" t="s">
        <v>3914</v>
      </c>
      <c r="CN8" s="17">
        <v>0</v>
      </c>
      <c r="CO8" s="17">
        <v>1</v>
      </c>
      <c r="CP8" s="17">
        <v>0</v>
      </c>
      <c r="CQ8" s="17">
        <v>0</v>
      </c>
      <c r="CR8" s="7" t="s">
        <v>3884</v>
      </c>
      <c r="CS8" s="7" t="s">
        <v>3977</v>
      </c>
      <c r="CT8" s="64">
        <v>0.80600000000000005</v>
      </c>
      <c r="CU8" s="7" t="s">
        <v>3978</v>
      </c>
      <c r="CV8" s="7"/>
      <c r="CW8" s="7"/>
      <c r="CX8" s="7" t="s">
        <v>3979</v>
      </c>
      <c r="CY8" s="17">
        <v>1</v>
      </c>
      <c r="CZ8" s="7" t="s">
        <v>3931</v>
      </c>
      <c r="DA8" s="8" t="s">
        <v>3980</v>
      </c>
    </row>
    <row r="9" spans="1:105" customFormat="1" ht="99.75">
      <c r="A9" s="35">
        <v>198</v>
      </c>
      <c r="B9" s="36">
        <v>44309</v>
      </c>
      <c r="C9" s="11" t="s">
        <v>3981</v>
      </c>
      <c r="D9" s="36">
        <v>24846</v>
      </c>
      <c r="E9" s="44">
        <f ca="1">_xlfn.DAYS(NOW(),Tabella2[[#This Row],[Data Nascita]])/365.25</f>
        <v>57.568788501026695</v>
      </c>
      <c r="F9" s="37" t="s">
        <v>3982</v>
      </c>
      <c r="G9" s="37" t="s">
        <v>3983</v>
      </c>
      <c r="H9" s="37" t="s">
        <v>3968</v>
      </c>
      <c r="I9" s="37" t="s">
        <v>3984</v>
      </c>
      <c r="J9" s="37" t="s">
        <v>3985</v>
      </c>
      <c r="K9" s="37"/>
      <c r="L9" s="37"/>
      <c r="M9" s="37"/>
      <c r="N9" s="37" t="s">
        <v>8</v>
      </c>
      <c r="O9" s="47">
        <v>0</v>
      </c>
      <c r="P9" s="47">
        <v>1</v>
      </c>
      <c r="Q9" s="37" t="s">
        <v>8</v>
      </c>
      <c r="R9" s="37" t="s">
        <v>3986</v>
      </c>
      <c r="S9" s="37" t="s">
        <v>3987</v>
      </c>
      <c r="T9" s="37" t="s">
        <v>3988</v>
      </c>
      <c r="U9" s="46">
        <f>IF(ISERROR(SEARCH("null",Tabella2[[#This Row],[Patologia respiratoria nota]],1)),0,1)</f>
        <v>0</v>
      </c>
      <c r="V9" s="47">
        <f>IF(ISERROR(SEARCH("MUTA",Tabella2[[#This Row],[Patologia respiratoria nota]],1)),0,1)</f>
        <v>0</v>
      </c>
      <c r="W9" s="46">
        <f>IF(ISERROR(SEARCH("OSAS",Tabella2[[#This Row],[Patologia respiratoria nota]],1)),0,1)</f>
        <v>0</v>
      </c>
      <c r="X9" s="47">
        <f>IF(ISERROR(SEARCH("BPCO",Tabella2[[#This Row],[Patologia respiratoria nota]],1)),0,1)</f>
        <v>0</v>
      </c>
      <c r="Y9" s="47">
        <f>IF(ISERROR(SEARCH("ASMA",Tabella2[[#This Row],[Patologia respiratoria nota]],1)),0,1)</f>
        <v>0</v>
      </c>
      <c r="Z9" s="47">
        <f>IF(ISERROR(SEARCH("ASMA, OSAS",Tabella2[[#This Row],[Patologia respiratoria nota]],1)),0,1)</f>
        <v>0</v>
      </c>
      <c r="AA9" s="47">
        <f>IF(ISERROR(SEARCH("BPCO, OSAS",Tabella2[[#This Row],[Patologia respiratoria nota]],1)),0,1)</f>
        <v>0</v>
      </c>
      <c r="AB9" s="47">
        <f>IF(ISERROR(SEARCH("ASMA, BPCO, OSAS",Tabella2[[#This Row],[Patologia respiratoria nota]],1)),0,1)</f>
        <v>0</v>
      </c>
      <c r="AC9" s="37" t="s">
        <v>5455</v>
      </c>
      <c r="AD9" s="46">
        <f>IF(ISERROR(SEARCH("NDD",Tabella2[[#This Row],[Tosse]],1)),0,1)</f>
        <v>0</v>
      </c>
      <c r="AE9" s="46">
        <f>IF(ISERROR(SEARCH("NEGA",Tabella2[[#This Row],[Tosse]],1)),0,1)</f>
        <v>0</v>
      </c>
      <c r="AF9" s="46">
        <f>IF(ISERROR(SEARCH("OCCASIONALMENTE",Tabella2[[#This Row],[Tosse]],1)),0,1)</f>
        <v>0</v>
      </c>
      <c r="AG9" s="46">
        <f>IF(ISERROR(SEARCH("RARAMENTE",Tabella2[[#This Row],[Tosse]],1)),0,1)</f>
        <v>0</v>
      </c>
      <c r="AH9" s="17">
        <v>1</v>
      </c>
      <c r="AI9" s="37" t="s">
        <v>657</v>
      </c>
      <c r="AJ9" s="46">
        <f>IF(ISERROR(SEARCH("SI",Tabella2[[#This Row],[Espettorazione]],1)),0,1)</f>
        <v>0</v>
      </c>
      <c r="AK9" s="46">
        <f>IF(ISERROR(SEARCH("NEGA",Tabella2[[#This Row],[Espettorazione]],1)),0,1)</f>
        <v>1</v>
      </c>
      <c r="AL9" s="46">
        <f>IF(ISERROR(SEARCH("NDD",Tabella2[[#This Row],[Espettorazione]],1)),0,1)</f>
        <v>0</v>
      </c>
      <c r="AM9" s="37" t="s">
        <v>3989</v>
      </c>
      <c r="AN9" s="47">
        <v>1</v>
      </c>
      <c r="AO9" s="37" t="s">
        <v>5539</v>
      </c>
      <c r="AP9" s="47">
        <f>IF(ISERROR(SEARCH("NEGA",Tabella2[[#This Row],[Dispnea da sforzo]],1)),0,1)</f>
        <v>0</v>
      </c>
      <c r="AQ9" s="47">
        <f>IF(ISERROR(SEARCH("NEGA",Tabella2[[#This Row],[Dispnea da sforzo]],1)),1,0)</f>
        <v>1</v>
      </c>
      <c r="AR9" s="47">
        <f>IF(ISERROR(SEARCH("LIEVI",Tabella2[[#This Row],[Dispnea da sforzo]],1)),0,1)</f>
        <v>0</v>
      </c>
      <c r="AS9" s="47">
        <f>IF(ISERROR(SEARCH("MODERATI",Tabella2[[#This Row],[Dispnea da sforzo]],1)),0,1)</f>
        <v>1</v>
      </c>
      <c r="AT9" s="47">
        <f>IF(ISERROR(SEARCH("INTENSI",Tabella2[[#This Row],[Dispnea da sforzo]],1)),0,1)</f>
        <v>0</v>
      </c>
      <c r="AU9" s="37" t="s">
        <v>5580</v>
      </c>
      <c r="AV9" s="46">
        <f>IF(ISERROR(SEARCH("NEGA",Tabella2[[#This Row],[Dispnea a riposo]],1)),0,1)</f>
        <v>1</v>
      </c>
      <c r="AW9" s="46">
        <f>IF(ISERROR(SEARCH("NDD",Tabella2[[#This Row],[Dispnea a riposo]],1)),0,1)</f>
        <v>0</v>
      </c>
      <c r="AX9" s="37" t="s">
        <v>3990</v>
      </c>
      <c r="AY9" s="46">
        <v>1</v>
      </c>
      <c r="AZ9" s="37" t="s">
        <v>3991</v>
      </c>
      <c r="BA9" s="17">
        <v>1</v>
      </c>
      <c r="BB9" s="37" t="s">
        <v>134</v>
      </c>
      <c r="BC9" s="17">
        <v>1</v>
      </c>
      <c r="BD9" s="37" t="s">
        <v>3992</v>
      </c>
      <c r="BE9" s="17">
        <v>1</v>
      </c>
      <c r="BF9" s="37" t="s">
        <v>1756</v>
      </c>
      <c r="BG9" s="17">
        <v>1</v>
      </c>
      <c r="BH9" s="37" t="s">
        <v>3993</v>
      </c>
      <c r="BI9" s="18">
        <v>1</v>
      </c>
      <c r="BJ9" s="37">
        <v>12</v>
      </c>
      <c r="BK9" s="37" t="s">
        <v>3994</v>
      </c>
      <c r="BL9" s="46" t="s">
        <v>5730</v>
      </c>
      <c r="BM9" s="46"/>
      <c r="BN9" s="46"/>
      <c r="BO9" s="46"/>
      <c r="BP9" s="46"/>
      <c r="BQ9" s="46"/>
      <c r="BR9" s="46"/>
      <c r="BS9" s="46"/>
      <c r="BT9" s="46"/>
      <c r="BU9" s="46"/>
      <c r="BV9" s="46"/>
      <c r="BW9" s="46"/>
      <c r="BX9" s="46"/>
      <c r="BY9" s="46"/>
      <c r="BZ9" s="46"/>
      <c r="CA9" s="46"/>
      <c r="CB9" s="46"/>
      <c r="CC9" s="46"/>
      <c r="CD9" s="46">
        <v>1</v>
      </c>
      <c r="CE9" s="46"/>
      <c r="CF9" s="46"/>
      <c r="CG9" s="37">
        <v>30</v>
      </c>
      <c r="CH9" s="37"/>
      <c r="CI9" s="37">
        <v>98</v>
      </c>
      <c r="CJ9" s="37">
        <v>78</v>
      </c>
      <c r="CK9" s="37" t="s">
        <v>3995</v>
      </c>
      <c r="CL9" s="37" t="s">
        <v>3996</v>
      </c>
      <c r="CM9" s="37" t="s">
        <v>3997</v>
      </c>
      <c r="CN9" s="17">
        <v>0</v>
      </c>
      <c r="CO9" s="17">
        <v>1</v>
      </c>
      <c r="CP9" s="17">
        <v>0</v>
      </c>
      <c r="CQ9" s="17">
        <v>0</v>
      </c>
      <c r="CR9" s="37" t="s">
        <v>3884</v>
      </c>
      <c r="CS9" s="37" t="s">
        <v>3998</v>
      </c>
      <c r="CT9" s="63">
        <v>0.85199999999999998</v>
      </c>
      <c r="CU9" s="37" t="s">
        <v>3999</v>
      </c>
      <c r="CV9" s="37"/>
      <c r="CW9" s="37"/>
      <c r="CX9" s="37" t="s">
        <v>4000</v>
      </c>
      <c r="CY9" s="17">
        <v>1</v>
      </c>
      <c r="CZ9" s="37" t="s">
        <v>4001</v>
      </c>
      <c r="DA9" s="38" t="s">
        <v>4002</v>
      </c>
    </row>
    <row r="10" spans="1:105" customFormat="1" ht="85.5">
      <c r="A10" s="31">
        <v>202</v>
      </c>
      <c r="B10" s="32">
        <v>44312</v>
      </c>
      <c r="C10" s="7" t="s">
        <v>4003</v>
      </c>
      <c r="D10" s="32">
        <v>17258</v>
      </c>
      <c r="E10" s="43">
        <f ca="1">_xlfn.DAYS(NOW(),Tabella2[[#This Row],[Data Nascita]])/365.25</f>
        <v>78.343600273785086</v>
      </c>
      <c r="F10" s="33" t="s">
        <v>4004</v>
      </c>
      <c r="G10" s="33" t="s">
        <v>4005</v>
      </c>
      <c r="H10" s="33" t="s">
        <v>4006</v>
      </c>
      <c r="I10" s="33" t="s">
        <v>4007</v>
      </c>
      <c r="J10" s="33" t="s">
        <v>4008</v>
      </c>
      <c r="K10" s="33"/>
      <c r="L10" s="33"/>
      <c r="M10" s="33"/>
      <c r="N10" s="33"/>
      <c r="O10" s="47" t="s">
        <v>5412</v>
      </c>
      <c r="P10" s="47">
        <v>0</v>
      </c>
      <c r="Q10" s="33" t="s">
        <v>4009</v>
      </c>
      <c r="R10" s="33" t="s">
        <v>4010</v>
      </c>
      <c r="S10" s="33" t="s">
        <v>4011</v>
      </c>
      <c r="T10" s="33" t="s">
        <v>4012</v>
      </c>
      <c r="U10" s="47">
        <f>IF(ISERROR(SEARCH("null",Tabella2[[#This Row],[Patologia respiratoria nota]],1)),0,1)</f>
        <v>0</v>
      </c>
      <c r="V10" s="47">
        <f>IF(ISERROR(SEARCH("MUTA",Tabella2[[#This Row],[Patologia respiratoria nota]],1)),0,1)</f>
        <v>0</v>
      </c>
      <c r="W10" s="47">
        <f>IF(ISERROR(SEARCH("OSAS",Tabella2[[#This Row],[Patologia respiratoria nota]],1)),0,1)</f>
        <v>1</v>
      </c>
      <c r="X10" s="47">
        <f>IF(ISERROR(SEARCH("BPCO",Tabella2[[#This Row],[Patologia respiratoria nota]],1)),0,1)</f>
        <v>0</v>
      </c>
      <c r="Y10" s="47">
        <f>IF(ISERROR(SEARCH("ASMA",Tabella2[[#This Row],[Patologia respiratoria nota]],1)),0,1)</f>
        <v>0</v>
      </c>
      <c r="Z10" s="47">
        <f>IF(ISERROR(SEARCH("ASMA, OSAS",Tabella2[[#This Row],[Patologia respiratoria nota]],1)),0,1)</f>
        <v>0</v>
      </c>
      <c r="AA10" s="47">
        <f>IF(ISERROR(SEARCH("BPCO, OSAS",Tabella2[[#This Row],[Patologia respiratoria nota]],1)),0,1)</f>
        <v>0</v>
      </c>
      <c r="AB10" s="47">
        <f>IF(ISERROR(SEARCH("ASMA, BPCO, OSAS",Tabella2[[#This Row],[Patologia respiratoria nota]],1)),0,1)</f>
        <v>0</v>
      </c>
      <c r="AC10" s="41" t="s">
        <v>657</v>
      </c>
      <c r="AD10" s="48">
        <f>IF(ISERROR(SEARCH("NDD",Tabella2[[#This Row],[Tosse]],1)),0,1)</f>
        <v>0</v>
      </c>
      <c r="AE10" s="48">
        <f>IF(ISERROR(SEARCH("NEGA",Tabella2[[#This Row],[Tosse]],1)),0,1)</f>
        <v>1</v>
      </c>
      <c r="AF10" s="48">
        <f>IF(ISERROR(SEARCH("OCCASIONALMENTE",Tabella2[[#This Row],[Tosse]],1)),0,1)</f>
        <v>0</v>
      </c>
      <c r="AG10" s="48">
        <f>IF(ISERROR(SEARCH("RARAMENTE",Tabella2[[#This Row],[Tosse]],1)),0,1)</f>
        <v>0</v>
      </c>
      <c r="AH10" s="48">
        <f>IF(ISERROR(SEARCH("SI",Tabella2[[#This Row],[Tosse]],1)),0,1)</f>
        <v>0</v>
      </c>
      <c r="AI10" s="33" t="s">
        <v>657</v>
      </c>
      <c r="AJ10" s="47">
        <f>IF(ISERROR(SEARCH("SI",Tabella2[[#This Row],[Espettorazione]],1)),0,1)</f>
        <v>0</v>
      </c>
      <c r="AK10" s="47">
        <f>IF(ISERROR(SEARCH("NEGA",Tabella2[[#This Row],[Espettorazione]],1)),0,1)</f>
        <v>1</v>
      </c>
      <c r="AL10" s="47">
        <f>IF(ISERROR(SEARCH("NDD",Tabella2[[#This Row],[Espettorazione]],1)),0,1)</f>
        <v>0</v>
      </c>
      <c r="AM10" s="33" t="s">
        <v>5512</v>
      </c>
      <c r="AN10" s="47">
        <v>0</v>
      </c>
      <c r="AO10" s="33" t="s">
        <v>5540</v>
      </c>
      <c r="AP10" s="47">
        <f>IF(ISERROR(SEARCH("NEGA",Tabella2[[#This Row],[Dispnea da sforzo]],1)),0,1)</f>
        <v>0</v>
      </c>
      <c r="AQ10" s="47">
        <f>IF(ISERROR(SEARCH("NEGA",Tabella2[[#This Row],[Dispnea da sforzo]],1)),1,0)</f>
        <v>1</v>
      </c>
      <c r="AR10" s="47">
        <f>IF(ISERROR(SEARCH("LIEVI",Tabella2[[#This Row],[Dispnea da sforzo]],1)),0,1)</f>
        <v>1</v>
      </c>
      <c r="AS10" s="47">
        <f>IF(ISERROR(SEARCH("MODERATI",Tabella2[[#This Row],[Dispnea da sforzo]],1)),0,1)</f>
        <v>1</v>
      </c>
      <c r="AT10" s="47">
        <f>IF(ISERROR(SEARCH("INTENSI",Tabella2[[#This Row],[Dispnea da sforzo]],1)),0,1)</f>
        <v>0</v>
      </c>
      <c r="AU10" s="33" t="s">
        <v>657</v>
      </c>
      <c r="AV10" s="47">
        <f>IF(ISERROR(SEARCH("NEGA",Tabella2[[#This Row],[Dispnea a riposo]],1)),0,1)</f>
        <v>1</v>
      </c>
      <c r="AW10" s="47">
        <f>IF(ISERROR(SEARCH("NDD",Tabella2[[#This Row],[Dispnea a riposo]],1)),0,1)</f>
        <v>0</v>
      </c>
      <c r="AX10" s="33" t="s">
        <v>4013</v>
      </c>
      <c r="AY10" s="46">
        <v>1</v>
      </c>
      <c r="AZ10" s="33" t="s">
        <v>4014</v>
      </c>
      <c r="BA10" s="17">
        <v>1</v>
      </c>
      <c r="BB10" s="33" t="s">
        <v>4015</v>
      </c>
      <c r="BC10" s="17">
        <v>1</v>
      </c>
      <c r="BD10" s="33" t="s">
        <v>4016</v>
      </c>
      <c r="BE10" s="17">
        <v>1</v>
      </c>
      <c r="BF10" s="33" t="s">
        <v>4016</v>
      </c>
      <c r="BG10" s="17">
        <v>1</v>
      </c>
      <c r="BH10" s="33" t="s">
        <v>5591</v>
      </c>
      <c r="BI10" s="17">
        <v>0</v>
      </c>
      <c r="BJ10" s="33">
        <v>12</v>
      </c>
      <c r="BK10" s="33" t="s">
        <v>4017</v>
      </c>
      <c r="BL10" s="47"/>
      <c r="BM10" s="47"/>
      <c r="BN10" s="47"/>
      <c r="BO10" s="47"/>
      <c r="BP10" s="47"/>
      <c r="BQ10" s="47"/>
      <c r="BR10" s="47"/>
      <c r="BS10" s="47"/>
      <c r="BT10" s="47"/>
      <c r="BU10" s="47"/>
      <c r="BV10" s="47"/>
      <c r="BW10" s="47"/>
      <c r="BX10" s="47"/>
      <c r="BY10" s="47">
        <v>1</v>
      </c>
      <c r="BZ10" s="47"/>
      <c r="CA10" s="47"/>
      <c r="CB10" s="47"/>
      <c r="CC10" s="47"/>
      <c r="CD10" s="47"/>
      <c r="CE10" s="47"/>
      <c r="CF10" s="47"/>
      <c r="CG10" s="33">
        <v>28</v>
      </c>
      <c r="CH10" s="33"/>
      <c r="CI10" s="33">
        <v>96</v>
      </c>
      <c r="CJ10" s="33">
        <v>70</v>
      </c>
      <c r="CK10" s="33" t="s">
        <v>3957</v>
      </c>
      <c r="CL10" s="33" t="s">
        <v>4018</v>
      </c>
      <c r="CM10" s="33" t="s">
        <v>5477</v>
      </c>
      <c r="CN10" s="47">
        <v>1</v>
      </c>
      <c r="CO10" s="17">
        <v>0</v>
      </c>
      <c r="CP10" s="17">
        <v>0</v>
      </c>
      <c r="CQ10" s="17">
        <v>0</v>
      </c>
      <c r="CR10" s="33"/>
      <c r="CS10" s="33" t="s">
        <v>5477</v>
      </c>
      <c r="CT10" s="66"/>
      <c r="CU10" s="33"/>
      <c r="CV10" s="33"/>
      <c r="CW10" s="33"/>
      <c r="CX10" s="7" t="s">
        <v>5477</v>
      </c>
      <c r="CY10" s="17">
        <v>0</v>
      </c>
      <c r="CZ10" s="33"/>
      <c r="DA10" s="34"/>
    </row>
    <row r="11" spans="1:105" customFormat="1" ht="42.75">
      <c r="A11" s="35">
        <v>234</v>
      </c>
      <c r="B11" s="36">
        <v>44329</v>
      </c>
      <c r="C11" s="11" t="s">
        <v>4019</v>
      </c>
      <c r="D11" s="36">
        <v>19676</v>
      </c>
      <c r="E11" s="44">
        <f ca="1">_xlfn.DAYS(NOW(),Tabella2[[#This Row],[Data Nascita]])/365.25</f>
        <v>71.723477070499655</v>
      </c>
      <c r="F11" s="37" t="s">
        <v>4020</v>
      </c>
      <c r="G11" s="37" t="s">
        <v>4021</v>
      </c>
      <c r="H11" s="37" t="s">
        <v>4022</v>
      </c>
      <c r="I11" s="37" t="s">
        <v>3948</v>
      </c>
      <c r="J11" s="37" t="s">
        <v>4023</v>
      </c>
      <c r="K11" s="37"/>
      <c r="L11" s="37"/>
      <c r="M11" s="37"/>
      <c r="N11" s="37"/>
      <c r="O11" s="47" t="s">
        <v>5412</v>
      </c>
      <c r="P11" s="47">
        <v>0</v>
      </c>
      <c r="Q11" s="37" t="s">
        <v>8</v>
      </c>
      <c r="R11" s="37" t="s">
        <v>8</v>
      </c>
      <c r="S11" s="37" t="s">
        <v>4024</v>
      </c>
      <c r="T11" s="37" t="s">
        <v>5414</v>
      </c>
      <c r="U11" s="46">
        <f>IF(ISERROR(SEARCH("null",Tabella2[[#This Row],[Patologia respiratoria nota]],1)),0,1)</f>
        <v>0</v>
      </c>
      <c r="V11" s="47">
        <f>IF(ISERROR(SEARCH("MUTA",Tabella2[[#This Row],[Patologia respiratoria nota]],1)),0,1)</f>
        <v>0</v>
      </c>
      <c r="W11" s="46">
        <f>IF(ISERROR(SEARCH("OSAS",Tabella2[[#This Row],[Patologia respiratoria nota]],1)),0,1)</f>
        <v>1</v>
      </c>
      <c r="X11" s="47">
        <f>IF(ISERROR(SEARCH("BPCO",Tabella2[[#This Row],[Patologia respiratoria nota]],1)),0,1)</f>
        <v>1</v>
      </c>
      <c r="Y11" s="47">
        <f>IF(ISERROR(SEARCH("ASMA",Tabella2[[#This Row],[Patologia respiratoria nota]],1)),0,1)</f>
        <v>0</v>
      </c>
      <c r="Z11" s="47">
        <f>IF(ISERROR(SEARCH("ASMA, OSAS",Tabella2[[#This Row],[Patologia respiratoria nota]],1)),0,1)</f>
        <v>0</v>
      </c>
      <c r="AA11" s="47">
        <f>IF(ISERROR(SEARCH("BPCO, OSAS",Tabella2[[#This Row],[Patologia respiratoria nota]],1)),0,1)</f>
        <v>1</v>
      </c>
      <c r="AB11" s="47">
        <f>IF(ISERROR(SEARCH("ASMA, BPCO, OSAS",Tabella2[[#This Row],[Patologia respiratoria nota]],1)),0,1)</f>
        <v>0</v>
      </c>
      <c r="AC11" s="41" t="s">
        <v>657</v>
      </c>
      <c r="AD11" s="48">
        <f>IF(ISERROR(SEARCH("NDD",Tabella2[[#This Row],[Tosse]],1)),0,1)</f>
        <v>0</v>
      </c>
      <c r="AE11" s="48">
        <f>IF(ISERROR(SEARCH("NEGA",Tabella2[[#This Row],[Tosse]],1)),0,1)</f>
        <v>1</v>
      </c>
      <c r="AF11" s="48">
        <f>IF(ISERROR(SEARCH("OCCASIONALMENTE",Tabella2[[#This Row],[Tosse]],1)),0,1)</f>
        <v>0</v>
      </c>
      <c r="AG11" s="48">
        <f>IF(ISERROR(SEARCH("RARAMENTE",Tabella2[[#This Row],[Tosse]],1)),0,1)</f>
        <v>0</v>
      </c>
      <c r="AH11" s="48">
        <f>IF(ISERROR(SEARCH("SI",Tabella2[[#This Row],[Tosse]],1)),0,1)</f>
        <v>0</v>
      </c>
      <c r="AI11" s="37" t="s">
        <v>657</v>
      </c>
      <c r="AJ11" s="46">
        <f>IF(ISERROR(SEARCH("SI",Tabella2[[#This Row],[Espettorazione]],1)),0,1)</f>
        <v>0</v>
      </c>
      <c r="AK11" s="46">
        <f>IF(ISERROR(SEARCH("NEGA",Tabella2[[#This Row],[Espettorazione]],1)),0,1)</f>
        <v>1</v>
      </c>
      <c r="AL11" s="46">
        <f>IF(ISERROR(SEARCH("NDD",Tabella2[[#This Row],[Espettorazione]],1)),0,1)</f>
        <v>0</v>
      </c>
      <c r="AM11" s="37" t="s">
        <v>28</v>
      </c>
      <c r="AN11" s="47">
        <v>1</v>
      </c>
      <c r="AO11" s="37" t="s">
        <v>28</v>
      </c>
      <c r="AP11" s="47">
        <f>IF(ISERROR(SEARCH("NEGA",Tabella2[[#This Row],[Dispnea da sforzo]],1)),0,1)</f>
        <v>0</v>
      </c>
      <c r="AQ11" s="47">
        <f>IF(ISERROR(SEARCH("NEGA",Tabella2[[#This Row],[Dispnea da sforzo]],1)),1,0)</f>
        <v>1</v>
      </c>
      <c r="AR11" s="47">
        <f>IF(ISERROR(SEARCH("LIEVI",Tabella2[[#This Row],[Dispnea da sforzo]],1)),0,1)</f>
        <v>0</v>
      </c>
      <c r="AS11" s="47">
        <f>IF(ISERROR(SEARCH("MODERATI",Tabella2[[#This Row],[Dispnea da sforzo]],1)),0,1)</f>
        <v>0</v>
      </c>
      <c r="AT11" s="47">
        <f>IF(ISERROR(SEARCH("INTENSI",Tabella2[[#This Row],[Dispnea da sforzo]],1)),0,1)</f>
        <v>0</v>
      </c>
      <c r="AU11" s="37" t="s">
        <v>657</v>
      </c>
      <c r="AV11" s="46">
        <f>IF(ISERROR(SEARCH("NEGA",Tabella2[[#This Row],[Dispnea a riposo]],1)),0,1)</f>
        <v>1</v>
      </c>
      <c r="AW11" s="46">
        <f>IF(ISERROR(SEARCH("NDD",Tabella2[[#This Row],[Dispnea a riposo]],1)),0,1)</f>
        <v>0</v>
      </c>
      <c r="AX11" s="37" t="s">
        <v>4025</v>
      </c>
      <c r="AY11" s="46">
        <v>1</v>
      </c>
      <c r="AZ11" s="37" t="s">
        <v>28</v>
      </c>
      <c r="BA11" s="17">
        <v>1</v>
      </c>
      <c r="BB11" s="37" t="s">
        <v>28</v>
      </c>
      <c r="BC11" s="17">
        <v>1</v>
      </c>
      <c r="BD11" s="37" t="s">
        <v>28</v>
      </c>
      <c r="BE11" s="17">
        <v>1</v>
      </c>
      <c r="BF11" s="37" t="s">
        <v>4026</v>
      </c>
      <c r="BG11" s="17">
        <v>1</v>
      </c>
      <c r="BH11" s="37" t="s">
        <v>28</v>
      </c>
      <c r="BI11" s="18">
        <v>1</v>
      </c>
      <c r="BJ11" s="37">
        <v>16</v>
      </c>
      <c r="BK11" s="37" t="s">
        <v>4027</v>
      </c>
      <c r="BL11" s="46"/>
      <c r="BM11" s="46"/>
      <c r="BN11" s="46"/>
      <c r="BO11" s="46"/>
      <c r="BP11" s="46">
        <v>1</v>
      </c>
      <c r="BQ11" s="46">
        <v>1</v>
      </c>
      <c r="BR11" s="46"/>
      <c r="BS11" s="46"/>
      <c r="BT11" s="46"/>
      <c r="BU11" s="46"/>
      <c r="BV11" s="46">
        <v>1</v>
      </c>
      <c r="BW11" s="46"/>
      <c r="BX11" s="46"/>
      <c r="BY11" s="46"/>
      <c r="BZ11" s="46"/>
      <c r="CA11" s="46"/>
      <c r="CB11" s="46"/>
      <c r="CC11" s="46"/>
      <c r="CD11" s="46"/>
      <c r="CE11" s="46"/>
      <c r="CF11" s="46"/>
      <c r="CG11" s="37">
        <v>37</v>
      </c>
      <c r="CH11" s="37"/>
      <c r="CI11" s="37">
        <v>98</v>
      </c>
      <c r="CJ11" s="37">
        <v>60</v>
      </c>
      <c r="CK11" s="37" t="s">
        <v>4028</v>
      </c>
      <c r="CL11" s="37" t="s">
        <v>4029</v>
      </c>
      <c r="CM11" s="37" t="s">
        <v>4030</v>
      </c>
      <c r="CN11" s="17">
        <v>0</v>
      </c>
      <c r="CO11" s="17">
        <v>0</v>
      </c>
      <c r="CP11" s="17">
        <v>1</v>
      </c>
      <c r="CQ11" s="17">
        <v>0</v>
      </c>
      <c r="CR11" s="37" t="s">
        <v>4031</v>
      </c>
      <c r="CS11" s="37" t="s">
        <v>4032</v>
      </c>
      <c r="CT11" s="63">
        <v>0.58899999999999997</v>
      </c>
      <c r="CU11" s="37" t="s">
        <v>4033</v>
      </c>
      <c r="CV11" s="37"/>
      <c r="CW11" s="37"/>
      <c r="CX11" s="37" t="s">
        <v>28</v>
      </c>
      <c r="CY11" s="17">
        <v>1</v>
      </c>
      <c r="CZ11" s="37" t="s">
        <v>4034</v>
      </c>
      <c r="DA11" s="38" t="s">
        <v>4035</v>
      </c>
    </row>
    <row r="12" spans="1:105" ht="57">
      <c r="A12" s="5">
        <v>266</v>
      </c>
      <c r="B12" s="6">
        <v>44343</v>
      </c>
      <c r="C12" s="7" t="s">
        <v>4036</v>
      </c>
      <c r="D12" s="6">
        <v>15095</v>
      </c>
      <c r="E12" s="51">
        <f ca="1">_xlfn.DAYS(NOW(),Tabella2[[#This Row],[Data Nascita]])/365.25</f>
        <v>84.26557152635182</v>
      </c>
      <c r="F12" s="7" t="s">
        <v>4037</v>
      </c>
      <c r="G12" s="7" t="s">
        <v>4038</v>
      </c>
      <c r="H12" s="7" t="s">
        <v>4039</v>
      </c>
      <c r="I12" s="7" t="s">
        <v>3948</v>
      </c>
      <c r="J12" s="7" t="s">
        <v>4040</v>
      </c>
      <c r="K12" s="7"/>
      <c r="L12" s="7"/>
      <c r="M12" s="7"/>
      <c r="N12" s="7"/>
      <c r="O12" s="17" t="s">
        <v>5412</v>
      </c>
      <c r="P12" s="17">
        <v>0</v>
      </c>
      <c r="Q12" s="7" t="s">
        <v>8</v>
      </c>
      <c r="R12" s="7" t="s">
        <v>8</v>
      </c>
      <c r="S12" s="7" t="s">
        <v>4041</v>
      </c>
      <c r="T12" s="7" t="s">
        <v>439</v>
      </c>
      <c r="U12" s="17">
        <f>IF(ISERROR(SEARCH("null",Tabella2[[#This Row],[Patologia respiratoria nota]],1)),0,1)</f>
        <v>0</v>
      </c>
      <c r="V12" s="17">
        <f>IF(ISERROR(SEARCH("MUTA",Tabella2[[#This Row],[Patologia respiratoria nota]],1)),0,1)</f>
        <v>0</v>
      </c>
      <c r="W12" s="17">
        <f>IF(ISERROR(SEARCH("OSAS",Tabella2[[#This Row],[Patologia respiratoria nota]],1)),0,1)</f>
        <v>1</v>
      </c>
      <c r="X12" s="17">
        <f>IF(ISERROR(SEARCH("BPCO",Tabella2[[#This Row],[Patologia respiratoria nota]],1)),0,1)</f>
        <v>0</v>
      </c>
      <c r="Y12" s="17">
        <f>IF(ISERROR(SEARCH("ASMA",Tabella2[[#This Row],[Patologia respiratoria nota]],1)),0,1)</f>
        <v>0</v>
      </c>
      <c r="Z12" s="17">
        <f>IF(ISERROR(SEARCH("ASMA, OSAS",Tabella2[[#This Row],[Patologia respiratoria nota]],1)),0,1)</f>
        <v>0</v>
      </c>
      <c r="AA12" s="17">
        <f>IF(ISERROR(SEARCH("BPCO, OSAS",Tabella2[[#This Row],[Patologia respiratoria nota]],1)),0,1)</f>
        <v>0</v>
      </c>
      <c r="AB12" s="17">
        <f>IF(ISERROR(SEARCH("ASMA, BPCO, OSAS",Tabella2[[#This Row],[Patologia respiratoria nota]],1)),0,1)</f>
        <v>0</v>
      </c>
      <c r="AC12" s="15" t="s">
        <v>657</v>
      </c>
      <c r="AD12" s="19">
        <f>IF(ISERROR(SEARCH("NDD",Tabella2[[#This Row],[Tosse]],1)),0,1)</f>
        <v>0</v>
      </c>
      <c r="AE12" s="19">
        <f>IF(ISERROR(SEARCH("NEGA",Tabella2[[#This Row],[Tosse]],1)),0,1)</f>
        <v>1</v>
      </c>
      <c r="AF12" s="19">
        <f>IF(ISERROR(SEARCH("OCCASIONALMENTE",Tabella2[[#This Row],[Tosse]],1)),0,1)</f>
        <v>0</v>
      </c>
      <c r="AG12" s="19">
        <f>IF(ISERROR(SEARCH("RARAMENTE",Tabella2[[#This Row],[Tosse]],1)),0,1)</f>
        <v>0</v>
      </c>
      <c r="AH12" s="19">
        <f>IF(ISERROR(SEARCH("SI",Tabella2[[#This Row],[Tosse]],1)),0,1)</f>
        <v>0</v>
      </c>
      <c r="AI12" s="7" t="s">
        <v>657</v>
      </c>
      <c r="AJ12" s="17">
        <f>IF(ISERROR(SEARCH("SI",Tabella2[[#This Row],[Espettorazione]],1)),0,1)</f>
        <v>0</v>
      </c>
      <c r="AK12" s="17">
        <f>IF(ISERROR(SEARCH("NEGA",Tabella2[[#This Row],[Espettorazione]],1)),0,1)</f>
        <v>1</v>
      </c>
      <c r="AL12" s="17">
        <f>IF(ISERROR(SEARCH("NDD",Tabella2[[#This Row],[Espettorazione]],1)),0,1)</f>
        <v>0</v>
      </c>
      <c r="AM12" s="7" t="s">
        <v>657</v>
      </c>
      <c r="AN12" s="17">
        <v>0</v>
      </c>
      <c r="AO12" s="7" t="s">
        <v>5523</v>
      </c>
      <c r="AP12" s="17">
        <f>IF(ISERROR(SEARCH("NEGA",Tabella2[[#This Row],[Dispnea da sforzo]],1)),0,1)</f>
        <v>0</v>
      </c>
      <c r="AQ12" s="17">
        <f>IF(ISERROR(SEARCH("NEGA",Tabella2[[#This Row],[Dispnea da sforzo]],1)),1,0)</f>
        <v>1</v>
      </c>
      <c r="AR12" s="17">
        <f>IF(ISERROR(SEARCH("LIEVI",Tabella2[[#This Row],[Dispnea da sforzo]],1)),0,1)</f>
        <v>1</v>
      </c>
      <c r="AS12" s="17">
        <f>IF(ISERROR(SEARCH("MODERATI",Tabella2[[#This Row],[Dispnea da sforzo]],1)),0,1)</f>
        <v>0</v>
      </c>
      <c r="AT12" s="17">
        <f>IF(ISERROR(SEARCH("INTENSI",Tabella2[[#This Row],[Dispnea da sforzo]],1)),0,1)</f>
        <v>0</v>
      </c>
      <c r="AU12" s="7" t="s">
        <v>657</v>
      </c>
      <c r="AV12" s="17">
        <f>IF(ISERROR(SEARCH("NEGA",Tabella2[[#This Row],[Dispnea a riposo]],1)),0,1)</f>
        <v>1</v>
      </c>
      <c r="AW12" s="17">
        <f>IF(ISERROR(SEARCH("NDD",Tabella2[[#This Row],[Dispnea a riposo]],1)),0,1)</f>
        <v>0</v>
      </c>
      <c r="AX12" s="7" t="s">
        <v>657</v>
      </c>
      <c r="AY12" s="17">
        <v>0</v>
      </c>
      <c r="AZ12" s="7" t="s">
        <v>28</v>
      </c>
      <c r="BA12" s="17">
        <v>1</v>
      </c>
      <c r="BB12" s="7" t="s">
        <v>657</v>
      </c>
      <c r="BC12" s="17">
        <v>0</v>
      </c>
      <c r="BD12" s="7" t="s">
        <v>28</v>
      </c>
      <c r="BE12" s="17">
        <v>1</v>
      </c>
      <c r="BF12" s="7" t="s">
        <v>28</v>
      </c>
      <c r="BG12" s="17">
        <v>1</v>
      </c>
      <c r="BH12" s="7" t="s">
        <v>657</v>
      </c>
      <c r="BI12" s="17">
        <v>0</v>
      </c>
      <c r="BJ12" s="7">
        <v>17</v>
      </c>
      <c r="BK12" s="7" t="s">
        <v>7655</v>
      </c>
      <c r="BL12" s="17"/>
      <c r="BM12" s="17"/>
      <c r="BN12" s="17"/>
      <c r="BO12" s="17"/>
      <c r="BP12" s="17">
        <v>1</v>
      </c>
      <c r="BQ12" s="17"/>
      <c r="BR12" s="17"/>
      <c r="BS12" s="17"/>
      <c r="BT12" s="17"/>
      <c r="BU12" s="17"/>
      <c r="BV12" s="17"/>
      <c r="BW12" s="17"/>
      <c r="BX12" s="17"/>
      <c r="BY12" s="17"/>
      <c r="BZ12" s="17">
        <v>1</v>
      </c>
      <c r="CA12" s="17"/>
      <c r="CB12" s="17"/>
      <c r="CC12" s="17"/>
      <c r="CD12" s="17"/>
      <c r="CE12" s="17"/>
      <c r="CF12" s="17">
        <v>1</v>
      </c>
      <c r="CG12" s="7">
        <v>34</v>
      </c>
      <c r="CH12" s="7"/>
      <c r="CI12" s="7">
        <v>96</v>
      </c>
      <c r="CJ12" s="7">
        <v>75</v>
      </c>
      <c r="CK12" s="7" t="s">
        <v>4042</v>
      </c>
      <c r="CL12" s="7" t="s">
        <v>4043</v>
      </c>
      <c r="CM12" s="7" t="s">
        <v>3914</v>
      </c>
      <c r="CN12" s="17">
        <v>0</v>
      </c>
      <c r="CO12" s="17">
        <v>1</v>
      </c>
      <c r="CP12" s="17">
        <v>0</v>
      </c>
      <c r="CQ12" s="17">
        <v>0</v>
      </c>
      <c r="CR12" s="7" t="s">
        <v>4044</v>
      </c>
      <c r="CS12" s="7" t="s">
        <v>4045</v>
      </c>
      <c r="CT12" s="64">
        <v>1</v>
      </c>
      <c r="CU12" s="7" t="s">
        <v>4046</v>
      </c>
      <c r="CV12" s="7"/>
      <c r="CW12" s="7"/>
      <c r="CX12" s="7" t="s">
        <v>28</v>
      </c>
      <c r="CY12" s="17">
        <v>1</v>
      </c>
      <c r="CZ12" s="7" t="s">
        <v>4047</v>
      </c>
      <c r="DA12" s="8" t="s">
        <v>4048</v>
      </c>
    </row>
    <row r="13" spans="1:105" ht="71.25">
      <c r="A13" s="9">
        <v>285</v>
      </c>
      <c r="B13" s="10">
        <v>44355</v>
      </c>
      <c r="C13" s="11" t="s">
        <v>4049</v>
      </c>
      <c r="D13" s="10">
        <v>17339</v>
      </c>
      <c r="E13" s="52">
        <f ca="1">_xlfn.DAYS(NOW(),Tabella2[[#This Row],[Data Nascita]])/365.25</f>
        <v>78.121834360027378</v>
      </c>
      <c r="F13" s="11" t="s">
        <v>4050</v>
      </c>
      <c r="G13" s="11"/>
      <c r="H13" s="11" t="s">
        <v>4051</v>
      </c>
      <c r="I13" s="11" t="s">
        <v>3948</v>
      </c>
      <c r="J13" s="11" t="s">
        <v>4052</v>
      </c>
      <c r="K13" s="11"/>
      <c r="L13" s="11"/>
      <c r="M13" s="11"/>
      <c r="N13" s="11"/>
      <c r="O13" s="17" t="s">
        <v>5412</v>
      </c>
      <c r="P13" s="17">
        <v>0</v>
      </c>
      <c r="Q13" s="11" t="s">
        <v>8</v>
      </c>
      <c r="R13" s="11" t="s">
        <v>8</v>
      </c>
      <c r="S13" s="11" t="s">
        <v>4053</v>
      </c>
      <c r="T13" s="7" t="s">
        <v>5443</v>
      </c>
      <c r="U13" s="18">
        <f>IF(ISERROR(SEARCH("null",Tabella2[[#This Row],[Patologia respiratoria nota]],1)),0,1)</f>
        <v>0</v>
      </c>
      <c r="V13" s="17">
        <f>IF(ISERROR(SEARCH("MUTA",Tabella2[[#This Row],[Patologia respiratoria nota]],1)),0,1)</f>
        <v>1</v>
      </c>
      <c r="W13" s="18">
        <f>IF(ISERROR(SEARCH("OSAS",Tabella2[[#This Row],[Patologia respiratoria nota]],1)),0,1)</f>
        <v>0</v>
      </c>
      <c r="X13" s="17">
        <f>IF(ISERROR(SEARCH("BPCO",Tabella2[[#This Row],[Patologia respiratoria nota]],1)),0,1)</f>
        <v>0</v>
      </c>
      <c r="Y13" s="17">
        <f>IF(ISERROR(SEARCH("ASMA",Tabella2[[#This Row],[Patologia respiratoria nota]],1)),0,1)</f>
        <v>0</v>
      </c>
      <c r="Z13" s="17">
        <f>IF(ISERROR(SEARCH("ASMA, OSAS",Tabella2[[#This Row],[Patologia respiratoria nota]],1)),0,1)</f>
        <v>0</v>
      </c>
      <c r="AA13" s="17">
        <f>IF(ISERROR(SEARCH("BPCO, OSAS",Tabella2[[#This Row],[Patologia respiratoria nota]],1)),0,1)</f>
        <v>0</v>
      </c>
      <c r="AB13" s="17">
        <f>IF(ISERROR(SEARCH("ASMA, BPCO, OSAS",Tabella2[[#This Row],[Patologia respiratoria nota]],1)),0,1)</f>
        <v>0</v>
      </c>
      <c r="AC13" s="15" t="s">
        <v>657</v>
      </c>
      <c r="AD13" s="19">
        <f>IF(ISERROR(SEARCH("NDD",Tabella2[[#This Row],[Tosse]],1)),0,1)</f>
        <v>0</v>
      </c>
      <c r="AE13" s="19">
        <f>IF(ISERROR(SEARCH("NEGA",Tabella2[[#This Row],[Tosse]],1)),0,1)</f>
        <v>1</v>
      </c>
      <c r="AF13" s="19">
        <f>IF(ISERROR(SEARCH("OCCASIONALMENTE",Tabella2[[#This Row],[Tosse]],1)),0,1)</f>
        <v>0</v>
      </c>
      <c r="AG13" s="19">
        <f>IF(ISERROR(SEARCH("RARAMENTE",Tabella2[[#This Row],[Tosse]],1)),0,1)</f>
        <v>0</v>
      </c>
      <c r="AH13" s="19">
        <f>IF(ISERROR(SEARCH("SI",Tabella2[[#This Row],[Tosse]],1)),0,1)</f>
        <v>0</v>
      </c>
      <c r="AI13" s="11" t="s">
        <v>5484</v>
      </c>
      <c r="AJ13" s="18">
        <f>IF(ISERROR(SEARCH("SI",Tabella2[[#This Row],[Espettorazione]],1)),0,1)</f>
        <v>1</v>
      </c>
      <c r="AK13" s="17">
        <v>0</v>
      </c>
      <c r="AL13" s="18">
        <f>IF(ISERROR(SEARCH("NDD",Tabella2[[#This Row],[Espettorazione]],1)),0,1)</f>
        <v>0</v>
      </c>
      <c r="AM13" s="11" t="s">
        <v>657</v>
      </c>
      <c r="AN13" s="17">
        <v>0</v>
      </c>
      <c r="AO13" s="11" t="s">
        <v>5477</v>
      </c>
      <c r="AP13" s="17">
        <f>IF(ISERROR(SEARCH("NEGA",Tabella2[[#This Row],[Dispnea da sforzo]],1)),0,1)</f>
        <v>0</v>
      </c>
      <c r="AQ13" s="17">
        <v>0</v>
      </c>
      <c r="AR13" s="17">
        <f>IF(ISERROR(SEARCH("LIEVI",Tabella2[[#This Row],[Dispnea da sforzo]],1)),0,1)</f>
        <v>0</v>
      </c>
      <c r="AS13" s="17">
        <f>IF(ISERROR(SEARCH("MODERATI",Tabella2[[#This Row],[Dispnea da sforzo]],1)),0,1)</f>
        <v>0</v>
      </c>
      <c r="AT13" s="17">
        <f>IF(ISERROR(SEARCH("INTENSI",Tabella2[[#This Row],[Dispnea da sforzo]],1)),0,1)</f>
        <v>0</v>
      </c>
      <c r="AU13" s="11" t="s">
        <v>657</v>
      </c>
      <c r="AV13" s="18">
        <f>IF(ISERROR(SEARCH("NEGA",Tabella2[[#This Row],[Dispnea a riposo]],1)),0,1)</f>
        <v>1</v>
      </c>
      <c r="AW13" s="18">
        <f>IF(ISERROR(SEARCH("NDD",Tabella2[[#This Row],[Dispnea a riposo]],1)),0,1)</f>
        <v>0</v>
      </c>
      <c r="AX13" s="11" t="s">
        <v>657</v>
      </c>
      <c r="AY13" s="17">
        <v>0</v>
      </c>
      <c r="AZ13" s="11" t="s">
        <v>657</v>
      </c>
      <c r="BA13" s="18">
        <v>0</v>
      </c>
      <c r="BB13" s="11" t="s">
        <v>28</v>
      </c>
      <c r="BC13" s="17">
        <v>1</v>
      </c>
      <c r="BD13" s="11" t="s">
        <v>28</v>
      </c>
      <c r="BE13" s="17">
        <v>1</v>
      </c>
      <c r="BF13" s="11" t="s">
        <v>28</v>
      </c>
      <c r="BG13" s="17">
        <v>1</v>
      </c>
      <c r="BH13" s="11" t="s">
        <v>657</v>
      </c>
      <c r="BI13" s="17">
        <v>0</v>
      </c>
      <c r="BJ13" s="11">
        <v>17</v>
      </c>
      <c r="BK13" s="11" t="s">
        <v>4054</v>
      </c>
      <c r="BL13" s="18"/>
      <c r="BM13" s="18"/>
      <c r="BN13" s="18"/>
      <c r="BO13" s="18"/>
      <c r="BP13" s="18"/>
      <c r="BQ13" s="18"/>
      <c r="BR13" s="18"/>
      <c r="BS13" s="18"/>
      <c r="BT13" s="18"/>
      <c r="BU13" s="18"/>
      <c r="BV13" s="18">
        <v>1</v>
      </c>
      <c r="BW13" s="18"/>
      <c r="BX13" s="18"/>
      <c r="BY13" s="18"/>
      <c r="BZ13" s="18"/>
      <c r="CA13" s="18"/>
      <c r="CB13" s="18"/>
      <c r="CC13" s="18"/>
      <c r="CD13" s="18"/>
      <c r="CE13" s="18"/>
      <c r="CF13" s="18">
        <v>1</v>
      </c>
      <c r="CG13" s="11">
        <v>33</v>
      </c>
      <c r="CH13" s="11"/>
      <c r="CI13" s="11">
        <v>93</v>
      </c>
      <c r="CJ13" s="11">
        <v>80</v>
      </c>
      <c r="CK13" s="11" t="s">
        <v>4028</v>
      </c>
      <c r="CL13" s="11" t="s">
        <v>4055</v>
      </c>
      <c r="CM13" s="33" t="s">
        <v>5477</v>
      </c>
      <c r="CN13" s="47">
        <v>1</v>
      </c>
      <c r="CO13" s="17">
        <v>0</v>
      </c>
      <c r="CP13" s="17">
        <v>0</v>
      </c>
      <c r="CQ13" s="17">
        <v>0</v>
      </c>
      <c r="CR13" s="11"/>
      <c r="CS13" s="33" t="s">
        <v>5477</v>
      </c>
      <c r="CT13" s="65"/>
      <c r="CU13" s="11"/>
      <c r="CV13" s="11"/>
      <c r="CW13" s="11"/>
      <c r="CX13" s="7" t="s">
        <v>5477</v>
      </c>
      <c r="CY13" s="17">
        <v>0</v>
      </c>
      <c r="CZ13" s="11"/>
      <c r="DA13" s="12" t="s">
        <v>4056</v>
      </c>
    </row>
    <row r="14" spans="1:105" ht="85.5">
      <c r="A14" s="5">
        <v>310</v>
      </c>
      <c r="B14" s="6">
        <v>44378</v>
      </c>
      <c r="C14" s="7" t="s">
        <v>4057</v>
      </c>
      <c r="D14" s="6">
        <v>11431</v>
      </c>
      <c r="E14" s="51">
        <f ca="1">_xlfn.DAYS(NOW(),Tabella2[[#This Row],[Data Nascita]])/365.25</f>
        <v>94.297056810403831</v>
      </c>
      <c r="F14" s="7" t="s">
        <v>4058</v>
      </c>
      <c r="G14" s="7" t="s">
        <v>4059</v>
      </c>
      <c r="H14" s="7" t="s">
        <v>4060</v>
      </c>
      <c r="I14" s="7" t="s">
        <v>3948</v>
      </c>
      <c r="J14" s="7" t="s">
        <v>4061</v>
      </c>
      <c r="K14" s="7"/>
      <c r="L14" s="7"/>
      <c r="M14" s="7"/>
      <c r="N14" s="7"/>
      <c r="O14" s="17" t="s">
        <v>5412</v>
      </c>
      <c r="P14" s="17">
        <v>0</v>
      </c>
      <c r="Q14" s="7" t="s">
        <v>8</v>
      </c>
      <c r="R14" s="7" t="s">
        <v>8</v>
      </c>
      <c r="S14" s="7" t="s">
        <v>4062</v>
      </c>
      <c r="T14" s="7" t="s">
        <v>5413</v>
      </c>
      <c r="U14" s="17">
        <f>IF(ISERROR(SEARCH("null",Tabella2[[#This Row],[Patologia respiratoria nota]],1)),0,1)</f>
        <v>0</v>
      </c>
      <c r="V14" s="17">
        <f>IF(ISERROR(SEARCH("MUTA",Tabella2[[#This Row],[Patologia respiratoria nota]],1)),0,1)</f>
        <v>0</v>
      </c>
      <c r="W14" s="17">
        <f>IF(ISERROR(SEARCH("OSAS",Tabella2[[#This Row],[Patologia respiratoria nota]],1)),0,1)</f>
        <v>0</v>
      </c>
      <c r="X14" s="17">
        <f>IF(ISERROR(SEARCH("BPCO",Tabella2[[#This Row],[Patologia respiratoria nota]],1)),0,1)</f>
        <v>1</v>
      </c>
      <c r="Y14" s="17">
        <f>IF(ISERROR(SEARCH("ASMA",Tabella2[[#This Row],[Patologia respiratoria nota]],1)),0,1)</f>
        <v>0</v>
      </c>
      <c r="Z14" s="17">
        <f>IF(ISERROR(SEARCH("ASMA, OSAS",Tabella2[[#This Row],[Patologia respiratoria nota]],1)),0,1)</f>
        <v>0</v>
      </c>
      <c r="AA14" s="17">
        <f>IF(ISERROR(SEARCH("BPCO, OSAS",Tabella2[[#This Row],[Patologia respiratoria nota]],1)),0,1)</f>
        <v>0</v>
      </c>
      <c r="AB14" s="17">
        <f>IF(ISERROR(SEARCH("ASMA, BPCO, OSAS",Tabella2[[#This Row],[Patologia respiratoria nota]],1)),0,1)</f>
        <v>0</v>
      </c>
      <c r="AC14" s="15" t="s">
        <v>657</v>
      </c>
      <c r="AD14" s="19">
        <f>IF(ISERROR(SEARCH("NDD",Tabella2[[#This Row],[Tosse]],1)),0,1)</f>
        <v>0</v>
      </c>
      <c r="AE14" s="19">
        <f>IF(ISERROR(SEARCH("NEGA",Tabella2[[#This Row],[Tosse]],1)),0,1)</f>
        <v>1</v>
      </c>
      <c r="AF14" s="19">
        <f>IF(ISERROR(SEARCH("OCCASIONALMENTE",Tabella2[[#This Row],[Tosse]],1)),0,1)</f>
        <v>0</v>
      </c>
      <c r="AG14" s="19">
        <f>IF(ISERROR(SEARCH("RARAMENTE",Tabella2[[#This Row],[Tosse]],1)),0,1)</f>
        <v>0</v>
      </c>
      <c r="AH14" s="19">
        <f>IF(ISERROR(SEARCH("SI",Tabella2[[#This Row],[Tosse]],1)),0,1)</f>
        <v>0</v>
      </c>
      <c r="AI14" s="7" t="s">
        <v>5508</v>
      </c>
      <c r="AJ14" s="17">
        <f>IF(ISERROR(SEARCH("SI",Tabella2[[#This Row],[Espettorazione]],1)),0,1)</f>
        <v>0</v>
      </c>
      <c r="AK14" s="17">
        <f>IF(ISERROR(SEARCH("NEGA",Tabella2[[#This Row],[Espettorazione]],1)),0,1)</f>
        <v>1</v>
      </c>
      <c r="AL14" s="17">
        <f>IF(ISERROR(SEARCH("NDD",Tabella2[[#This Row],[Espettorazione]],1)),0,1)</f>
        <v>0</v>
      </c>
      <c r="AM14" s="7" t="s">
        <v>657</v>
      </c>
      <c r="AN14" s="17">
        <v>0</v>
      </c>
      <c r="AO14" s="7" t="s">
        <v>28</v>
      </c>
      <c r="AP14" s="17">
        <f>IF(ISERROR(SEARCH("NEGA",Tabella2[[#This Row],[Dispnea da sforzo]],1)),0,1)</f>
        <v>0</v>
      </c>
      <c r="AQ14" s="17">
        <f>IF(ISERROR(SEARCH("NEGA",Tabella2[[#This Row],[Dispnea da sforzo]],1)),1,0)</f>
        <v>1</v>
      </c>
      <c r="AR14" s="17">
        <f>IF(ISERROR(SEARCH("LIEVI",Tabella2[[#This Row],[Dispnea da sforzo]],1)),0,1)</f>
        <v>0</v>
      </c>
      <c r="AS14" s="17">
        <f>IF(ISERROR(SEARCH("MODERATI",Tabella2[[#This Row],[Dispnea da sforzo]],1)),0,1)</f>
        <v>0</v>
      </c>
      <c r="AT14" s="17">
        <f>IF(ISERROR(SEARCH("INTENSI",Tabella2[[#This Row],[Dispnea da sforzo]],1)),0,1)</f>
        <v>0</v>
      </c>
      <c r="AU14" s="7" t="s">
        <v>657</v>
      </c>
      <c r="AV14" s="17">
        <f>IF(ISERROR(SEARCH("NEGA",Tabella2[[#This Row],[Dispnea a riposo]],1)),0,1)</f>
        <v>1</v>
      </c>
      <c r="AW14" s="17">
        <f>IF(ISERROR(SEARCH("NDD",Tabella2[[#This Row],[Dispnea a riposo]],1)),0,1)</f>
        <v>0</v>
      </c>
      <c r="AX14" s="7" t="s">
        <v>657</v>
      </c>
      <c r="AY14" s="17">
        <v>0</v>
      </c>
      <c r="AZ14" s="7" t="s">
        <v>657</v>
      </c>
      <c r="BA14" s="18">
        <v>0</v>
      </c>
      <c r="BB14" s="7" t="s">
        <v>657</v>
      </c>
      <c r="BC14" s="17">
        <v>0</v>
      </c>
      <c r="BD14" s="7" t="s">
        <v>47</v>
      </c>
      <c r="BE14" s="17">
        <v>1</v>
      </c>
      <c r="BF14" s="7" t="s">
        <v>28</v>
      </c>
      <c r="BG14" s="17">
        <v>1</v>
      </c>
      <c r="BH14" s="7" t="s">
        <v>657</v>
      </c>
      <c r="BI14" s="17">
        <v>0</v>
      </c>
      <c r="BJ14" s="7">
        <v>15</v>
      </c>
      <c r="BK14" s="7" t="s">
        <v>4063</v>
      </c>
      <c r="BL14" s="17"/>
      <c r="BM14" s="17"/>
      <c r="BN14" s="17"/>
      <c r="BO14" s="17"/>
      <c r="BP14" s="17"/>
      <c r="BQ14" s="17"/>
      <c r="BR14" s="17"/>
      <c r="BS14" s="17"/>
      <c r="BT14" s="17"/>
      <c r="BU14" s="17"/>
      <c r="BV14" s="17"/>
      <c r="BW14" s="17"/>
      <c r="BX14" s="17"/>
      <c r="BY14" s="17"/>
      <c r="BZ14" s="17"/>
      <c r="CA14" s="17"/>
      <c r="CB14" s="17"/>
      <c r="CC14" s="17"/>
      <c r="CD14" s="17"/>
      <c r="CE14" s="17"/>
      <c r="CF14" s="17">
        <v>1</v>
      </c>
      <c r="CG14" s="7">
        <v>30</v>
      </c>
      <c r="CH14" s="7"/>
      <c r="CI14" s="7">
        <v>95</v>
      </c>
      <c r="CJ14" s="7">
        <v>57</v>
      </c>
      <c r="CK14" s="7" t="s">
        <v>4064</v>
      </c>
      <c r="CL14" s="7" t="s">
        <v>4065</v>
      </c>
      <c r="CM14" s="7" t="s">
        <v>3914</v>
      </c>
      <c r="CN14" s="17">
        <v>0</v>
      </c>
      <c r="CO14" s="17">
        <v>1</v>
      </c>
      <c r="CP14" s="17">
        <v>0</v>
      </c>
      <c r="CQ14" s="17">
        <v>0</v>
      </c>
      <c r="CR14" s="7" t="s">
        <v>4044</v>
      </c>
      <c r="CS14" s="7" t="s">
        <v>4066</v>
      </c>
      <c r="CT14" s="64">
        <v>0.17349999999999999</v>
      </c>
      <c r="CU14" s="7" t="s">
        <v>4067</v>
      </c>
      <c r="CV14" s="7"/>
      <c r="CW14" s="7"/>
      <c r="CX14" s="7" t="s">
        <v>28</v>
      </c>
      <c r="CY14" s="17">
        <v>1</v>
      </c>
      <c r="CZ14" s="7" t="s">
        <v>4068</v>
      </c>
      <c r="DA14" s="8" t="s">
        <v>4069</v>
      </c>
    </row>
    <row r="15" spans="1:105" s="54" customFormat="1" ht="57">
      <c r="A15" s="9">
        <v>311</v>
      </c>
      <c r="B15" s="10">
        <v>44317</v>
      </c>
      <c r="C15" s="11" t="s">
        <v>4070</v>
      </c>
      <c r="D15" s="10">
        <v>16923</v>
      </c>
      <c r="E15" s="52">
        <f ca="1">_xlfn.DAYS(NOW(),Tabella2[[#This Row],[Data Nascita]])/365.25</f>
        <v>79.260780287474333</v>
      </c>
      <c r="F15" s="11" t="s">
        <v>4071</v>
      </c>
      <c r="G15" s="11" t="s">
        <v>4072</v>
      </c>
      <c r="H15" s="11" t="s">
        <v>4073</v>
      </c>
      <c r="I15" s="11" t="s">
        <v>3948</v>
      </c>
      <c r="J15" s="11" t="s">
        <v>4074</v>
      </c>
      <c r="K15" s="11"/>
      <c r="L15" s="11"/>
      <c r="M15" s="11"/>
      <c r="N15" s="11"/>
      <c r="O15" s="17" t="s">
        <v>5412</v>
      </c>
      <c r="P15" s="17">
        <v>0</v>
      </c>
      <c r="Q15" s="11" t="s">
        <v>25</v>
      </c>
      <c r="R15" s="11" t="s">
        <v>25</v>
      </c>
      <c r="S15" s="11" t="s">
        <v>4075</v>
      </c>
      <c r="T15" s="11" t="s">
        <v>5415</v>
      </c>
      <c r="U15" s="18">
        <f>IF(ISERROR(SEARCH("null",Tabella2[[#This Row],[Patologia respiratoria nota]],1)),0,1)</f>
        <v>0</v>
      </c>
      <c r="V15" s="17">
        <f>IF(ISERROR(SEARCH("MUTA",Tabella2[[#This Row],[Patologia respiratoria nota]],1)),0,1)</f>
        <v>0</v>
      </c>
      <c r="W15" s="18">
        <f>IF(ISERROR(SEARCH("OSAS",Tabella2[[#This Row],[Patologia respiratoria nota]],1)),0,1)</f>
        <v>0</v>
      </c>
      <c r="X15" s="17">
        <f>IF(ISERROR(SEARCH("BPCO",Tabella2[[#This Row],[Patologia respiratoria nota]],1)),0,1)</f>
        <v>0</v>
      </c>
      <c r="Y15" s="17">
        <f>IF(ISERROR(SEARCH("ASMA",Tabella2[[#This Row],[Patologia respiratoria nota]],1)),0,1)</f>
        <v>1</v>
      </c>
      <c r="Z15" s="17">
        <f>IF(ISERROR(SEARCH("ASMA, OSAS",Tabella2[[#This Row],[Patologia respiratoria nota]],1)),0,1)</f>
        <v>0</v>
      </c>
      <c r="AA15" s="17">
        <f>IF(ISERROR(SEARCH("BPCO, OSAS",Tabella2[[#This Row],[Patologia respiratoria nota]],1)),0,1)</f>
        <v>0</v>
      </c>
      <c r="AB15" s="17">
        <f>IF(ISERROR(SEARCH("ASMA, BPCO, OSAS",Tabella2[[#This Row],[Patologia respiratoria nota]],1)),0,1)</f>
        <v>0</v>
      </c>
      <c r="AC15" s="11" t="s">
        <v>5444</v>
      </c>
      <c r="AD15" s="18">
        <f>IF(ISERROR(SEARCH("NDD",Tabella2[[#This Row],[Tosse]],1)),0,1)</f>
        <v>0</v>
      </c>
      <c r="AE15" s="18">
        <f>IF(ISERROR(SEARCH("NEGA",Tabella2[[#This Row],[Tosse]],1)),0,1)</f>
        <v>0</v>
      </c>
      <c r="AF15" s="18">
        <f>IF(ISERROR(SEARCH("OCCASIONALMENTE",Tabella2[[#This Row],[Tosse]],1)),0,1)</f>
        <v>0</v>
      </c>
      <c r="AG15" s="18">
        <f>IF(ISERROR(SEARCH("RARAMENTE",Tabella2[[#This Row],[Tosse]],1)),0,1)</f>
        <v>0</v>
      </c>
      <c r="AH15" s="17">
        <v>1</v>
      </c>
      <c r="AI15" s="11" t="s">
        <v>657</v>
      </c>
      <c r="AJ15" s="18">
        <f>IF(ISERROR(SEARCH("SI",Tabella2[[#This Row],[Espettorazione]],1)),0,1)</f>
        <v>0</v>
      </c>
      <c r="AK15" s="18">
        <f>IF(ISERROR(SEARCH("NEGA",Tabella2[[#This Row],[Espettorazione]],1)),0,1)</f>
        <v>1</v>
      </c>
      <c r="AL15" s="18">
        <f>IF(ISERROR(SEARCH("NDD",Tabella2[[#This Row],[Espettorazione]],1)),0,1)</f>
        <v>0</v>
      </c>
      <c r="AM15" s="11" t="s">
        <v>28</v>
      </c>
      <c r="AN15" s="17">
        <v>1</v>
      </c>
      <c r="AO15" s="7" t="s">
        <v>657</v>
      </c>
      <c r="AP15" s="17">
        <f>IF(ISERROR(SEARCH("NEGA",Tabella2[[#This Row],[Dispnea da sforzo]],1)),0,1)</f>
        <v>1</v>
      </c>
      <c r="AQ15" s="17">
        <f>IF(ISERROR(SEARCH("NEGA",Tabella2[[#This Row],[Dispnea da sforzo]],1)),1,0)</f>
        <v>0</v>
      </c>
      <c r="AR15" s="17">
        <f>IF(ISERROR(SEARCH("LIEVI",Tabella2[[#This Row],[Dispnea da sforzo]],1)),0,1)</f>
        <v>0</v>
      </c>
      <c r="AS15" s="17">
        <f>IF(ISERROR(SEARCH("MODERATI",Tabella2[[#This Row],[Dispnea da sforzo]],1)),0,1)</f>
        <v>0</v>
      </c>
      <c r="AT15" s="17">
        <f>IF(ISERROR(SEARCH("INTENSI",Tabella2[[#This Row],[Dispnea da sforzo]],1)),0,1)</f>
        <v>0</v>
      </c>
      <c r="AU15" s="11" t="s">
        <v>657</v>
      </c>
      <c r="AV15" s="18">
        <f>IF(ISERROR(SEARCH("NEGA",Tabella2[[#This Row],[Dispnea a riposo]],1)),0,1)</f>
        <v>1</v>
      </c>
      <c r="AW15" s="18">
        <f>IF(ISERROR(SEARCH("NDD",Tabella2[[#This Row],[Dispnea a riposo]],1)),0,1)</f>
        <v>0</v>
      </c>
      <c r="AX15" s="11" t="s">
        <v>28</v>
      </c>
      <c r="AY15" s="18">
        <v>1</v>
      </c>
      <c r="AZ15" s="11" t="s">
        <v>657</v>
      </c>
      <c r="BA15" s="18">
        <v>0</v>
      </c>
      <c r="BB15" s="7" t="s">
        <v>657</v>
      </c>
      <c r="BC15" s="17">
        <v>0</v>
      </c>
      <c r="BD15" s="37" t="s">
        <v>657</v>
      </c>
      <c r="BE15" s="18">
        <v>0</v>
      </c>
      <c r="BF15" s="11" t="s">
        <v>657</v>
      </c>
      <c r="BG15" s="17">
        <v>0</v>
      </c>
      <c r="BH15" s="11" t="s">
        <v>657</v>
      </c>
      <c r="BI15" s="17">
        <v>0</v>
      </c>
      <c r="BJ15" s="11">
        <v>15</v>
      </c>
      <c r="BK15" s="11" t="s">
        <v>4076</v>
      </c>
      <c r="BL15" s="18"/>
      <c r="BM15" s="18"/>
      <c r="BN15" s="18"/>
      <c r="BO15" s="18"/>
      <c r="BP15" s="18">
        <v>1</v>
      </c>
      <c r="BQ15" s="18"/>
      <c r="BR15" s="18"/>
      <c r="BS15" s="18"/>
      <c r="BT15" s="18">
        <v>1</v>
      </c>
      <c r="BU15" s="18"/>
      <c r="BV15" s="18"/>
      <c r="BW15" s="18"/>
      <c r="BX15" s="18">
        <v>1</v>
      </c>
      <c r="BY15" s="18"/>
      <c r="BZ15" s="18"/>
      <c r="CA15" s="18"/>
      <c r="CB15" s="18"/>
      <c r="CC15" s="18"/>
      <c r="CD15" s="18"/>
      <c r="CE15" s="18">
        <v>1</v>
      </c>
      <c r="CF15" s="18"/>
      <c r="CG15" s="11">
        <v>33</v>
      </c>
      <c r="CH15" s="11"/>
      <c r="CI15" s="11">
        <v>97</v>
      </c>
      <c r="CJ15" s="11">
        <v>72</v>
      </c>
      <c r="CK15" s="11" t="s">
        <v>4077</v>
      </c>
      <c r="CL15" s="11" t="s">
        <v>4078</v>
      </c>
      <c r="CM15" s="11" t="s">
        <v>3914</v>
      </c>
      <c r="CN15" s="17">
        <v>0</v>
      </c>
      <c r="CO15" s="17">
        <v>1</v>
      </c>
      <c r="CP15" s="17">
        <v>0</v>
      </c>
      <c r="CQ15" s="17">
        <v>0</v>
      </c>
      <c r="CR15" s="11" t="s">
        <v>4044</v>
      </c>
      <c r="CS15" s="11" t="s">
        <v>4079</v>
      </c>
      <c r="CT15" s="65">
        <v>0.92400000000000004</v>
      </c>
      <c r="CU15" s="11" t="s">
        <v>4080</v>
      </c>
      <c r="CV15" s="11"/>
      <c r="CW15" s="11"/>
      <c r="CX15" s="11" t="s">
        <v>28</v>
      </c>
      <c r="CY15" s="17">
        <v>1</v>
      </c>
      <c r="CZ15" s="11" t="s">
        <v>4068</v>
      </c>
      <c r="DA15" s="12"/>
    </row>
    <row r="16" spans="1:105" ht="57">
      <c r="A16" s="5">
        <v>342</v>
      </c>
      <c r="B16" s="6">
        <v>44400</v>
      </c>
      <c r="C16" s="7" t="s">
        <v>4081</v>
      </c>
      <c r="D16" s="6">
        <v>13973</v>
      </c>
      <c r="E16" s="51">
        <f ca="1">_xlfn.DAYS(NOW(),Tabella2[[#This Row],[Data Nascita]])/365.25</f>
        <v>87.337440109514034</v>
      </c>
      <c r="F16" s="7" t="s">
        <v>4082</v>
      </c>
      <c r="G16" s="7" t="s">
        <v>4083</v>
      </c>
      <c r="H16" s="7" t="s">
        <v>4084</v>
      </c>
      <c r="I16" s="7" t="s">
        <v>4085</v>
      </c>
      <c r="J16" s="7" t="s">
        <v>4086</v>
      </c>
      <c r="K16" s="7"/>
      <c r="L16" s="7"/>
      <c r="M16" s="7"/>
      <c r="N16" s="7"/>
      <c r="O16" s="17" t="s">
        <v>5412</v>
      </c>
      <c r="P16" s="17">
        <v>0</v>
      </c>
      <c r="Q16" s="7" t="s">
        <v>8</v>
      </c>
      <c r="R16" s="7" t="s">
        <v>8</v>
      </c>
      <c r="S16" s="7" t="s">
        <v>4087</v>
      </c>
      <c r="T16" s="7" t="s">
        <v>4088</v>
      </c>
      <c r="U16" s="17">
        <f>IF(ISERROR(SEARCH("null",Tabella2[[#This Row],[Patologia respiratoria nota]],1)),0,1)</f>
        <v>0</v>
      </c>
      <c r="V16" s="17">
        <f>IF(ISERROR(SEARCH("MUTA",Tabella2[[#This Row],[Patologia respiratoria nota]],1)),0,1)</f>
        <v>0</v>
      </c>
      <c r="W16" s="17">
        <f>IF(ISERROR(SEARCH("OSAS",Tabella2[[#This Row],[Patologia respiratoria nota]],1)),0,1)</f>
        <v>0</v>
      </c>
      <c r="X16" s="17">
        <f>IF(ISERROR(SEARCH("BPCO",Tabella2[[#This Row],[Patologia respiratoria nota]],1)),0,1)</f>
        <v>0</v>
      </c>
      <c r="Y16" s="17">
        <f>IF(ISERROR(SEARCH("ASMA",Tabella2[[#This Row],[Patologia respiratoria nota]],1)),0,1)</f>
        <v>0</v>
      </c>
      <c r="Z16" s="17">
        <f>IF(ISERROR(SEARCH("ASMA, OSAS",Tabella2[[#This Row],[Patologia respiratoria nota]],1)),0,1)</f>
        <v>0</v>
      </c>
      <c r="AA16" s="17">
        <f>IF(ISERROR(SEARCH("BPCO, OSAS",Tabella2[[#This Row],[Patologia respiratoria nota]],1)),0,1)</f>
        <v>0</v>
      </c>
      <c r="AB16" s="17">
        <f>IF(ISERROR(SEARCH("ASMA, BPCO, OSAS",Tabella2[[#This Row],[Patologia respiratoria nota]],1)),0,1)</f>
        <v>0</v>
      </c>
      <c r="AC16" s="7" t="s">
        <v>381</v>
      </c>
      <c r="AD16" s="17">
        <f>IF(ISERROR(SEARCH("NDD",Tabella2[[#This Row],[Tosse]],1)),0,1)</f>
        <v>0</v>
      </c>
      <c r="AE16" s="17">
        <f>IF(ISERROR(SEARCH("NEGA",Tabella2[[#This Row],[Tosse]],1)),0,1)</f>
        <v>0</v>
      </c>
      <c r="AF16" s="17">
        <f>IF(ISERROR(SEARCH("OCCASIONALMENTE",Tabella2[[#This Row],[Tosse]],1)),0,1)</f>
        <v>0</v>
      </c>
      <c r="AG16" s="17">
        <f>IF(ISERROR(SEARCH("RARAMENTE",Tabella2[[#This Row],[Tosse]],1)),0,1)</f>
        <v>0</v>
      </c>
      <c r="AH16" s="17">
        <v>1</v>
      </c>
      <c r="AI16" s="7" t="s">
        <v>657</v>
      </c>
      <c r="AJ16" s="17">
        <f>IF(ISERROR(SEARCH("SI",Tabella2[[#This Row],[Espettorazione]],1)),0,1)</f>
        <v>0</v>
      </c>
      <c r="AK16" s="17">
        <f>IF(ISERROR(SEARCH("NEGA",Tabella2[[#This Row],[Espettorazione]],1)),0,1)</f>
        <v>1</v>
      </c>
      <c r="AL16" s="17">
        <f>IF(ISERROR(SEARCH("NDD",Tabella2[[#This Row],[Espettorazione]],1)),0,1)</f>
        <v>0</v>
      </c>
      <c r="AM16" s="7" t="s">
        <v>657</v>
      </c>
      <c r="AN16" s="17">
        <v>0</v>
      </c>
      <c r="AO16" s="7" t="s">
        <v>4089</v>
      </c>
      <c r="AP16" s="17">
        <f>IF(ISERROR(SEARCH("NEGA",Tabella2[[#This Row],[Dispnea da sforzo]],1)),0,1)</f>
        <v>0</v>
      </c>
      <c r="AQ16" s="17">
        <f>IF(ISERROR(SEARCH("NEGA",Tabella2[[#This Row],[Dispnea da sforzo]],1)),1,0)</f>
        <v>1</v>
      </c>
      <c r="AR16" s="17">
        <f>IF(ISERROR(SEARCH("LIEVI",Tabella2[[#This Row],[Dispnea da sforzo]],1)),0,1)</f>
        <v>0</v>
      </c>
      <c r="AS16" s="17">
        <f>IF(ISERROR(SEARCH("MODERATI",Tabella2[[#This Row],[Dispnea da sforzo]],1)),0,1)</f>
        <v>0</v>
      </c>
      <c r="AT16" s="17">
        <f>IF(ISERROR(SEARCH("INTENSI",Tabella2[[#This Row],[Dispnea da sforzo]],1)),0,1)</f>
        <v>0</v>
      </c>
      <c r="AU16" s="7" t="s">
        <v>657</v>
      </c>
      <c r="AV16" s="17">
        <f>IF(ISERROR(SEARCH("NEGA",Tabella2[[#This Row],[Dispnea a riposo]],1)),0,1)</f>
        <v>1</v>
      </c>
      <c r="AW16" s="17">
        <f>IF(ISERROR(SEARCH("NDD",Tabella2[[#This Row],[Dispnea a riposo]],1)),0,1)</f>
        <v>0</v>
      </c>
      <c r="AX16" s="7" t="s">
        <v>657</v>
      </c>
      <c r="AY16" s="17">
        <v>0</v>
      </c>
      <c r="AZ16" s="7" t="s">
        <v>657</v>
      </c>
      <c r="BA16" s="18">
        <v>0</v>
      </c>
      <c r="BB16" s="7" t="s">
        <v>28</v>
      </c>
      <c r="BC16" s="17">
        <v>1</v>
      </c>
      <c r="BD16" s="7" t="s">
        <v>28</v>
      </c>
      <c r="BE16" s="17">
        <v>1</v>
      </c>
      <c r="BF16" s="7" t="s">
        <v>657</v>
      </c>
      <c r="BG16" s="17">
        <v>0</v>
      </c>
      <c r="BH16" s="7" t="s">
        <v>657</v>
      </c>
      <c r="BI16" s="17">
        <v>0</v>
      </c>
      <c r="BJ16" s="7">
        <v>14</v>
      </c>
      <c r="BK16" s="7" t="s">
        <v>4090</v>
      </c>
      <c r="BL16" s="17">
        <v>-5</v>
      </c>
      <c r="BM16" s="17"/>
      <c r="BN16" s="17"/>
      <c r="BO16" s="17">
        <v>1</v>
      </c>
      <c r="BP16" s="17">
        <v>1</v>
      </c>
      <c r="BQ16" s="17"/>
      <c r="BR16" s="17"/>
      <c r="BS16" s="17"/>
      <c r="BT16" s="17"/>
      <c r="BU16" s="17"/>
      <c r="BV16" s="17"/>
      <c r="BW16" s="17"/>
      <c r="BX16" s="17"/>
      <c r="BY16" s="17"/>
      <c r="BZ16" s="17"/>
      <c r="CA16" s="17"/>
      <c r="CB16" s="17"/>
      <c r="CC16" s="17"/>
      <c r="CD16" s="17"/>
      <c r="CE16" s="17"/>
      <c r="CF16" s="17"/>
      <c r="CG16" s="7">
        <v>27</v>
      </c>
      <c r="CH16" s="7"/>
      <c r="CI16" s="7">
        <v>92</v>
      </c>
      <c r="CJ16" s="7">
        <v>69</v>
      </c>
      <c r="CK16" s="7" t="s">
        <v>4091</v>
      </c>
      <c r="CL16" s="7" t="s">
        <v>4092</v>
      </c>
      <c r="CM16" s="33" t="s">
        <v>5477</v>
      </c>
      <c r="CN16" s="47">
        <v>1</v>
      </c>
      <c r="CO16" s="17">
        <v>0</v>
      </c>
      <c r="CP16" s="17">
        <v>0</v>
      </c>
      <c r="CQ16" s="17">
        <v>0</v>
      </c>
      <c r="CR16" s="7" t="s">
        <v>4086</v>
      </c>
      <c r="CS16" s="33" t="s">
        <v>5477</v>
      </c>
      <c r="CT16" s="64"/>
      <c r="CU16" s="7"/>
      <c r="CV16" s="7"/>
      <c r="CW16" s="7"/>
      <c r="CX16" s="7" t="s">
        <v>28</v>
      </c>
      <c r="CY16" s="17">
        <v>1</v>
      </c>
      <c r="CZ16" s="7" t="s">
        <v>4093</v>
      </c>
      <c r="DA16" s="8" t="s">
        <v>4094</v>
      </c>
    </row>
    <row r="17" spans="1:105" ht="71.25">
      <c r="A17" s="9">
        <v>345</v>
      </c>
      <c r="B17" s="10">
        <v>44404</v>
      </c>
      <c r="C17" s="11" t="s">
        <v>4095</v>
      </c>
      <c r="D17" s="10">
        <v>24299</v>
      </c>
      <c r="E17" s="52">
        <f ca="1">_xlfn.DAYS(NOW(),Tabella2[[#This Row],[Data Nascita]])/365.25</f>
        <v>59.066392881587952</v>
      </c>
      <c r="F17" s="11" t="s">
        <v>4096</v>
      </c>
      <c r="G17" s="11" t="s">
        <v>4097</v>
      </c>
      <c r="H17" s="11" t="s">
        <v>4098</v>
      </c>
      <c r="I17" s="11" t="s">
        <v>3948</v>
      </c>
      <c r="J17" s="11" t="s">
        <v>4099</v>
      </c>
      <c r="K17" s="11"/>
      <c r="L17" s="11"/>
      <c r="M17" s="11"/>
      <c r="N17" s="11"/>
      <c r="O17" s="17" t="s">
        <v>5412</v>
      </c>
      <c r="P17" s="17">
        <v>0</v>
      </c>
      <c r="Q17" s="11" t="s">
        <v>8</v>
      </c>
      <c r="R17" s="11" t="s">
        <v>28</v>
      </c>
      <c r="S17" s="11" t="s">
        <v>4100</v>
      </c>
      <c r="T17" s="11" t="s">
        <v>4101</v>
      </c>
      <c r="U17" s="18">
        <f>IF(ISERROR(SEARCH("null",Tabella2[[#This Row],[Patologia respiratoria nota]],1)),0,1)</f>
        <v>0</v>
      </c>
      <c r="V17" s="17">
        <f>IF(ISERROR(SEARCH("MUTA",Tabella2[[#This Row],[Patologia respiratoria nota]],1)),0,1)</f>
        <v>0</v>
      </c>
      <c r="W17" s="18">
        <f>IF(ISERROR(SEARCH("OSAS",Tabella2[[#This Row],[Patologia respiratoria nota]],1)),0,1)</f>
        <v>0</v>
      </c>
      <c r="X17" s="17">
        <f>IF(ISERROR(SEARCH("BPCO",Tabella2[[#This Row],[Patologia respiratoria nota]],1)),0,1)</f>
        <v>0</v>
      </c>
      <c r="Y17" s="17">
        <f>IF(ISERROR(SEARCH("ASMA",Tabella2[[#This Row],[Patologia respiratoria nota]],1)),0,1)</f>
        <v>0</v>
      </c>
      <c r="Z17" s="17">
        <f>IF(ISERROR(SEARCH("ASMA, OSAS",Tabella2[[#This Row],[Patologia respiratoria nota]],1)),0,1)</f>
        <v>0</v>
      </c>
      <c r="AA17" s="17">
        <f>IF(ISERROR(SEARCH("BPCO, OSAS",Tabella2[[#This Row],[Patologia respiratoria nota]],1)),0,1)</f>
        <v>0</v>
      </c>
      <c r="AB17" s="17">
        <f>IF(ISERROR(SEARCH("ASMA, BPCO, OSAS",Tabella2[[#This Row],[Patologia respiratoria nota]],1)),0,1)</f>
        <v>0</v>
      </c>
      <c r="AC17" s="11" t="s">
        <v>5466</v>
      </c>
      <c r="AD17" s="18">
        <f>IF(ISERROR(SEARCH("NDD",Tabella2[[#This Row],[Tosse]],1)),0,1)</f>
        <v>0</v>
      </c>
      <c r="AE17" s="18">
        <f>IF(ISERROR(SEARCH("NEGA",Tabella2[[#This Row],[Tosse]],1)),0,1)</f>
        <v>0</v>
      </c>
      <c r="AF17" s="18">
        <f>IF(ISERROR(SEARCH("OCCASIONALMENTE",Tabella2[[#This Row],[Tosse]],1)),0,1)</f>
        <v>1</v>
      </c>
      <c r="AG17" s="18">
        <f>IF(ISERROR(SEARCH("RARAMENTE",Tabella2[[#This Row],[Tosse]],1)),0,1)</f>
        <v>0</v>
      </c>
      <c r="AH17" s="17">
        <v>1</v>
      </c>
      <c r="AI17" s="11" t="s">
        <v>657</v>
      </c>
      <c r="AJ17" s="18">
        <f>IF(ISERROR(SEARCH("SI",Tabella2[[#This Row],[Espettorazione]],1)),0,1)</f>
        <v>0</v>
      </c>
      <c r="AK17" s="18">
        <f>IF(ISERROR(SEARCH("NEGA",Tabella2[[#This Row],[Espettorazione]],1)),0,1)</f>
        <v>1</v>
      </c>
      <c r="AL17" s="18">
        <f>IF(ISERROR(SEARCH("NDD",Tabella2[[#This Row],[Espettorazione]],1)),0,1)</f>
        <v>0</v>
      </c>
      <c r="AM17" s="11" t="s">
        <v>4102</v>
      </c>
      <c r="AN17" s="17">
        <v>1</v>
      </c>
      <c r="AO17" s="11" t="s">
        <v>28</v>
      </c>
      <c r="AP17" s="17">
        <f>IF(ISERROR(SEARCH("NEGA",Tabella2[[#This Row],[Dispnea da sforzo]],1)),0,1)</f>
        <v>0</v>
      </c>
      <c r="AQ17" s="17">
        <f>IF(ISERROR(SEARCH("NEGA",Tabella2[[#This Row],[Dispnea da sforzo]],1)),1,0)</f>
        <v>1</v>
      </c>
      <c r="AR17" s="17">
        <f>IF(ISERROR(SEARCH("LIEVI",Tabella2[[#This Row],[Dispnea da sforzo]],1)),0,1)</f>
        <v>0</v>
      </c>
      <c r="AS17" s="17">
        <f>IF(ISERROR(SEARCH("MODERATI",Tabella2[[#This Row],[Dispnea da sforzo]],1)),0,1)</f>
        <v>0</v>
      </c>
      <c r="AT17" s="17">
        <f>IF(ISERROR(SEARCH("INTENSI",Tabella2[[#This Row],[Dispnea da sforzo]],1)),0,1)</f>
        <v>0</v>
      </c>
      <c r="AU17" s="11" t="s">
        <v>28</v>
      </c>
      <c r="AV17" s="18">
        <f>IF(ISERROR(SEARCH("NEGA",Tabella2[[#This Row],[Dispnea a riposo]],1)),0,1)</f>
        <v>0</v>
      </c>
      <c r="AW17" s="18">
        <f>IF(ISERROR(SEARCH("NDD",Tabella2[[#This Row],[Dispnea a riposo]],1)),0,1)</f>
        <v>0</v>
      </c>
      <c r="AX17" s="11" t="s">
        <v>657</v>
      </c>
      <c r="AY17" s="17">
        <v>0</v>
      </c>
      <c r="AZ17" s="11" t="s">
        <v>657</v>
      </c>
      <c r="BA17" s="18">
        <v>0</v>
      </c>
      <c r="BB17" s="11" t="s">
        <v>28</v>
      </c>
      <c r="BC17" s="17">
        <v>1</v>
      </c>
      <c r="BD17" s="11" t="s">
        <v>28</v>
      </c>
      <c r="BE17" s="17">
        <v>1</v>
      </c>
      <c r="BF17" s="11" t="s">
        <v>28</v>
      </c>
      <c r="BG17" s="17">
        <v>1</v>
      </c>
      <c r="BH17" s="11" t="s">
        <v>657</v>
      </c>
      <c r="BI17" s="17">
        <v>0</v>
      </c>
      <c r="BJ17" s="11">
        <v>12</v>
      </c>
      <c r="BK17" s="11" t="s">
        <v>4103</v>
      </c>
      <c r="BL17" s="18"/>
      <c r="BM17" s="18"/>
      <c r="BN17" s="18"/>
      <c r="BO17" s="18"/>
      <c r="BP17" s="18">
        <v>1</v>
      </c>
      <c r="BQ17" s="18"/>
      <c r="BR17" s="18"/>
      <c r="BS17" s="18"/>
      <c r="BT17" s="18"/>
      <c r="BU17" s="18"/>
      <c r="BV17" s="18"/>
      <c r="BW17" s="18"/>
      <c r="BX17" s="18"/>
      <c r="BY17" s="18"/>
      <c r="BZ17" s="18"/>
      <c r="CA17" s="18"/>
      <c r="CB17" s="18"/>
      <c r="CC17" s="18"/>
      <c r="CD17" s="18"/>
      <c r="CE17" s="18"/>
      <c r="CF17" s="18"/>
      <c r="CG17" s="11">
        <v>30</v>
      </c>
      <c r="CH17" s="11"/>
      <c r="CI17" s="11">
        <v>97</v>
      </c>
      <c r="CJ17" s="11">
        <v>82</v>
      </c>
      <c r="CK17" s="11" t="s">
        <v>4104</v>
      </c>
      <c r="CL17" s="11" t="s">
        <v>4105</v>
      </c>
      <c r="CM17" s="11" t="s">
        <v>4106</v>
      </c>
      <c r="CN17" s="17">
        <v>0</v>
      </c>
      <c r="CO17" s="17">
        <v>0</v>
      </c>
      <c r="CP17" s="17">
        <v>1</v>
      </c>
      <c r="CQ17" s="17">
        <v>0</v>
      </c>
      <c r="CR17" s="11" t="s">
        <v>4044</v>
      </c>
      <c r="CS17" s="11" t="s">
        <v>4107</v>
      </c>
      <c r="CT17" s="65">
        <v>0.53800000000000003</v>
      </c>
      <c r="CU17" s="11" t="s">
        <v>4108</v>
      </c>
      <c r="CV17" s="11"/>
      <c r="CW17" s="11"/>
      <c r="CX17" s="11" t="s">
        <v>28</v>
      </c>
      <c r="CY17" s="17">
        <v>1</v>
      </c>
      <c r="CZ17" s="11" t="s">
        <v>4109</v>
      </c>
      <c r="DA17" s="12" t="s">
        <v>4110</v>
      </c>
    </row>
    <row r="18" spans="1:105" s="54" customFormat="1" ht="42.75">
      <c r="A18" s="5">
        <v>349</v>
      </c>
      <c r="B18" s="6">
        <v>44405</v>
      </c>
      <c r="C18" s="7" t="s">
        <v>4111</v>
      </c>
      <c r="D18" s="6">
        <v>23853</v>
      </c>
      <c r="E18" s="51">
        <f ca="1">_xlfn.DAYS(NOW(),Tabella2[[#This Row],[Data Nascita]])/365.25</f>
        <v>60.28747433264887</v>
      </c>
      <c r="F18" s="7" t="s">
        <v>4112</v>
      </c>
      <c r="G18" s="7" t="s">
        <v>4113</v>
      </c>
      <c r="H18" s="7" t="s">
        <v>4114</v>
      </c>
      <c r="I18" s="7" t="s">
        <v>3948</v>
      </c>
      <c r="J18" s="7" t="s">
        <v>4115</v>
      </c>
      <c r="K18" s="7"/>
      <c r="L18" s="7"/>
      <c r="M18" s="7"/>
      <c r="N18" s="7"/>
      <c r="O18" s="17" t="s">
        <v>5412</v>
      </c>
      <c r="P18" s="17">
        <v>0</v>
      </c>
      <c r="Q18" s="7" t="s">
        <v>25</v>
      </c>
      <c r="R18" s="7" t="s">
        <v>25</v>
      </c>
      <c r="S18" s="7" t="s">
        <v>4116</v>
      </c>
      <c r="T18" s="7" t="s">
        <v>5416</v>
      </c>
      <c r="U18" s="17">
        <f>IF(ISERROR(SEARCH("null",Tabella2[[#This Row],[Patologia respiratoria nota]],1)),0,1)</f>
        <v>0</v>
      </c>
      <c r="V18" s="17">
        <f>IF(ISERROR(SEARCH("MUTA",Tabella2[[#This Row],[Patologia respiratoria nota]],1)),0,1)</f>
        <v>0</v>
      </c>
      <c r="W18" s="17">
        <f>IF(ISERROR(SEARCH("OSAS",Tabella2[[#This Row],[Patologia respiratoria nota]],1)),0,1)</f>
        <v>0</v>
      </c>
      <c r="X18" s="17">
        <f>IF(ISERROR(SEARCH("BPCO",Tabella2[[#This Row],[Patologia respiratoria nota]],1)),0,1)</f>
        <v>0</v>
      </c>
      <c r="Y18" s="17">
        <f>IF(ISERROR(SEARCH("ASMA",Tabella2[[#This Row],[Patologia respiratoria nota]],1)),0,1)</f>
        <v>1</v>
      </c>
      <c r="Z18" s="17">
        <f>IF(ISERROR(SEARCH("ASMA, OSAS",Tabella2[[#This Row],[Patologia respiratoria nota]],1)),0,1)</f>
        <v>0</v>
      </c>
      <c r="AA18" s="17">
        <f>IF(ISERROR(SEARCH("BPCO, OSAS",Tabella2[[#This Row],[Patologia respiratoria nota]],1)),0,1)</f>
        <v>0</v>
      </c>
      <c r="AB18" s="17">
        <f>IF(ISERROR(SEARCH("ASMA, BPCO, OSAS",Tabella2[[#This Row],[Patologia respiratoria nota]],1)),0,1)</f>
        <v>0</v>
      </c>
      <c r="AC18" s="15" t="s">
        <v>657</v>
      </c>
      <c r="AD18" s="19">
        <f>IF(ISERROR(SEARCH("NDD",Tabella2[[#This Row],[Tosse]],1)),0,1)</f>
        <v>0</v>
      </c>
      <c r="AE18" s="19">
        <f>IF(ISERROR(SEARCH("NEGA",Tabella2[[#This Row],[Tosse]],1)),0,1)</f>
        <v>1</v>
      </c>
      <c r="AF18" s="19">
        <f>IF(ISERROR(SEARCH("OCCASIONALMENTE",Tabella2[[#This Row],[Tosse]],1)),0,1)</f>
        <v>0</v>
      </c>
      <c r="AG18" s="19">
        <f>IF(ISERROR(SEARCH("RARAMENTE",Tabella2[[#This Row],[Tosse]],1)),0,1)</f>
        <v>0</v>
      </c>
      <c r="AH18" s="19">
        <f>IF(ISERROR(SEARCH("SI",Tabella2[[#This Row],[Tosse]],1)),0,1)</f>
        <v>0</v>
      </c>
      <c r="AI18" s="7" t="s">
        <v>657</v>
      </c>
      <c r="AJ18" s="17">
        <f>IF(ISERROR(SEARCH("SI",Tabella2[[#This Row],[Espettorazione]],1)),0,1)</f>
        <v>0</v>
      </c>
      <c r="AK18" s="17">
        <f>IF(ISERROR(SEARCH("NEGA",Tabella2[[#This Row],[Espettorazione]],1)),0,1)</f>
        <v>1</v>
      </c>
      <c r="AL18" s="17">
        <f>IF(ISERROR(SEARCH("NDD",Tabella2[[#This Row],[Espettorazione]],1)),0,1)</f>
        <v>0</v>
      </c>
      <c r="AM18" s="7" t="s">
        <v>28</v>
      </c>
      <c r="AN18" s="17">
        <v>1</v>
      </c>
      <c r="AO18" s="7" t="s">
        <v>657</v>
      </c>
      <c r="AP18" s="17">
        <f>IF(ISERROR(SEARCH("NEGA",Tabella2[[#This Row],[Dispnea da sforzo]],1)),0,1)</f>
        <v>1</v>
      </c>
      <c r="AQ18" s="17">
        <f>IF(ISERROR(SEARCH("NEGA",Tabella2[[#This Row],[Dispnea da sforzo]],1)),1,0)</f>
        <v>0</v>
      </c>
      <c r="AR18" s="17">
        <f>IF(ISERROR(SEARCH("LIEVI",Tabella2[[#This Row],[Dispnea da sforzo]],1)),0,1)</f>
        <v>0</v>
      </c>
      <c r="AS18" s="17">
        <f>IF(ISERROR(SEARCH("MODERATI",Tabella2[[#This Row],[Dispnea da sforzo]],1)),0,1)</f>
        <v>0</v>
      </c>
      <c r="AT18" s="17">
        <f>IF(ISERROR(SEARCH("INTENSI",Tabella2[[#This Row],[Dispnea da sforzo]],1)),0,1)</f>
        <v>0</v>
      </c>
      <c r="AU18" s="7" t="s">
        <v>657</v>
      </c>
      <c r="AV18" s="17">
        <f>IF(ISERROR(SEARCH("NEGA",Tabella2[[#This Row],[Dispnea a riposo]],1)),0,1)</f>
        <v>1</v>
      </c>
      <c r="AW18" s="17">
        <f>IF(ISERROR(SEARCH("NDD",Tabella2[[#This Row],[Dispnea a riposo]],1)),0,1)</f>
        <v>0</v>
      </c>
      <c r="AX18" s="7" t="s">
        <v>4117</v>
      </c>
      <c r="AY18" s="18">
        <v>1</v>
      </c>
      <c r="AZ18" s="7" t="s">
        <v>657</v>
      </c>
      <c r="BA18" s="18">
        <v>0</v>
      </c>
      <c r="BB18" s="7" t="s">
        <v>28</v>
      </c>
      <c r="BC18" s="17">
        <v>1</v>
      </c>
      <c r="BD18" s="7" t="s">
        <v>28</v>
      </c>
      <c r="BE18" s="17">
        <v>1</v>
      </c>
      <c r="BF18" s="7" t="s">
        <v>28</v>
      </c>
      <c r="BG18" s="17">
        <v>1</v>
      </c>
      <c r="BH18" s="7" t="s">
        <v>28</v>
      </c>
      <c r="BI18" s="18">
        <v>1</v>
      </c>
      <c r="BJ18" s="7">
        <v>14</v>
      </c>
      <c r="BK18" s="7" t="s">
        <v>4118</v>
      </c>
      <c r="BL18" s="17">
        <v>-6</v>
      </c>
      <c r="BM18" s="17"/>
      <c r="BN18" s="17"/>
      <c r="BO18" s="17"/>
      <c r="BP18" s="17"/>
      <c r="BQ18" s="17">
        <v>1</v>
      </c>
      <c r="BR18" s="17"/>
      <c r="BS18" s="17">
        <v>1</v>
      </c>
      <c r="BT18" s="17"/>
      <c r="BU18" s="17"/>
      <c r="BV18" s="17"/>
      <c r="BW18" s="17"/>
      <c r="BX18" s="17"/>
      <c r="BY18" s="17"/>
      <c r="BZ18" s="17"/>
      <c r="CA18" s="17"/>
      <c r="CB18" s="17"/>
      <c r="CC18" s="17"/>
      <c r="CD18" s="17"/>
      <c r="CE18" s="17"/>
      <c r="CF18" s="17"/>
      <c r="CG18" s="7">
        <v>26</v>
      </c>
      <c r="CH18" s="7"/>
      <c r="CI18" s="7">
        <v>97</v>
      </c>
      <c r="CJ18" s="7">
        <v>73</v>
      </c>
      <c r="CK18" s="7" t="s">
        <v>4119</v>
      </c>
      <c r="CL18" s="7" t="s">
        <v>4120</v>
      </c>
      <c r="CM18" s="7" t="s">
        <v>4121</v>
      </c>
      <c r="CN18" s="17">
        <v>0</v>
      </c>
      <c r="CO18" s="17">
        <v>0</v>
      </c>
      <c r="CP18" s="17">
        <v>1</v>
      </c>
      <c r="CQ18" s="17">
        <v>0</v>
      </c>
      <c r="CR18" s="7" t="s">
        <v>4044</v>
      </c>
      <c r="CS18" s="7" t="s">
        <v>4122</v>
      </c>
      <c r="CT18" s="64">
        <v>0.55400000000000005</v>
      </c>
      <c r="CU18" s="7" t="s">
        <v>4123</v>
      </c>
      <c r="CV18" s="7"/>
      <c r="CW18" s="7"/>
      <c r="CX18" s="7" t="s">
        <v>8</v>
      </c>
      <c r="CY18" s="17">
        <v>0</v>
      </c>
      <c r="CZ18" s="7" t="s">
        <v>4124</v>
      </c>
      <c r="DA18" s="8" t="s">
        <v>4125</v>
      </c>
    </row>
    <row r="19" spans="1:105" customFormat="1" ht="42.75">
      <c r="A19" s="35">
        <v>353</v>
      </c>
      <c r="B19" s="36">
        <v>44407</v>
      </c>
      <c r="C19" s="11" t="s">
        <v>4126</v>
      </c>
      <c r="D19" s="36">
        <v>12846</v>
      </c>
      <c r="E19" s="44">
        <f ca="1">_xlfn.DAYS(NOW(),Tabella2[[#This Row],[Data Nascita]])/365.25</f>
        <v>90.422997946611915</v>
      </c>
      <c r="F19" s="37"/>
      <c r="G19" s="37" t="s">
        <v>4127</v>
      </c>
      <c r="H19" s="37" t="s">
        <v>4128</v>
      </c>
      <c r="I19" s="37" t="s">
        <v>4129</v>
      </c>
      <c r="J19" s="37" t="s">
        <v>4130</v>
      </c>
      <c r="K19" s="37"/>
      <c r="L19" s="37"/>
      <c r="M19" s="37"/>
      <c r="N19" s="37"/>
      <c r="O19" s="47" t="s">
        <v>5412</v>
      </c>
      <c r="P19" s="47">
        <v>0</v>
      </c>
      <c r="Q19" s="37" t="s">
        <v>8</v>
      </c>
      <c r="R19" s="37" t="s">
        <v>8</v>
      </c>
      <c r="S19" s="37" t="s">
        <v>4131</v>
      </c>
      <c r="T19" s="33" t="s">
        <v>5443</v>
      </c>
      <c r="U19" s="46">
        <f>IF(ISERROR(SEARCH("null",Tabella2[[#This Row],[Patologia respiratoria nota]],1)),0,1)</f>
        <v>0</v>
      </c>
      <c r="V19" s="47">
        <f>IF(ISERROR(SEARCH("MUTA",Tabella2[[#This Row],[Patologia respiratoria nota]],1)),0,1)</f>
        <v>1</v>
      </c>
      <c r="W19" s="46">
        <f>IF(ISERROR(SEARCH("OSAS",Tabella2[[#This Row],[Patologia respiratoria nota]],1)),0,1)</f>
        <v>0</v>
      </c>
      <c r="X19" s="47">
        <f>IF(ISERROR(SEARCH("BPCO",Tabella2[[#This Row],[Patologia respiratoria nota]],1)),0,1)</f>
        <v>0</v>
      </c>
      <c r="Y19" s="47">
        <f>IF(ISERROR(SEARCH("ASMA",Tabella2[[#This Row],[Patologia respiratoria nota]],1)),0,1)</f>
        <v>0</v>
      </c>
      <c r="Z19" s="47">
        <f>IF(ISERROR(SEARCH("ASMA, OSAS",Tabella2[[#This Row],[Patologia respiratoria nota]],1)),0,1)</f>
        <v>0</v>
      </c>
      <c r="AA19" s="47">
        <f>IF(ISERROR(SEARCH("BPCO, OSAS",Tabella2[[#This Row],[Patologia respiratoria nota]],1)),0,1)</f>
        <v>0</v>
      </c>
      <c r="AB19" s="47">
        <f>IF(ISERROR(SEARCH("ASMA, BPCO, OSAS",Tabella2[[#This Row],[Patologia respiratoria nota]],1)),0,1)</f>
        <v>0</v>
      </c>
      <c r="AC19" s="41" t="s">
        <v>657</v>
      </c>
      <c r="AD19" s="48">
        <f>IF(ISERROR(SEARCH("NDD",Tabella2[[#This Row],[Tosse]],1)),0,1)</f>
        <v>0</v>
      </c>
      <c r="AE19" s="48">
        <f>IF(ISERROR(SEARCH("NEGA",Tabella2[[#This Row],[Tosse]],1)),0,1)</f>
        <v>1</v>
      </c>
      <c r="AF19" s="48">
        <f>IF(ISERROR(SEARCH("OCCASIONALMENTE",Tabella2[[#This Row],[Tosse]],1)),0,1)</f>
        <v>0</v>
      </c>
      <c r="AG19" s="48">
        <f>IF(ISERROR(SEARCH("RARAMENTE",Tabella2[[#This Row],[Tosse]],1)),0,1)</f>
        <v>0</v>
      </c>
      <c r="AH19" s="48">
        <f>IF(ISERROR(SEARCH("SI",Tabella2[[#This Row],[Tosse]],1)),0,1)</f>
        <v>0</v>
      </c>
      <c r="AI19" s="37" t="s">
        <v>657</v>
      </c>
      <c r="AJ19" s="46">
        <f>IF(ISERROR(SEARCH("SI",Tabella2[[#This Row],[Espettorazione]],1)),0,1)</f>
        <v>0</v>
      </c>
      <c r="AK19" s="46">
        <f>IF(ISERROR(SEARCH("NEGA",Tabella2[[#This Row],[Espettorazione]],1)),0,1)</f>
        <v>1</v>
      </c>
      <c r="AL19" s="46">
        <f>IF(ISERROR(SEARCH("NDD",Tabella2[[#This Row],[Espettorazione]],1)),0,1)</f>
        <v>0</v>
      </c>
      <c r="AM19" s="37" t="s">
        <v>657</v>
      </c>
      <c r="AN19" s="47">
        <v>0</v>
      </c>
      <c r="AO19" s="37" t="s">
        <v>657</v>
      </c>
      <c r="AP19" s="47">
        <f>IF(ISERROR(SEARCH("NEGA",Tabella2[[#This Row],[Dispnea da sforzo]],1)),0,1)</f>
        <v>1</v>
      </c>
      <c r="AQ19" s="47">
        <f>IF(ISERROR(SEARCH("NEGA",Tabella2[[#This Row],[Dispnea da sforzo]],1)),1,0)</f>
        <v>0</v>
      </c>
      <c r="AR19" s="47">
        <f>IF(ISERROR(SEARCH("LIEVI",Tabella2[[#This Row],[Dispnea da sforzo]],1)),0,1)</f>
        <v>0</v>
      </c>
      <c r="AS19" s="47">
        <f>IF(ISERROR(SEARCH("MODERATI",Tabella2[[#This Row],[Dispnea da sforzo]],1)),0,1)</f>
        <v>0</v>
      </c>
      <c r="AT19" s="47">
        <f>IF(ISERROR(SEARCH("INTENSI",Tabella2[[#This Row],[Dispnea da sforzo]],1)),0,1)</f>
        <v>0</v>
      </c>
      <c r="AU19" s="37" t="s">
        <v>657</v>
      </c>
      <c r="AV19" s="46">
        <f>IF(ISERROR(SEARCH("NEGA",Tabella2[[#This Row],[Dispnea a riposo]],1)),0,1)</f>
        <v>1</v>
      </c>
      <c r="AW19" s="46">
        <f>IF(ISERROR(SEARCH("NDD",Tabella2[[#This Row],[Dispnea a riposo]],1)),0,1)</f>
        <v>0</v>
      </c>
      <c r="AX19" s="37" t="s">
        <v>4132</v>
      </c>
      <c r="AY19" s="46">
        <v>1</v>
      </c>
      <c r="AZ19" s="37" t="s">
        <v>28</v>
      </c>
      <c r="BA19" s="17">
        <v>1</v>
      </c>
      <c r="BB19" s="37" t="s">
        <v>28</v>
      </c>
      <c r="BC19" s="17">
        <v>1</v>
      </c>
      <c r="BD19" s="37" t="s">
        <v>657</v>
      </c>
      <c r="BE19" s="18">
        <v>0</v>
      </c>
      <c r="BF19" s="37" t="s">
        <v>657</v>
      </c>
      <c r="BG19" s="17">
        <v>0</v>
      </c>
      <c r="BH19" s="37" t="s">
        <v>657</v>
      </c>
      <c r="BI19" s="17">
        <v>0</v>
      </c>
      <c r="BJ19" s="37">
        <v>25</v>
      </c>
      <c r="BK19" s="37" t="s">
        <v>4133</v>
      </c>
      <c r="BL19" s="46"/>
      <c r="BM19" s="46"/>
      <c r="BN19" s="46"/>
      <c r="BO19" s="46"/>
      <c r="BP19" s="46"/>
      <c r="BQ19" s="46"/>
      <c r="BR19" s="46">
        <v>1</v>
      </c>
      <c r="BS19" s="46"/>
      <c r="BT19" s="46"/>
      <c r="BU19" s="46"/>
      <c r="BV19" s="46"/>
      <c r="BW19" s="46"/>
      <c r="BX19" s="46"/>
      <c r="BY19" s="46"/>
      <c r="BZ19" s="46"/>
      <c r="CA19" s="46"/>
      <c r="CB19" s="46"/>
      <c r="CC19" s="46"/>
      <c r="CD19" s="46"/>
      <c r="CE19" s="46"/>
      <c r="CF19" s="46"/>
      <c r="CG19" s="37">
        <v>22</v>
      </c>
      <c r="CH19" s="37"/>
      <c r="CI19" s="37"/>
      <c r="CJ19" s="37"/>
      <c r="CK19" s="37"/>
      <c r="CL19" s="37"/>
      <c r="CM19" s="37" t="s">
        <v>3914</v>
      </c>
      <c r="CN19" s="17">
        <v>0</v>
      </c>
      <c r="CO19" s="17">
        <v>1</v>
      </c>
      <c r="CP19" s="17">
        <v>0</v>
      </c>
      <c r="CQ19" s="17">
        <v>0</v>
      </c>
      <c r="CR19" s="37" t="s">
        <v>4134</v>
      </c>
      <c r="CS19" s="37" t="s">
        <v>4135</v>
      </c>
      <c r="CT19" s="63">
        <v>0.93500000000000005</v>
      </c>
      <c r="CU19" s="37" t="s">
        <v>4136</v>
      </c>
      <c r="CV19" s="37"/>
      <c r="CW19" s="37"/>
      <c r="CX19" s="37" t="s">
        <v>28</v>
      </c>
      <c r="CY19" s="17">
        <v>1</v>
      </c>
      <c r="CZ19" s="37" t="s">
        <v>4068</v>
      </c>
      <c r="DA19" s="38" t="s">
        <v>4137</v>
      </c>
    </row>
    <row r="20" spans="1:105" ht="99.75">
      <c r="A20" s="5">
        <v>364</v>
      </c>
      <c r="B20" s="6">
        <v>44411</v>
      </c>
      <c r="C20" s="7" t="s">
        <v>4138</v>
      </c>
      <c r="D20" s="6">
        <v>22017</v>
      </c>
      <c r="E20" s="51">
        <f ca="1">_xlfn.DAYS(NOW(),Tabella2[[#This Row],[Data Nascita]])/365.25</f>
        <v>65.314168377823407</v>
      </c>
      <c r="F20" s="7" t="s">
        <v>4139</v>
      </c>
      <c r="G20" s="7" t="s">
        <v>4140</v>
      </c>
      <c r="H20" s="7" t="s">
        <v>4141</v>
      </c>
      <c r="I20" s="7" t="s">
        <v>4142</v>
      </c>
      <c r="J20" s="7" t="s">
        <v>4143</v>
      </c>
      <c r="K20" s="7"/>
      <c r="L20" s="7"/>
      <c r="M20" s="7"/>
      <c r="N20" s="7"/>
      <c r="O20" s="17" t="s">
        <v>5412</v>
      </c>
      <c r="P20" s="17">
        <v>0</v>
      </c>
      <c r="Q20" s="7" t="s">
        <v>8</v>
      </c>
      <c r="R20" s="7" t="s">
        <v>4144</v>
      </c>
      <c r="S20" s="7" t="s">
        <v>4145</v>
      </c>
      <c r="T20" s="7" t="s">
        <v>1063</v>
      </c>
      <c r="U20" s="17">
        <f>IF(ISERROR(SEARCH("null",Tabella2[[#This Row],[Patologia respiratoria nota]],1)),0,1)</f>
        <v>0</v>
      </c>
      <c r="V20" s="17">
        <f>IF(ISERROR(SEARCH("MUTA",Tabella2[[#This Row],[Patologia respiratoria nota]],1)),0,1)</f>
        <v>0</v>
      </c>
      <c r="W20" s="17">
        <f>IF(ISERROR(SEARCH("OSAS",Tabella2[[#This Row],[Patologia respiratoria nota]],1)),0,1)</f>
        <v>0</v>
      </c>
      <c r="X20" s="17">
        <f>IF(ISERROR(SEARCH("BPCO",Tabella2[[#This Row],[Patologia respiratoria nota]],1)),0,1)</f>
        <v>1</v>
      </c>
      <c r="Y20" s="17">
        <f>IF(ISERROR(SEARCH("ASMA",Tabella2[[#This Row],[Patologia respiratoria nota]],1)),0,1)</f>
        <v>0</v>
      </c>
      <c r="Z20" s="17">
        <f>IF(ISERROR(SEARCH("ASMA, OSAS",Tabella2[[#This Row],[Patologia respiratoria nota]],1)),0,1)</f>
        <v>0</v>
      </c>
      <c r="AA20" s="17">
        <f>IF(ISERROR(SEARCH("BPCO, OSAS",Tabella2[[#This Row],[Patologia respiratoria nota]],1)),0,1)</f>
        <v>0</v>
      </c>
      <c r="AB20" s="17">
        <f>IF(ISERROR(SEARCH("ASMA, BPCO, OSAS",Tabella2[[#This Row],[Patologia respiratoria nota]],1)),0,1)</f>
        <v>0</v>
      </c>
      <c r="AC20" s="7" t="s">
        <v>5470</v>
      </c>
      <c r="AD20" s="17">
        <f>IF(ISERROR(SEARCH("NDD",Tabella2[[#This Row],[Tosse]],1)),0,1)</f>
        <v>0</v>
      </c>
      <c r="AE20" s="17">
        <f>IF(ISERROR(SEARCH("NEGA",Tabella2[[#This Row],[Tosse]],1)),0,1)</f>
        <v>0</v>
      </c>
      <c r="AF20" s="17">
        <f>IF(ISERROR(SEARCH("OCCASIONALMENTE",Tabella2[[#This Row],[Tosse]],1)),0,1)</f>
        <v>0</v>
      </c>
      <c r="AG20" s="17">
        <f>IF(ISERROR(SEARCH("RARAMENTE",Tabella2[[#This Row],[Tosse]],1)),0,1)</f>
        <v>1</v>
      </c>
      <c r="AH20" s="17">
        <v>1</v>
      </c>
      <c r="AI20" s="7" t="s">
        <v>5485</v>
      </c>
      <c r="AJ20" s="17">
        <f>IF(ISERROR(SEARCH("SI",Tabella2[[#This Row],[Espettorazione]],1)),0,1)</f>
        <v>1</v>
      </c>
      <c r="AK20" s="17">
        <v>0</v>
      </c>
      <c r="AL20" s="17">
        <f>IF(ISERROR(SEARCH("NDD",Tabella2[[#This Row],[Espettorazione]],1)),0,1)</f>
        <v>0</v>
      </c>
      <c r="AM20" s="7" t="s">
        <v>4146</v>
      </c>
      <c r="AN20" s="17">
        <v>1</v>
      </c>
      <c r="AO20" s="7" t="s">
        <v>5541</v>
      </c>
      <c r="AP20" s="17">
        <f>IF(ISERROR(SEARCH("NEGA",Tabella2[[#This Row],[Dispnea da sforzo]],1)),0,1)</f>
        <v>0</v>
      </c>
      <c r="AQ20" s="17">
        <f>IF(ISERROR(SEARCH("NEGA",Tabella2[[#This Row],[Dispnea da sforzo]],1)),1,0)</f>
        <v>1</v>
      </c>
      <c r="AR20" s="17">
        <f>IF(ISERROR(SEARCH("LIEVI",Tabella2[[#This Row],[Dispnea da sforzo]],1)),0,1)</f>
        <v>0</v>
      </c>
      <c r="AS20" s="17">
        <f>IF(ISERROR(SEARCH("MODERATI",Tabella2[[#This Row],[Dispnea da sforzo]],1)),0,1)</f>
        <v>1</v>
      </c>
      <c r="AT20" s="17">
        <f>IF(ISERROR(SEARCH("INTENSI",Tabella2[[#This Row],[Dispnea da sforzo]],1)),0,1)</f>
        <v>0</v>
      </c>
      <c r="AU20" s="7" t="s">
        <v>657</v>
      </c>
      <c r="AV20" s="17">
        <f>IF(ISERROR(SEARCH("NEGA",Tabella2[[#This Row],[Dispnea a riposo]],1)),0,1)</f>
        <v>1</v>
      </c>
      <c r="AW20" s="17">
        <f>IF(ISERROR(SEARCH("NDD",Tabella2[[#This Row],[Dispnea a riposo]],1)),0,1)</f>
        <v>0</v>
      </c>
      <c r="AX20" s="7" t="s">
        <v>657</v>
      </c>
      <c r="AY20" s="17">
        <v>0</v>
      </c>
      <c r="AZ20" s="7" t="s">
        <v>657</v>
      </c>
      <c r="BA20" s="18">
        <v>0</v>
      </c>
      <c r="BB20" s="7" t="s">
        <v>260</v>
      </c>
      <c r="BC20" s="17">
        <v>1</v>
      </c>
      <c r="BD20" s="7" t="s">
        <v>151</v>
      </c>
      <c r="BE20" s="17">
        <v>1</v>
      </c>
      <c r="BF20" s="7" t="s">
        <v>4147</v>
      </c>
      <c r="BG20" s="17">
        <v>1</v>
      </c>
      <c r="BH20" s="7" t="s">
        <v>301</v>
      </c>
      <c r="BI20" s="18">
        <v>1</v>
      </c>
      <c r="BJ20" s="7">
        <v>12</v>
      </c>
      <c r="BK20" s="7" t="s">
        <v>7656</v>
      </c>
      <c r="BL20" s="17"/>
      <c r="BM20" s="17"/>
      <c r="BN20" s="17"/>
      <c r="BO20" s="17"/>
      <c r="BP20" s="17"/>
      <c r="BQ20" s="17">
        <v>1</v>
      </c>
      <c r="BR20" s="17"/>
      <c r="BS20" s="17"/>
      <c r="BT20" s="17"/>
      <c r="BU20" s="17">
        <v>1</v>
      </c>
      <c r="BV20" s="17"/>
      <c r="BW20" s="17"/>
      <c r="BX20" s="17"/>
      <c r="BY20" s="17"/>
      <c r="BZ20" s="17"/>
      <c r="CA20" s="17"/>
      <c r="CB20" s="17">
        <v>1</v>
      </c>
      <c r="CC20" s="17"/>
      <c r="CD20" s="17"/>
      <c r="CE20" s="17"/>
      <c r="CF20" s="17"/>
      <c r="CG20" s="7">
        <v>27</v>
      </c>
      <c r="CH20" s="7"/>
      <c r="CI20" s="7">
        <v>95</v>
      </c>
      <c r="CJ20" s="7">
        <v>68</v>
      </c>
      <c r="CK20" s="7" t="s">
        <v>4148</v>
      </c>
      <c r="CL20" s="7" t="s">
        <v>4149</v>
      </c>
      <c r="CM20" s="7" t="s">
        <v>4150</v>
      </c>
      <c r="CN20" s="17">
        <v>0</v>
      </c>
      <c r="CO20" s="17">
        <v>0</v>
      </c>
      <c r="CP20" s="17">
        <v>0</v>
      </c>
      <c r="CQ20" s="17">
        <v>0</v>
      </c>
      <c r="CR20" s="7" t="s">
        <v>3884</v>
      </c>
      <c r="CS20" s="7" t="s">
        <v>37</v>
      </c>
      <c r="CT20" s="64">
        <v>0.96</v>
      </c>
      <c r="CU20" s="7" t="s">
        <v>4151</v>
      </c>
      <c r="CV20" s="7"/>
      <c r="CW20" s="7"/>
      <c r="CX20" s="7" t="s">
        <v>47</v>
      </c>
      <c r="CY20" s="17">
        <v>1</v>
      </c>
      <c r="CZ20" s="7" t="s">
        <v>4152</v>
      </c>
      <c r="DA20" s="8" t="s">
        <v>4153</v>
      </c>
    </row>
    <row r="21" spans="1:105" ht="42.75">
      <c r="A21" s="9">
        <v>412</v>
      </c>
      <c r="B21" s="10">
        <v>44441</v>
      </c>
      <c r="C21" s="11" t="s">
        <v>4154</v>
      </c>
      <c r="D21" s="10">
        <v>16763</v>
      </c>
      <c r="E21" s="52">
        <f ca="1">_xlfn.DAYS(NOW(),Tabella2[[#This Row],[Data Nascita]])/365.25</f>
        <v>79.698836413415464</v>
      </c>
      <c r="F21" s="11" t="s">
        <v>4155</v>
      </c>
      <c r="G21" s="11" t="s">
        <v>4156</v>
      </c>
      <c r="H21" s="11" t="s">
        <v>4157</v>
      </c>
      <c r="I21" s="11"/>
      <c r="J21" s="11" t="s">
        <v>4158</v>
      </c>
      <c r="K21" s="11"/>
      <c r="L21" s="11"/>
      <c r="M21" s="11"/>
      <c r="N21" s="11"/>
      <c r="O21" s="17" t="s">
        <v>5412</v>
      </c>
      <c r="P21" s="17">
        <v>0</v>
      </c>
      <c r="Q21" s="11" t="s">
        <v>195</v>
      </c>
      <c r="R21" s="11" t="s">
        <v>195</v>
      </c>
      <c r="S21" s="11" t="s">
        <v>4159</v>
      </c>
      <c r="T21" s="11" t="s">
        <v>439</v>
      </c>
      <c r="U21" s="18">
        <f>IF(ISERROR(SEARCH("null",Tabella2[[#This Row],[Patologia respiratoria nota]],1)),0,1)</f>
        <v>0</v>
      </c>
      <c r="V21" s="17">
        <f>IF(ISERROR(SEARCH("MUTA",Tabella2[[#This Row],[Patologia respiratoria nota]],1)),0,1)</f>
        <v>0</v>
      </c>
      <c r="W21" s="18">
        <f>IF(ISERROR(SEARCH("OSAS",Tabella2[[#This Row],[Patologia respiratoria nota]],1)),0,1)</f>
        <v>1</v>
      </c>
      <c r="X21" s="17">
        <f>IF(ISERROR(SEARCH("BPCO",Tabella2[[#This Row],[Patologia respiratoria nota]],1)),0,1)</f>
        <v>0</v>
      </c>
      <c r="Y21" s="17">
        <f>IF(ISERROR(SEARCH("ASMA",Tabella2[[#This Row],[Patologia respiratoria nota]],1)),0,1)</f>
        <v>0</v>
      </c>
      <c r="Z21" s="17">
        <f>IF(ISERROR(SEARCH("ASMA, OSAS",Tabella2[[#This Row],[Patologia respiratoria nota]],1)),0,1)</f>
        <v>0</v>
      </c>
      <c r="AA21" s="17">
        <f>IF(ISERROR(SEARCH("BPCO, OSAS",Tabella2[[#This Row],[Patologia respiratoria nota]],1)),0,1)</f>
        <v>0</v>
      </c>
      <c r="AB21" s="17">
        <f>IF(ISERROR(SEARCH("ASMA, BPCO, OSAS",Tabella2[[#This Row],[Patologia respiratoria nota]],1)),0,1)</f>
        <v>0</v>
      </c>
      <c r="AC21" s="11" t="s">
        <v>5445</v>
      </c>
      <c r="AD21" s="18">
        <f>IF(ISERROR(SEARCH("NDD",Tabella2[[#This Row],[Tosse]],1)),0,1)</f>
        <v>0</v>
      </c>
      <c r="AE21" s="18">
        <f>IF(ISERROR(SEARCH("NEGA",Tabella2[[#This Row],[Tosse]],1)),0,1)</f>
        <v>0</v>
      </c>
      <c r="AF21" s="18">
        <f>IF(ISERROR(SEARCH("OCCASIONALMENTE",Tabella2[[#This Row],[Tosse]],1)),0,1)</f>
        <v>0</v>
      </c>
      <c r="AG21" s="18">
        <f>IF(ISERROR(SEARCH("RARAMENTE",Tabella2[[#This Row],[Tosse]],1)),0,1)</f>
        <v>0</v>
      </c>
      <c r="AH21" s="17">
        <v>1</v>
      </c>
      <c r="AI21" s="11" t="s">
        <v>657</v>
      </c>
      <c r="AJ21" s="18">
        <f>IF(ISERROR(SEARCH("SI",Tabella2[[#This Row],[Espettorazione]],1)),0,1)</f>
        <v>0</v>
      </c>
      <c r="AK21" s="18">
        <f>IF(ISERROR(SEARCH("NEGA",Tabella2[[#This Row],[Espettorazione]],1)),0,1)</f>
        <v>1</v>
      </c>
      <c r="AL21" s="18">
        <f>IF(ISERROR(SEARCH("NDD",Tabella2[[#This Row],[Espettorazione]],1)),0,1)</f>
        <v>0</v>
      </c>
      <c r="AM21" s="11" t="s">
        <v>657</v>
      </c>
      <c r="AN21" s="17">
        <v>0</v>
      </c>
      <c r="AO21" s="11" t="s">
        <v>657</v>
      </c>
      <c r="AP21" s="17">
        <f>IF(ISERROR(SEARCH("NEGA",Tabella2[[#This Row],[Dispnea da sforzo]],1)),0,1)</f>
        <v>1</v>
      </c>
      <c r="AQ21" s="17">
        <f>IF(ISERROR(SEARCH("NEGA",Tabella2[[#This Row],[Dispnea da sforzo]],1)),1,0)</f>
        <v>0</v>
      </c>
      <c r="AR21" s="17">
        <f>IF(ISERROR(SEARCH("LIEVI",Tabella2[[#This Row],[Dispnea da sforzo]],1)),0,1)</f>
        <v>0</v>
      </c>
      <c r="AS21" s="17">
        <f>IF(ISERROR(SEARCH("MODERATI",Tabella2[[#This Row],[Dispnea da sforzo]],1)),0,1)</f>
        <v>0</v>
      </c>
      <c r="AT21" s="17">
        <f>IF(ISERROR(SEARCH("INTENSI",Tabella2[[#This Row],[Dispnea da sforzo]],1)),0,1)</f>
        <v>0</v>
      </c>
      <c r="AU21" s="11" t="s">
        <v>657</v>
      </c>
      <c r="AV21" s="18">
        <f>IF(ISERROR(SEARCH("NEGA",Tabella2[[#This Row],[Dispnea a riposo]],1)),0,1)</f>
        <v>1</v>
      </c>
      <c r="AW21" s="18">
        <f>IF(ISERROR(SEARCH("NDD",Tabella2[[#This Row],[Dispnea a riposo]],1)),0,1)</f>
        <v>0</v>
      </c>
      <c r="AX21" s="11" t="s">
        <v>657</v>
      </c>
      <c r="AY21" s="17">
        <v>0</v>
      </c>
      <c r="AZ21" s="11" t="s">
        <v>657</v>
      </c>
      <c r="BA21" s="18">
        <v>0</v>
      </c>
      <c r="BB21" s="11" t="s">
        <v>4160</v>
      </c>
      <c r="BC21" s="17">
        <v>1</v>
      </c>
      <c r="BD21" s="11" t="s">
        <v>194</v>
      </c>
      <c r="BE21" s="17">
        <v>1</v>
      </c>
      <c r="BF21" s="11" t="s">
        <v>194</v>
      </c>
      <c r="BG21" s="17">
        <v>1</v>
      </c>
      <c r="BH21" s="11" t="s">
        <v>657</v>
      </c>
      <c r="BI21" s="17">
        <v>0</v>
      </c>
      <c r="BJ21" s="11">
        <v>12</v>
      </c>
      <c r="BK21" s="11" t="s">
        <v>4161</v>
      </c>
      <c r="BL21" s="18"/>
      <c r="BM21" s="18"/>
      <c r="BN21" s="18"/>
      <c r="BO21" s="18"/>
      <c r="BP21" s="18">
        <v>1</v>
      </c>
      <c r="BQ21" s="18">
        <v>1</v>
      </c>
      <c r="BR21" s="18"/>
      <c r="BS21" s="18"/>
      <c r="BT21" s="18"/>
      <c r="BU21" s="18"/>
      <c r="BV21" s="18"/>
      <c r="BW21" s="18"/>
      <c r="BX21" s="18"/>
      <c r="BY21" s="18"/>
      <c r="BZ21" s="18"/>
      <c r="CA21" s="18"/>
      <c r="CB21" s="18"/>
      <c r="CC21" s="18"/>
      <c r="CD21" s="18"/>
      <c r="CE21" s="18"/>
      <c r="CF21" s="18"/>
      <c r="CG21" s="11">
        <v>33</v>
      </c>
      <c r="CH21" s="11"/>
      <c r="CI21" s="11">
        <v>99</v>
      </c>
      <c r="CJ21" s="11">
        <v>63</v>
      </c>
      <c r="CK21" s="11" t="s">
        <v>4162</v>
      </c>
      <c r="CL21" s="11" t="s">
        <v>4163</v>
      </c>
      <c r="CM21" s="11" t="s">
        <v>4164</v>
      </c>
      <c r="CN21" s="17">
        <v>0</v>
      </c>
      <c r="CO21" s="17">
        <v>0</v>
      </c>
      <c r="CP21" s="17">
        <v>0</v>
      </c>
      <c r="CQ21" s="17">
        <v>1</v>
      </c>
      <c r="CR21" s="11" t="s">
        <v>4165</v>
      </c>
      <c r="CS21" s="11" t="s">
        <v>1181</v>
      </c>
      <c r="CT21" s="65">
        <v>1</v>
      </c>
      <c r="CU21" s="11" t="s">
        <v>4166</v>
      </c>
      <c r="CV21" s="11"/>
      <c r="CW21" s="11"/>
      <c r="CX21" s="11" t="s">
        <v>28</v>
      </c>
      <c r="CY21" s="17">
        <v>1</v>
      </c>
      <c r="CZ21" s="11" t="s">
        <v>4167</v>
      </c>
      <c r="DA21" s="12" t="s">
        <v>4168</v>
      </c>
    </row>
    <row r="22" spans="1:105" ht="99.75">
      <c r="A22" s="5">
        <v>427</v>
      </c>
      <c r="B22" s="6">
        <v>44445</v>
      </c>
      <c r="C22" s="7" t="s">
        <v>4169</v>
      </c>
      <c r="D22" s="6">
        <v>19676</v>
      </c>
      <c r="E22" s="51">
        <f ca="1">_xlfn.DAYS(NOW(),Tabella2[[#This Row],[Data Nascita]])/365.25</f>
        <v>71.723477070499655</v>
      </c>
      <c r="F22" s="7" t="s">
        <v>4020</v>
      </c>
      <c r="G22" s="7" t="s">
        <v>4021</v>
      </c>
      <c r="H22" s="7" t="s">
        <v>4170</v>
      </c>
      <c r="I22" s="7"/>
      <c r="J22" s="7" t="s">
        <v>4171</v>
      </c>
      <c r="K22" s="7"/>
      <c r="L22" s="7"/>
      <c r="M22" s="7"/>
      <c r="N22" s="7"/>
      <c r="O22" s="17" t="s">
        <v>5412</v>
      </c>
      <c r="P22" s="17">
        <v>0</v>
      </c>
      <c r="Q22" s="7" t="s">
        <v>195</v>
      </c>
      <c r="R22" s="7" t="s">
        <v>195</v>
      </c>
      <c r="S22" s="7" t="s">
        <v>4172</v>
      </c>
      <c r="T22" s="7" t="s">
        <v>439</v>
      </c>
      <c r="U22" s="17">
        <f>IF(ISERROR(SEARCH("null",Tabella2[[#This Row],[Patologia respiratoria nota]],1)),0,1)</f>
        <v>0</v>
      </c>
      <c r="V22" s="17">
        <f>IF(ISERROR(SEARCH("MUTA",Tabella2[[#This Row],[Patologia respiratoria nota]],1)),0,1)</f>
        <v>0</v>
      </c>
      <c r="W22" s="17">
        <f>IF(ISERROR(SEARCH("OSAS",Tabella2[[#This Row],[Patologia respiratoria nota]],1)),0,1)</f>
        <v>1</v>
      </c>
      <c r="X22" s="17">
        <f>IF(ISERROR(SEARCH("BPCO",Tabella2[[#This Row],[Patologia respiratoria nota]],1)),0,1)</f>
        <v>0</v>
      </c>
      <c r="Y22" s="17">
        <f>IF(ISERROR(SEARCH("ASMA",Tabella2[[#This Row],[Patologia respiratoria nota]],1)),0,1)</f>
        <v>0</v>
      </c>
      <c r="Z22" s="17">
        <f>IF(ISERROR(SEARCH("ASMA, OSAS",Tabella2[[#This Row],[Patologia respiratoria nota]],1)),0,1)</f>
        <v>0</v>
      </c>
      <c r="AA22" s="17">
        <f>IF(ISERROR(SEARCH("BPCO, OSAS",Tabella2[[#This Row],[Patologia respiratoria nota]],1)),0,1)</f>
        <v>0</v>
      </c>
      <c r="AB22" s="17">
        <f>IF(ISERROR(SEARCH("ASMA, BPCO, OSAS",Tabella2[[#This Row],[Patologia respiratoria nota]],1)),0,1)</f>
        <v>0</v>
      </c>
      <c r="AC22" s="15" t="s">
        <v>657</v>
      </c>
      <c r="AD22" s="19">
        <f>IF(ISERROR(SEARCH("NDD",Tabella2[[#This Row],[Tosse]],1)),0,1)</f>
        <v>0</v>
      </c>
      <c r="AE22" s="19">
        <f>IF(ISERROR(SEARCH("NEGA",Tabella2[[#This Row],[Tosse]],1)),0,1)</f>
        <v>1</v>
      </c>
      <c r="AF22" s="19">
        <f>IF(ISERROR(SEARCH("OCCASIONALMENTE",Tabella2[[#This Row],[Tosse]],1)),0,1)</f>
        <v>0</v>
      </c>
      <c r="AG22" s="19">
        <f>IF(ISERROR(SEARCH("RARAMENTE",Tabella2[[#This Row],[Tosse]],1)),0,1)</f>
        <v>0</v>
      </c>
      <c r="AH22" s="19">
        <f>IF(ISERROR(SEARCH("SI",Tabella2[[#This Row],[Tosse]],1)),0,1)</f>
        <v>0</v>
      </c>
      <c r="AI22" s="7" t="s">
        <v>657</v>
      </c>
      <c r="AJ22" s="17">
        <f>IF(ISERROR(SEARCH("SI",Tabella2[[#This Row],[Espettorazione]],1)),0,1)</f>
        <v>0</v>
      </c>
      <c r="AK22" s="17">
        <f>IF(ISERROR(SEARCH("NEGA",Tabella2[[#This Row],[Espettorazione]],1)),0,1)</f>
        <v>1</v>
      </c>
      <c r="AL22" s="17">
        <f>IF(ISERROR(SEARCH("NDD",Tabella2[[#This Row],[Espettorazione]],1)),0,1)</f>
        <v>0</v>
      </c>
      <c r="AM22" s="7" t="s">
        <v>657</v>
      </c>
      <c r="AN22" s="17">
        <v>0</v>
      </c>
      <c r="AO22" s="11" t="s">
        <v>657</v>
      </c>
      <c r="AP22" s="17">
        <f>IF(ISERROR(SEARCH("NEGA",Tabella2[[#This Row],[Dispnea da sforzo]],1)),0,1)</f>
        <v>1</v>
      </c>
      <c r="AQ22" s="17">
        <f>IF(ISERROR(SEARCH("NEGA",Tabella2[[#This Row],[Dispnea da sforzo]],1)),1,0)</f>
        <v>0</v>
      </c>
      <c r="AR22" s="17">
        <f>IF(ISERROR(SEARCH("LIEVI",Tabella2[[#This Row],[Dispnea da sforzo]],1)),0,1)</f>
        <v>0</v>
      </c>
      <c r="AS22" s="17">
        <f>IF(ISERROR(SEARCH("MODERATI",Tabella2[[#This Row],[Dispnea da sforzo]],1)),0,1)</f>
        <v>0</v>
      </c>
      <c r="AT22" s="17">
        <f>IF(ISERROR(SEARCH("INTENSI",Tabella2[[#This Row],[Dispnea da sforzo]],1)),0,1)</f>
        <v>0</v>
      </c>
      <c r="AU22" s="7" t="s">
        <v>657</v>
      </c>
      <c r="AV22" s="17">
        <f>IF(ISERROR(SEARCH("NEGA",Tabella2[[#This Row],[Dispnea a riposo]],1)),0,1)</f>
        <v>1</v>
      </c>
      <c r="AW22" s="17">
        <f>IF(ISERROR(SEARCH("NDD",Tabella2[[#This Row],[Dispnea a riposo]],1)),0,1)</f>
        <v>0</v>
      </c>
      <c r="AX22" s="7" t="s">
        <v>657</v>
      </c>
      <c r="AY22" s="17">
        <v>0</v>
      </c>
      <c r="AZ22" s="7" t="s">
        <v>4173</v>
      </c>
      <c r="BA22" s="17">
        <v>1</v>
      </c>
      <c r="BB22" s="7" t="s">
        <v>4174</v>
      </c>
      <c r="BC22" s="17">
        <v>1</v>
      </c>
      <c r="BD22" s="7" t="s">
        <v>194</v>
      </c>
      <c r="BE22" s="17">
        <v>1</v>
      </c>
      <c r="BF22" s="7" t="s">
        <v>4175</v>
      </c>
      <c r="BG22" s="17">
        <v>1</v>
      </c>
      <c r="BH22" s="7" t="s">
        <v>657</v>
      </c>
      <c r="BI22" s="17">
        <v>0</v>
      </c>
      <c r="BJ22" s="7">
        <v>18</v>
      </c>
      <c r="BK22" s="7" t="s">
        <v>4176</v>
      </c>
      <c r="BL22" s="17"/>
      <c r="BM22" s="17"/>
      <c r="BN22" s="17"/>
      <c r="BO22" s="17"/>
      <c r="BP22" s="17"/>
      <c r="BQ22" s="17">
        <v>1</v>
      </c>
      <c r="BR22" s="17"/>
      <c r="BS22" s="17"/>
      <c r="BT22" s="17"/>
      <c r="BU22" s="17"/>
      <c r="BV22" s="17"/>
      <c r="BW22" s="17"/>
      <c r="BX22" s="17"/>
      <c r="BY22" s="17"/>
      <c r="BZ22" s="17"/>
      <c r="CA22" s="17"/>
      <c r="CB22" s="17"/>
      <c r="CC22" s="17"/>
      <c r="CD22" s="17"/>
      <c r="CE22" s="17"/>
      <c r="CF22" s="17"/>
      <c r="CG22" s="7">
        <v>38</v>
      </c>
      <c r="CH22" s="7"/>
      <c r="CI22" s="7">
        <v>99</v>
      </c>
      <c r="CJ22" s="7">
        <v>85</v>
      </c>
      <c r="CK22" s="7" t="s">
        <v>4177</v>
      </c>
      <c r="CL22" s="7" t="s">
        <v>4178</v>
      </c>
      <c r="CM22" s="7" t="s">
        <v>4179</v>
      </c>
      <c r="CN22" s="17">
        <v>0</v>
      </c>
      <c r="CO22" s="17">
        <v>0</v>
      </c>
      <c r="CP22" s="17">
        <v>1</v>
      </c>
      <c r="CQ22" s="17">
        <v>0</v>
      </c>
      <c r="CR22" s="7" t="s">
        <v>4180</v>
      </c>
      <c r="CS22" s="7" t="s">
        <v>4181</v>
      </c>
      <c r="CT22" s="64">
        <v>0.54600000000000004</v>
      </c>
      <c r="CU22" s="7" t="s">
        <v>4182</v>
      </c>
      <c r="CV22" s="7"/>
      <c r="CW22" s="7"/>
      <c r="CX22" s="7" t="s">
        <v>381</v>
      </c>
      <c r="CY22" s="17">
        <v>1</v>
      </c>
      <c r="CZ22" s="7" t="s">
        <v>4183</v>
      </c>
      <c r="DA22" s="8" t="s">
        <v>4184</v>
      </c>
    </row>
    <row r="23" spans="1:105" ht="71.25">
      <c r="A23" s="9">
        <v>441</v>
      </c>
      <c r="B23" s="10">
        <v>44447</v>
      </c>
      <c r="C23" s="11" t="s">
        <v>4185</v>
      </c>
      <c r="D23" s="10">
        <v>44388</v>
      </c>
      <c r="E23" s="52">
        <f ca="1">_xlfn.DAYS(NOW(),Tabella2[[#This Row],[Data Nascita]])/365.25</f>
        <v>4.0657084188911705</v>
      </c>
      <c r="F23" s="11" t="s">
        <v>4186</v>
      </c>
      <c r="G23" s="11" t="s">
        <v>4187</v>
      </c>
      <c r="H23" s="11" t="s">
        <v>4188</v>
      </c>
      <c r="I23" s="11"/>
      <c r="J23" s="11" t="s">
        <v>4158</v>
      </c>
      <c r="K23" s="11"/>
      <c r="L23" s="11"/>
      <c r="M23" s="11"/>
      <c r="N23" s="11"/>
      <c r="O23" s="17" t="s">
        <v>5412</v>
      </c>
      <c r="P23" s="17">
        <v>0</v>
      </c>
      <c r="Q23" s="11" t="s">
        <v>195</v>
      </c>
      <c r="R23" s="11" t="s">
        <v>195</v>
      </c>
      <c r="S23" s="11" t="s">
        <v>4189</v>
      </c>
      <c r="T23" s="11" t="s">
        <v>439</v>
      </c>
      <c r="U23" s="18">
        <f>IF(ISERROR(SEARCH("null",Tabella2[[#This Row],[Patologia respiratoria nota]],1)),0,1)</f>
        <v>0</v>
      </c>
      <c r="V23" s="17">
        <f>IF(ISERROR(SEARCH("MUTA",Tabella2[[#This Row],[Patologia respiratoria nota]],1)),0,1)</f>
        <v>0</v>
      </c>
      <c r="W23" s="18">
        <f>IF(ISERROR(SEARCH("OSAS",Tabella2[[#This Row],[Patologia respiratoria nota]],1)),0,1)</f>
        <v>1</v>
      </c>
      <c r="X23" s="17">
        <f>IF(ISERROR(SEARCH("BPCO",Tabella2[[#This Row],[Patologia respiratoria nota]],1)),0,1)</f>
        <v>0</v>
      </c>
      <c r="Y23" s="17">
        <f>IF(ISERROR(SEARCH("ASMA",Tabella2[[#This Row],[Patologia respiratoria nota]],1)),0,1)</f>
        <v>0</v>
      </c>
      <c r="Z23" s="17">
        <f>IF(ISERROR(SEARCH("ASMA, OSAS",Tabella2[[#This Row],[Patologia respiratoria nota]],1)),0,1)</f>
        <v>0</v>
      </c>
      <c r="AA23" s="17">
        <f>IF(ISERROR(SEARCH("BPCO, OSAS",Tabella2[[#This Row],[Patologia respiratoria nota]],1)),0,1)</f>
        <v>0</v>
      </c>
      <c r="AB23" s="17">
        <f>IF(ISERROR(SEARCH("ASMA, BPCO, OSAS",Tabella2[[#This Row],[Patologia respiratoria nota]],1)),0,1)</f>
        <v>0</v>
      </c>
      <c r="AC23" s="15" t="s">
        <v>657</v>
      </c>
      <c r="AD23" s="19">
        <f>IF(ISERROR(SEARCH("NDD",Tabella2[[#This Row],[Tosse]],1)),0,1)</f>
        <v>0</v>
      </c>
      <c r="AE23" s="19">
        <f>IF(ISERROR(SEARCH("NEGA",Tabella2[[#This Row],[Tosse]],1)),0,1)</f>
        <v>1</v>
      </c>
      <c r="AF23" s="19">
        <f>IF(ISERROR(SEARCH("OCCASIONALMENTE",Tabella2[[#This Row],[Tosse]],1)),0,1)</f>
        <v>0</v>
      </c>
      <c r="AG23" s="19">
        <f>IF(ISERROR(SEARCH("RARAMENTE",Tabella2[[#This Row],[Tosse]],1)),0,1)</f>
        <v>0</v>
      </c>
      <c r="AH23" s="19">
        <f>IF(ISERROR(SEARCH("SI",Tabella2[[#This Row],[Tosse]],1)),0,1)</f>
        <v>0</v>
      </c>
      <c r="AI23" s="11" t="s">
        <v>657</v>
      </c>
      <c r="AJ23" s="18">
        <f>IF(ISERROR(SEARCH("SI",Tabella2[[#This Row],[Espettorazione]],1)),0,1)</f>
        <v>0</v>
      </c>
      <c r="AK23" s="18">
        <f>IF(ISERROR(SEARCH("NEGA",Tabella2[[#This Row],[Espettorazione]],1)),0,1)</f>
        <v>1</v>
      </c>
      <c r="AL23" s="18">
        <f>IF(ISERROR(SEARCH("NDD",Tabella2[[#This Row],[Espettorazione]],1)),0,1)</f>
        <v>0</v>
      </c>
      <c r="AM23" s="11" t="s">
        <v>657</v>
      </c>
      <c r="AN23" s="17">
        <v>0</v>
      </c>
      <c r="AO23" s="11" t="s">
        <v>657</v>
      </c>
      <c r="AP23" s="17">
        <f>IF(ISERROR(SEARCH("NEGA",Tabella2[[#This Row],[Dispnea da sforzo]],1)),0,1)</f>
        <v>1</v>
      </c>
      <c r="AQ23" s="17">
        <f>IF(ISERROR(SEARCH("NEGA",Tabella2[[#This Row],[Dispnea da sforzo]],1)),1,0)</f>
        <v>0</v>
      </c>
      <c r="AR23" s="17">
        <f>IF(ISERROR(SEARCH("LIEVI",Tabella2[[#This Row],[Dispnea da sforzo]],1)),0,1)</f>
        <v>0</v>
      </c>
      <c r="AS23" s="17">
        <f>IF(ISERROR(SEARCH("MODERATI",Tabella2[[#This Row],[Dispnea da sforzo]],1)),0,1)</f>
        <v>0</v>
      </c>
      <c r="AT23" s="17">
        <f>IF(ISERROR(SEARCH("INTENSI",Tabella2[[#This Row],[Dispnea da sforzo]],1)),0,1)</f>
        <v>0</v>
      </c>
      <c r="AU23" s="11" t="s">
        <v>657</v>
      </c>
      <c r="AV23" s="18">
        <f>IF(ISERROR(SEARCH("NEGA",Tabella2[[#This Row],[Dispnea a riposo]],1)),0,1)</f>
        <v>1</v>
      </c>
      <c r="AW23" s="18">
        <f>IF(ISERROR(SEARCH("NDD",Tabella2[[#This Row],[Dispnea a riposo]],1)),0,1)</f>
        <v>0</v>
      </c>
      <c r="AX23" s="11" t="s">
        <v>657</v>
      </c>
      <c r="AY23" s="17">
        <v>0</v>
      </c>
      <c r="AZ23" s="11" t="s">
        <v>657</v>
      </c>
      <c r="BA23" s="18">
        <v>0</v>
      </c>
      <c r="BB23" s="11" t="s">
        <v>4190</v>
      </c>
      <c r="BC23" s="17">
        <v>1</v>
      </c>
      <c r="BD23" s="11" t="s">
        <v>194</v>
      </c>
      <c r="BE23" s="17">
        <v>1</v>
      </c>
      <c r="BF23" s="11" t="s">
        <v>657</v>
      </c>
      <c r="BG23" s="17">
        <v>0</v>
      </c>
      <c r="BH23" s="11" t="s">
        <v>194</v>
      </c>
      <c r="BI23" s="18">
        <v>1</v>
      </c>
      <c r="BJ23" s="11">
        <v>12</v>
      </c>
      <c r="BK23" s="11" t="s">
        <v>4191</v>
      </c>
      <c r="BL23" s="18"/>
      <c r="BM23" s="18"/>
      <c r="BN23" s="18"/>
      <c r="BO23" s="18"/>
      <c r="BP23" s="18"/>
      <c r="BQ23" s="18"/>
      <c r="BR23" s="18">
        <v>1</v>
      </c>
      <c r="BS23" s="18"/>
      <c r="BT23" s="18"/>
      <c r="BU23" s="18"/>
      <c r="BV23" s="18"/>
      <c r="BW23" s="18"/>
      <c r="BX23" s="18"/>
      <c r="BY23" s="18"/>
      <c r="BZ23" s="18"/>
      <c r="CA23" s="18"/>
      <c r="CB23" s="18"/>
      <c r="CC23" s="18"/>
      <c r="CD23" s="18"/>
      <c r="CE23" s="18"/>
      <c r="CF23" s="18"/>
      <c r="CG23" s="11">
        <v>26</v>
      </c>
      <c r="CH23" s="11"/>
      <c r="CI23" s="11">
        <v>97</v>
      </c>
      <c r="CJ23" s="11">
        <v>66</v>
      </c>
      <c r="CK23" s="11" t="s">
        <v>4192</v>
      </c>
      <c r="CL23" s="11" t="s">
        <v>4193</v>
      </c>
      <c r="CM23" s="11" t="s">
        <v>4194</v>
      </c>
      <c r="CN23" s="17">
        <v>0</v>
      </c>
      <c r="CO23" s="17">
        <v>0</v>
      </c>
      <c r="CP23" s="17">
        <v>0</v>
      </c>
      <c r="CQ23" s="17">
        <v>0</v>
      </c>
      <c r="CR23" s="11" t="s">
        <v>4180</v>
      </c>
      <c r="CS23" s="11" t="s">
        <v>121</v>
      </c>
      <c r="CT23" s="65">
        <v>0.85</v>
      </c>
      <c r="CU23" s="11" t="s">
        <v>4195</v>
      </c>
      <c r="CV23" s="11"/>
      <c r="CW23" s="11"/>
      <c r="CX23" s="11" t="s">
        <v>194</v>
      </c>
      <c r="CY23" s="17">
        <v>1</v>
      </c>
      <c r="CZ23" s="11" t="s">
        <v>4196</v>
      </c>
      <c r="DA23" s="12" t="s">
        <v>4197</v>
      </c>
    </row>
    <row r="24" spans="1:105" customFormat="1" ht="57">
      <c r="A24" s="31">
        <v>461</v>
      </c>
      <c r="B24" s="32">
        <v>44452</v>
      </c>
      <c r="C24" s="7" t="s">
        <v>4198</v>
      </c>
      <c r="D24" s="32">
        <v>20235</v>
      </c>
      <c r="E24" s="43">
        <f ca="1">_xlfn.DAYS(NOW(),Tabella2[[#This Row],[Data Nascita]])/365.25</f>
        <v>70.19301848049281</v>
      </c>
      <c r="F24" s="33" t="s">
        <v>4199</v>
      </c>
      <c r="G24" s="33" t="s">
        <v>4200</v>
      </c>
      <c r="H24" s="33" t="s">
        <v>4201</v>
      </c>
      <c r="I24" s="33" t="s">
        <v>4142</v>
      </c>
      <c r="J24" s="33" t="s">
        <v>4202</v>
      </c>
      <c r="K24" s="33"/>
      <c r="L24" s="33"/>
      <c r="M24" s="33"/>
      <c r="N24" s="33" t="s">
        <v>8</v>
      </c>
      <c r="O24" s="47">
        <v>0</v>
      </c>
      <c r="P24" s="47">
        <v>1</v>
      </c>
      <c r="Q24" s="33" t="s">
        <v>8</v>
      </c>
      <c r="R24" s="33" t="s">
        <v>8</v>
      </c>
      <c r="S24" s="33" t="s">
        <v>4203</v>
      </c>
      <c r="T24" s="33" t="s">
        <v>439</v>
      </c>
      <c r="U24" s="47">
        <f>IF(ISERROR(SEARCH("null",Tabella2[[#This Row],[Patologia respiratoria nota]],1)),0,1)</f>
        <v>0</v>
      </c>
      <c r="V24" s="47">
        <f>IF(ISERROR(SEARCH("MUTA",Tabella2[[#This Row],[Patologia respiratoria nota]],1)),0,1)</f>
        <v>0</v>
      </c>
      <c r="W24" s="47">
        <f>IF(ISERROR(SEARCH("OSAS",Tabella2[[#This Row],[Patologia respiratoria nota]],1)),0,1)</f>
        <v>1</v>
      </c>
      <c r="X24" s="47">
        <f>IF(ISERROR(SEARCH("BPCO",Tabella2[[#This Row],[Patologia respiratoria nota]],1)),0,1)</f>
        <v>0</v>
      </c>
      <c r="Y24" s="47">
        <f>IF(ISERROR(SEARCH("ASMA",Tabella2[[#This Row],[Patologia respiratoria nota]],1)),0,1)</f>
        <v>0</v>
      </c>
      <c r="Z24" s="47">
        <f>IF(ISERROR(SEARCH("ASMA, OSAS",Tabella2[[#This Row],[Patologia respiratoria nota]],1)),0,1)</f>
        <v>0</v>
      </c>
      <c r="AA24" s="47">
        <f>IF(ISERROR(SEARCH("BPCO, OSAS",Tabella2[[#This Row],[Patologia respiratoria nota]],1)),0,1)</f>
        <v>0</v>
      </c>
      <c r="AB24" s="47">
        <f>IF(ISERROR(SEARCH("ASMA, BPCO, OSAS",Tabella2[[#This Row],[Patologia respiratoria nota]],1)),0,1)</f>
        <v>0</v>
      </c>
      <c r="AC24" s="41" t="s">
        <v>657</v>
      </c>
      <c r="AD24" s="48">
        <f>IF(ISERROR(SEARCH("NDD",Tabella2[[#This Row],[Tosse]],1)),0,1)</f>
        <v>0</v>
      </c>
      <c r="AE24" s="48">
        <f>IF(ISERROR(SEARCH("NEGA",Tabella2[[#This Row],[Tosse]],1)),0,1)</f>
        <v>1</v>
      </c>
      <c r="AF24" s="48">
        <f>IF(ISERROR(SEARCH("OCCASIONALMENTE",Tabella2[[#This Row],[Tosse]],1)),0,1)</f>
        <v>0</v>
      </c>
      <c r="AG24" s="48">
        <f>IF(ISERROR(SEARCH("RARAMENTE",Tabella2[[#This Row],[Tosse]],1)),0,1)</f>
        <v>0</v>
      </c>
      <c r="AH24" s="48">
        <f>IF(ISERROR(SEARCH("SI",Tabella2[[#This Row],[Tosse]],1)),0,1)</f>
        <v>0</v>
      </c>
      <c r="AI24" s="33" t="s">
        <v>657</v>
      </c>
      <c r="AJ24" s="47">
        <f>IF(ISERROR(SEARCH("SI",Tabella2[[#This Row],[Espettorazione]],1)),0,1)</f>
        <v>0</v>
      </c>
      <c r="AK24" s="47">
        <f>IF(ISERROR(SEARCH("NEGA",Tabella2[[#This Row],[Espettorazione]],1)),0,1)</f>
        <v>1</v>
      </c>
      <c r="AL24" s="47">
        <f>IF(ISERROR(SEARCH("NDD",Tabella2[[#This Row],[Espettorazione]],1)),0,1)</f>
        <v>0</v>
      </c>
      <c r="AM24" s="33" t="s">
        <v>351</v>
      </c>
      <c r="AN24" s="47">
        <v>1</v>
      </c>
      <c r="AO24" s="33" t="s">
        <v>5542</v>
      </c>
      <c r="AP24" s="47">
        <f>IF(ISERROR(SEARCH("NEGA",Tabella2[[#This Row],[Dispnea da sforzo]],1)),0,1)</f>
        <v>0</v>
      </c>
      <c r="AQ24" s="47">
        <f>IF(ISERROR(SEARCH("NEGA",Tabella2[[#This Row],[Dispnea da sforzo]],1)),1,0)</f>
        <v>1</v>
      </c>
      <c r="AR24" s="47">
        <f>IF(ISERROR(SEARCH("LIEVI",Tabella2[[#This Row],[Dispnea da sforzo]],1)),0,1)</f>
        <v>1</v>
      </c>
      <c r="AS24" s="47">
        <f>IF(ISERROR(SEARCH("MODERATI",Tabella2[[#This Row],[Dispnea da sforzo]],1)),0,1)</f>
        <v>1</v>
      </c>
      <c r="AT24" s="47">
        <f>IF(ISERROR(SEARCH("INTENSI",Tabella2[[#This Row],[Dispnea da sforzo]],1)),0,1)</f>
        <v>0</v>
      </c>
      <c r="AU24" s="33" t="s">
        <v>657</v>
      </c>
      <c r="AV24" s="47">
        <f>IF(ISERROR(SEARCH("NEGA",Tabella2[[#This Row],[Dispnea a riposo]],1)),0,1)</f>
        <v>1</v>
      </c>
      <c r="AW24" s="47">
        <f>IF(ISERROR(SEARCH("NDD",Tabella2[[#This Row],[Dispnea a riposo]],1)),0,1)</f>
        <v>0</v>
      </c>
      <c r="AX24" s="33" t="s">
        <v>4204</v>
      </c>
      <c r="AY24" s="46">
        <v>1</v>
      </c>
      <c r="AZ24" s="33" t="s">
        <v>476</v>
      </c>
      <c r="BA24" s="17">
        <v>1</v>
      </c>
      <c r="BB24" s="33" t="s">
        <v>466</v>
      </c>
      <c r="BC24" s="17">
        <v>1</v>
      </c>
      <c r="BD24" s="33" t="s">
        <v>4205</v>
      </c>
      <c r="BE24" s="17">
        <v>1</v>
      </c>
      <c r="BF24" s="33" t="s">
        <v>4205</v>
      </c>
      <c r="BG24" s="17">
        <v>1</v>
      </c>
      <c r="BH24" s="33" t="s">
        <v>301</v>
      </c>
      <c r="BI24" s="18">
        <v>1</v>
      </c>
      <c r="BJ24" s="33">
        <v>14</v>
      </c>
      <c r="BK24" s="33" t="s">
        <v>4206</v>
      </c>
      <c r="BL24" s="47"/>
      <c r="BM24" s="47"/>
      <c r="BN24" s="47"/>
      <c r="BO24" s="47"/>
      <c r="BP24" s="47">
        <v>1</v>
      </c>
      <c r="BQ24" s="47"/>
      <c r="BR24" s="47"/>
      <c r="BS24" s="47"/>
      <c r="BT24" s="47"/>
      <c r="BU24" s="47"/>
      <c r="BV24" s="47"/>
      <c r="BW24" s="47"/>
      <c r="BX24" s="47"/>
      <c r="BY24" s="47"/>
      <c r="BZ24" s="47"/>
      <c r="CA24" s="47"/>
      <c r="CB24" s="47"/>
      <c r="CC24" s="47"/>
      <c r="CD24" s="47"/>
      <c r="CE24" s="47"/>
      <c r="CF24" s="47"/>
      <c r="CG24" s="33">
        <v>40</v>
      </c>
      <c r="CH24" s="33"/>
      <c r="CI24" s="33">
        <v>98</v>
      </c>
      <c r="CJ24" s="33">
        <v>78</v>
      </c>
      <c r="CK24" s="33" t="s">
        <v>4207</v>
      </c>
      <c r="CL24" s="33"/>
      <c r="CM24" s="33" t="s">
        <v>4208</v>
      </c>
      <c r="CN24" s="17">
        <v>0</v>
      </c>
      <c r="CO24" s="17">
        <v>0</v>
      </c>
      <c r="CP24" s="17">
        <v>0</v>
      </c>
      <c r="CQ24" s="17">
        <v>1</v>
      </c>
      <c r="CR24" s="33" t="s">
        <v>3884</v>
      </c>
      <c r="CS24" s="33" t="s">
        <v>1181</v>
      </c>
      <c r="CT24" s="66">
        <v>1</v>
      </c>
      <c r="CU24" s="33" t="s">
        <v>4209</v>
      </c>
      <c r="CV24" s="33"/>
      <c r="CW24" s="33"/>
      <c r="CX24" s="33" t="s">
        <v>4205</v>
      </c>
      <c r="CY24" s="17">
        <v>1</v>
      </c>
      <c r="CZ24" s="33" t="s">
        <v>4210</v>
      </c>
      <c r="DA24" s="34" t="s">
        <v>4211</v>
      </c>
    </row>
    <row r="25" spans="1:105" ht="85.5">
      <c r="A25" s="9">
        <v>478</v>
      </c>
      <c r="B25" s="10">
        <v>44455</v>
      </c>
      <c r="C25" s="11" t="s">
        <v>4212</v>
      </c>
      <c r="D25" s="10">
        <v>27338</v>
      </c>
      <c r="E25" s="52">
        <f ca="1">_xlfn.DAYS(NOW(),Tabella2[[#This Row],[Data Nascita]])/365.25</f>
        <v>50.7460643394935</v>
      </c>
      <c r="F25" s="11" t="s">
        <v>4213</v>
      </c>
      <c r="G25" s="11" t="s">
        <v>4214</v>
      </c>
      <c r="H25" s="11" t="s">
        <v>4188</v>
      </c>
      <c r="I25" s="11"/>
      <c r="J25" s="11" t="s">
        <v>4215</v>
      </c>
      <c r="K25" s="11"/>
      <c r="L25" s="11"/>
      <c r="M25" s="11"/>
      <c r="N25" s="11"/>
      <c r="O25" s="17" t="s">
        <v>5412</v>
      </c>
      <c r="P25" s="17">
        <v>0</v>
      </c>
      <c r="Q25" s="11" t="s">
        <v>195</v>
      </c>
      <c r="R25" s="11" t="s">
        <v>195</v>
      </c>
      <c r="S25" s="11" t="s">
        <v>4216</v>
      </c>
      <c r="T25" s="11" t="s">
        <v>439</v>
      </c>
      <c r="U25" s="18">
        <f>IF(ISERROR(SEARCH("null",Tabella2[[#This Row],[Patologia respiratoria nota]],1)),0,1)</f>
        <v>0</v>
      </c>
      <c r="V25" s="17">
        <f>IF(ISERROR(SEARCH("MUTA",Tabella2[[#This Row],[Patologia respiratoria nota]],1)),0,1)</f>
        <v>0</v>
      </c>
      <c r="W25" s="18">
        <f>IF(ISERROR(SEARCH("OSAS",Tabella2[[#This Row],[Patologia respiratoria nota]],1)),0,1)</f>
        <v>1</v>
      </c>
      <c r="X25" s="17">
        <f>IF(ISERROR(SEARCH("BPCO",Tabella2[[#This Row],[Patologia respiratoria nota]],1)),0,1)</f>
        <v>0</v>
      </c>
      <c r="Y25" s="17">
        <f>IF(ISERROR(SEARCH("ASMA",Tabella2[[#This Row],[Patologia respiratoria nota]],1)),0,1)</f>
        <v>0</v>
      </c>
      <c r="Z25" s="17">
        <f>IF(ISERROR(SEARCH("ASMA, OSAS",Tabella2[[#This Row],[Patologia respiratoria nota]],1)),0,1)</f>
        <v>0</v>
      </c>
      <c r="AA25" s="17">
        <f>IF(ISERROR(SEARCH("BPCO, OSAS",Tabella2[[#This Row],[Patologia respiratoria nota]],1)),0,1)</f>
        <v>0</v>
      </c>
      <c r="AB25" s="17">
        <f>IF(ISERROR(SEARCH("ASMA, BPCO, OSAS",Tabella2[[#This Row],[Patologia respiratoria nota]],1)),0,1)</f>
        <v>0</v>
      </c>
      <c r="AC25" s="15" t="s">
        <v>657</v>
      </c>
      <c r="AD25" s="19">
        <f>IF(ISERROR(SEARCH("NDD",Tabella2[[#This Row],[Tosse]],1)),0,1)</f>
        <v>0</v>
      </c>
      <c r="AE25" s="19">
        <f>IF(ISERROR(SEARCH("NEGA",Tabella2[[#This Row],[Tosse]],1)),0,1)</f>
        <v>1</v>
      </c>
      <c r="AF25" s="19">
        <f>IF(ISERROR(SEARCH("OCCASIONALMENTE",Tabella2[[#This Row],[Tosse]],1)),0,1)</f>
        <v>0</v>
      </c>
      <c r="AG25" s="19">
        <f>IF(ISERROR(SEARCH("RARAMENTE",Tabella2[[#This Row],[Tosse]],1)),0,1)</f>
        <v>0</v>
      </c>
      <c r="AH25" s="19">
        <f>IF(ISERROR(SEARCH("SI",Tabella2[[#This Row],[Tosse]],1)),0,1)</f>
        <v>0</v>
      </c>
      <c r="AI25" s="11" t="s">
        <v>657</v>
      </c>
      <c r="AJ25" s="18">
        <f>IF(ISERROR(SEARCH("SI",Tabella2[[#This Row],[Espettorazione]],1)),0,1)</f>
        <v>0</v>
      </c>
      <c r="AK25" s="18">
        <f>IF(ISERROR(SEARCH("NEGA",Tabella2[[#This Row],[Espettorazione]],1)),0,1)</f>
        <v>1</v>
      </c>
      <c r="AL25" s="18">
        <f>IF(ISERROR(SEARCH("NDD",Tabella2[[#This Row],[Espettorazione]],1)),0,1)</f>
        <v>0</v>
      </c>
      <c r="AM25" s="11" t="s">
        <v>657</v>
      </c>
      <c r="AN25" s="17">
        <v>0</v>
      </c>
      <c r="AO25" s="11" t="s">
        <v>194</v>
      </c>
      <c r="AP25" s="17">
        <f>IF(ISERROR(SEARCH("NEGA",Tabella2[[#This Row],[Dispnea da sforzo]],1)),0,1)</f>
        <v>0</v>
      </c>
      <c r="AQ25" s="17">
        <f>IF(ISERROR(SEARCH("NEGA",Tabella2[[#This Row],[Dispnea da sforzo]],1)),1,0)</f>
        <v>1</v>
      </c>
      <c r="AR25" s="17">
        <f>IF(ISERROR(SEARCH("LIEVI",Tabella2[[#This Row],[Dispnea da sforzo]],1)),0,1)</f>
        <v>0</v>
      </c>
      <c r="AS25" s="17">
        <f>IF(ISERROR(SEARCH("MODERATI",Tabella2[[#This Row],[Dispnea da sforzo]],1)),0,1)</f>
        <v>0</v>
      </c>
      <c r="AT25" s="17">
        <f>IF(ISERROR(SEARCH("INTENSI",Tabella2[[#This Row],[Dispnea da sforzo]],1)),0,1)</f>
        <v>0</v>
      </c>
      <c r="AU25" s="11" t="s">
        <v>657</v>
      </c>
      <c r="AV25" s="18">
        <f>IF(ISERROR(SEARCH("NEGA",Tabella2[[#This Row],[Dispnea a riposo]],1)),0,1)</f>
        <v>1</v>
      </c>
      <c r="AW25" s="18">
        <f>IF(ISERROR(SEARCH("NDD",Tabella2[[#This Row],[Dispnea a riposo]],1)),0,1)</f>
        <v>0</v>
      </c>
      <c r="AX25" s="11" t="s">
        <v>657</v>
      </c>
      <c r="AY25" s="17">
        <v>0</v>
      </c>
      <c r="AZ25" s="11" t="s">
        <v>194</v>
      </c>
      <c r="BA25" s="17">
        <v>1</v>
      </c>
      <c r="BB25" s="11" t="s">
        <v>4217</v>
      </c>
      <c r="BC25" s="17">
        <v>1</v>
      </c>
      <c r="BD25" s="11" t="s">
        <v>194</v>
      </c>
      <c r="BE25" s="17">
        <v>1</v>
      </c>
      <c r="BF25" s="11" t="s">
        <v>657</v>
      </c>
      <c r="BG25" s="17">
        <v>0</v>
      </c>
      <c r="BH25" s="11" t="s">
        <v>194</v>
      </c>
      <c r="BI25" s="18">
        <v>1</v>
      </c>
      <c r="BJ25" s="11">
        <v>12</v>
      </c>
      <c r="BK25" s="11" t="s">
        <v>4218</v>
      </c>
      <c r="BL25" s="18"/>
      <c r="BM25" s="18"/>
      <c r="BN25" s="18"/>
      <c r="BO25" s="18"/>
      <c r="BP25" s="18">
        <v>1</v>
      </c>
      <c r="BQ25" s="18"/>
      <c r="BR25" s="18"/>
      <c r="BS25" s="18">
        <v>1</v>
      </c>
      <c r="BT25" s="18"/>
      <c r="BU25" s="18"/>
      <c r="BV25" s="18"/>
      <c r="BW25" s="18"/>
      <c r="BX25" s="18"/>
      <c r="BY25" s="18"/>
      <c r="BZ25" s="18"/>
      <c r="CA25" s="18"/>
      <c r="CB25" s="18"/>
      <c r="CC25" s="18"/>
      <c r="CD25" s="18"/>
      <c r="CE25" s="18"/>
      <c r="CF25" s="18"/>
      <c r="CG25" s="11">
        <v>45</v>
      </c>
      <c r="CH25" s="11"/>
      <c r="CI25" s="11">
        <v>96</v>
      </c>
      <c r="CJ25" s="11">
        <v>77</v>
      </c>
      <c r="CK25" s="11" t="s">
        <v>4219</v>
      </c>
      <c r="CL25" s="11" t="s">
        <v>4220</v>
      </c>
      <c r="CM25" s="11" t="s">
        <v>4221</v>
      </c>
      <c r="CN25" s="17">
        <v>0</v>
      </c>
      <c r="CO25" s="17">
        <v>0</v>
      </c>
      <c r="CP25" s="17">
        <v>1</v>
      </c>
      <c r="CQ25" s="17">
        <v>0</v>
      </c>
      <c r="CR25" s="11" t="s">
        <v>4040</v>
      </c>
      <c r="CS25" s="11" t="s">
        <v>368</v>
      </c>
      <c r="CT25" s="65">
        <v>0.16</v>
      </c>
      <c r="CU25" s="11" t="s">
        <v>4222</v>
      </c>
      <c r="CV25" s="11"/>
      <c r="CW25" s="11"/>
      <c r="CX25" s="11" t="s">
        <v>28</v>
      </c>
      <c r="CY25" s="17">
        <v>1</v>
      </c>
      <c r="CZ25" s="11" t="s">
        <v>4223</v>
      </c>
      <c r="DA25" s="12" t="s">
        <v>4224</v>
      </c>
    </row>
    <row r="26" spans="1:105" ht="114">
      <c r="A26" s="5">
        <v>483</v>
      </c>
      <c r="B26" s="6">
        <v>44456</v>
      </c>
      <c r="C26" s="7" t="s">
        <v>4225</v>
      </c>
      <c r="D26" s="6">
        <v>24292</v>
      </c>
      <c r="E26" s="51">
        <f ca="1">_xlfn.DAYS(NOW(),Tabella2[[#This Row],[Data Nascita]])/365.25</f>
        <v>59.08555783709788</v>
      </c>
      <c r="F26" s="7" t="s">
        <v>4226</v>
      </c>
      <c r="G26" s="7" t="s">
        <v>4227</v>
      </c>
      <c r="H26" s="7" t="s">
        <v>4228</v>
      </c>
      <c r="I26" s="7" t="s">
        <v>4229</v>
      </c>
      <c r="J26" s="7" t="s">
        <v>4230</v>
      </c>
      <c r="K26" s="7"/>
      <c r="L26" s="7"/>
      <c r="M26" s="7"/>
      <c r="N26" s="7"/>
      <c r="O26" s="17" t="s">
        <v>5412</v>
      </c>
      <c r="P26" s="17">
        <v>0</v>
      </c>
      <c r="Q26" s="7" t="s">
        <v>25</v>
      </c>
      <c r="R26" s="7" t="s">
        <v>25</v>
      </c>
      <c r="S26" s="7" t="s">
        <v>4231</v>
      </c>
      <c r="T26" s="7" t="s">
        <v>4232</v>
      </c>
      <c r="U26" s="17">
        <f>IF(ISERROR(SEARCH("null",Tabella2[[#This Row],[Patologia respiratoria nota]],1)),0,1)</f>
        <v>0</v>
      </c>
      <c r="V26" s="17">
        <f>IF(ISERROR(SEARCH("MUTA",Tabella2[[#This Row],[Patologia respiratoria nota]],1)),0,1)</f>
        <v>0</v>
      </c>
      <c r="W26" s="17">
        <f>IF(ISERROR(SEARCH("OSAS",Tabella2[[#This Row],[Patologia respiratoria nota]],1)),0,1)</f>
        <v>0</v>
      </c>
      <c r="X26" s="17">
        <f>IF(ISERROR(SEARCH("BPCO",Tabella2[[#This Row],[Patologia respiratoria nota]],1)),0,1)</f>
        <v>1</v>
      </c>
      <c r="Y26" s="17">
        <f>IF(ISERROR(SEARCH("ASMA",Tabella2[[#This Row],[Patologia respiratoria nota]],1)),0,1)</f>
        <v>0</v>
      </c>
      <c r="Z26" s="17">
        <f>IF(ISERROR(SEARCH("ASMA, OSAS",Tabella2[[#This Row],[Patologia respiratoria nota]],1)),0,1)</f>
        <v>0</v>
      </c>
      <c r="AA26" s="17">
        <f>IF(ISERROR(SEARCH("BPCO, OSAS",Tabella2[[#This Row],[Patologia respiratoria nota]],1)),0,1)</f>
        <v>0</v>
      </c>
      <c r="AB26" s="17">
        <f>IF(ISERROR(SEARCH("ASMA, BPCO, OSAS",Tabella2[[#This Row],[Patologia respiratoria nota]],1)),0,1)</f>
        <v>0</v>
      </c>
      <c r="AC26" s="7" t="s">
        <v>381</v>
      </c>
      <c r="AD26" s="17">
        <f>IF(ISERROR(SEARCH("NDD",Tabella2[[#This Row],[Tosse]],1)),0,1)</f>
        <v>0</v>
      </c>
      <c r="AE26" s="17">
        <f>IF(ISERROR(SEARCH("NEGA",Tabella2[[#This Row],[Tosse]],1)),0,1)</f>
        <v>0</v>
      </c>
      <c r="AF26" s="17">
        <f>IF(ISERROR(SEARCH("OCCASIONALMENTE",Tabella2[[#This Row],[Tosse]],1)),0,1)</f>
        <v>0</v>
      </c>
      <c r="AG26" s="17">
        <f>IF(ISERROR(SEARCH("RARAMENTE",Tabella2[[#This Row],[Tosse]],1)),0,1)</f>
        <v>0</v>
      </c>
      <c r="AH26" s="17">
        <v>1</v>
      </c>
      <c r="AI26" s="7" t="s">
        <v>5513</v>
      </c>
      <c r="AJ26" s="17">
        <f>IF(ISERROR(SEARCH("SI",Tabella2[[#This Row],[Espettorazione]],1)),0,1)</f>
        <v>1</v>
      </c>
      <c r="AK26" s="17">
        <v>0</v>
      </c>
      <c r="AL26" s="17">
        <f>IF(ISERROR(SEARCH("NDD",Tabella2[[#This Row],[Espettorazione]],1)),0,1)</f>
        <v>0</v>
      </c>
      <c r="AM26" s="7" t="s">
        <v>657</v>
      </c>
      <c r="AN26" s="17">
        <v>0</v>
      </c>
      <c r="AO26" s="7" t="s">
        <v>28</v>
      </c>
      <c r="AP26" s="17">
        <f>IF(ISERROR(SEARCH("NEGA",Tabella2[[#This Row],[Dispnea da sforzo]],1)),0,1)</f>
        <v>0</v>
      </c>
      <c r="AQ26" s="17">
        <f>IF(ISERROR(SEARCH("NEGA",Tabella2[[#This Row],[Dispnea da sforzo]],1)),1,0)</f>
        <v>1</v>
      </c>
      <c r="AR26" s="17">
        <f>IF(ISERROR(SEARCH("LIEVI",Tabella2[[#This Row],[Dispnea da sforzo]],1)),0,1)</f>
        <v>0</v>
      </c>
      <c r="AS26" s="17">
        <f>IF(ISERROR(SEARCH("MODERATI",Tabella2[[#This Row],[Dispnea da sforzo]],1)),0,1)</f>
        <v>0</v>
      </c>
      <c r="AT26" s="17">
        <f>IF(ISERROR(SEARCH("INTENSI",Tabella2[[#This Row],[Dispnea da sforzo]],1)),0,1)</f>
        <v>0</v>
      </c>
      <c r="AU26" s="7" t="s">
        <v>272</v>
      </c>
      <c r="AV26" s="17">
        <f>IF(ISERROR(SEARCH("NEGA",Tabella2[[#This Row],[Dispnea a riposo]],1)),0,1)</f>
        <v>0</v>
      </c>
      <c r="AW26" s="17">
        <f>IF(ISERROR(SEARCH("NDD",Tabella2[[#This Row],[Dispnea a riposo]],1)),0,1)</f>
        <v>0</v>
      </c>
      <c r="AX26" s="7" t="s">
        <v>657</v>
      </c>
      <c r="AY26" s="17">
        <v>0</v>
      </c>
      <c r="AZ26" s="7" t="s">
        <v>28</v>
      </c>
      <c r="BA26" s="17">
        <v>1</v>
      </c>
      <c r="BB26" s="7" t="s">
        <v>28</v>
      </c>
      <c r="BC26" s="17">
        <v>1</v>
      </c>
      <c r="BD26" s="33" t="s">
        <v>657</v>
      </c>
      <c r="BE26" s="18">
        <v>0</v>
      </c>
      <c r="BF26" s="7" t="s">
        <v>28</v>
      </c>
      <c r="BG26" s="17">
        <v>1</v>
      </c>
      <c r="BH26" s="7" t="s">
        <v>657</v>
      </c>
      <c r="BI26" s="17">
        <v>0</v>
      </c>
      <c r="BJ26" s="7">
        <v>15</v>
      </c>
      <c r="BK26" s="7" t="s">
        <v>4233</v>
      </c>
      <c r="BL26" s="17"/>
      <c r="BM26" s="17"/>
      <c r="BN26" s="17">
        <v>1</v>
      </c>
      <c r="BO26" s="17"/>
      <c r="BP26" s="17"/>
      <c r="BQ26" s="17"/>
      <c r="BR26" s="17"/>
      <c r="BS26" s="17"/>
      <c r="BT26" s="17"/>
      <c r="BU26" s="17"/>
      <c r="BV26" s="17"/>
      <c r="BW26" s="17"/>
      <c r="BX26" s="17"/>
      <c r="BY26" s="17"/>
      <c r="BZ26" s="17"/>
      <c r="CA26" s="17"/>
      <c r="CB26" s="17"/>
      <c r="CC26" s="17"/>
      <c r="CD26" s="17"/>
      <c r="CE26" s="17"/>
      <c r="CF26" s="17"/>
      <c r="CG26" s="7">
        <v>32</v>
      </c>
      <c r="CH26" s="7"/>
      <c r="CI26" s="7">
        <v>96</v>
      </c>
      <c r="CJ26" s="7">
        <v>70</v>
      </c>
      <c r="CK26" s="7" t="s">
        <v>4104</v>
      </c>
      <c r="CL26" s="7"/>
      <c r="CM26" s="7" t="s">
        <v>4234</v>
      </c>
      <c r="CN26" s="17">
        <v>0</v>
      </c>
      <c r="CO26" s="17">
        <v>0</v>
      </c>
      <c r="CP26" s="17">
        <v>0</v>
      </c>
      <c r="CQ26" s="17">
        <v>0</v>
      </c>
      <c r="CR26" s="7" t="s">
        <v>4235</v>
      </c>
      <c r="CS26" s="33" t="s">
        <v>5477</v>
      </c>
      <c r="CT26" s="64"/>
      <c r="CU26" s="7"/>
      <c r="CV26" s="7"/>
      <c r="CW26" s="7"/>
      <c r="CX26" s="7" t="s">
        <v>28</v>
      </c>
      <c r="CY26" s="17">
        <v>1</v>
      </c>
      <c r="CZ26" s="7" t="s">
        <v>4236</v>
      </c>
      <c r="DA26" s="8" t="s">
        <v>4237</v>
      </c>
    </row>
    <row r="27" spans="1:105" customFormat="1" ht="85.5">
      <c r="A27" s="35">
        <v>498</v>
      </c>
      <c r="B27" s="36">
        <v>44461</v>
      </c>
      <c r="C27" s="11" t="s">
        <v>4238</v>
      </c>
      <c r="D27" s="36">
        <v>25826</v>
      </c>
      <c r="E27" s="44">
        <f ca="1">_xlfn.DAYS(NOW(),Tabella2[[#This Row],[Data Nascita]])/365.25</f>
        <v>54.885694729637237</v>
      </c>
      <c r="F27" s="37" t="s">
        <v>4239</v>
      </c>
      <c r="G27" s="37" t="s">
        <v>4240</v>
      </c>
      <c r="H27" s="37" t="s">
        <v>4241</v>
      </c>
      <c r="I27" s="37"/>
      <c r="J27" s="37" t="s">
        <v>4242</v>
      </c>
      <c r="K27" s="37"/>
      <c r="L27" s="37"/>
      <c r="M27" s="37"/>
      <c r="N27" s="37"/>
      <c r="O27" s="47" t="s">
        <v>5412</v>
      </c>
      <c r="P27" s="47">
        <v>0</v>
      </c>
      <c r="Q27" s="37" t="s">
        <v>195</v>
      </c>
      <c r="R27" s="37" t="s">
        <v>195</v>
      </c>
      <c r="S27" s="37" t="s">
        <v>4243</v>
      </c>
      <c r="T27" s="37" t="s">
        <v>5417</v>
      </c>
      <c r="U27" s="46">
        <f>IF(ISERROR(SEARCH("null",Tabella2[[#This Row],[Patologia respiratoria nota]],1)),0,1)</f>
        <v>0</v>
      </c>
      <c r="V27" s="47">
        <f>IF(ISERROR(SEARCH("MUTA",Tabella2[[#This Row],[Patologia respiratoria nota]],1)),0,1)</f>
        <v>0</v>
      </c>
      <c r="W27" s="46">
        <f>IF(ISERROR(SEARCH("OSAS",Tabella2[[#This Row],[Patologia respiratoria nota]],1)),0,1)</f>
        <v>1</v>
      </c>
      <c r="X27" s="47">
        <f>IF(ISERROR(SEARCH("BPCO",Tabella2[[#This Row],[Patologia respiratoria nota]],1)),0,1)</f>
        <v>0</v>
      </c>
      <c r="Y27" s="47">
        <f>IF(ISERROR(SEARCH("ASMA",Tabella2[[#This Row],[Patologia respiratoria nota]],1)),0,1)</f>
        <v>1</v>
      </c>
      <c r="Z27" s="47">
        <f>IF(ISERROR(SEARCH("ASMA, OSAS",Tabella2[[#This Row],[Patologia respiratoria nota]],1)),0,1)</f>
        <v>0</v>
      </c>
      <c r="AA27" s="47">
        <f>IF(ISERROR(SEARCH("BPCO, OSAS",Tabella2[[#This Row],[Patologia respiratoria nota]],1)),0,1)</f>
        <v>0</v>
      </c>
      <c r="AB27" s="47">
        <f>IF(ISERROR(SEARCH("ASMA, BPCO, OSAS",Tabella2[[#This Row],[Patologia respiratoria nota]],1)),0,1)</f>
        <v>0</v>
      </c>
      <c r="AC27" s="37" t="s">
        <v>5456</v>
      </c>
      <c r="AD27" s="46">
        <f>IF(ISERROR(SEARCH("NDD",Tabella2[[#This Row],[Tosse]],1)),0,1)</f>
        <v>0</v>
      </c>
      <c r="AE27" s="46">
        <f>IF(ISERROR(SEARCH("NEGA",Tabella2[[#This Row],[Tosse]],1)),0,1)</f>
        <v>0</v>
      </c>
      <c r="AF27" s="46">
        <f>IF(ISERROR(SEARCH("OCCASIONALMENTE",Tabella2[[#This Row],[Tosse]],1)),0,1)</f>
        <v>0</v>
      </c>
      <c r="AG27" s="46">
        <f>IF(ISERROR(SEARCH("RARAMENTE",Tabella2[[#This Row],[Tosse]],1)),0,1)</f>
        <v>0</v>
      </c>
      <c r="AH27" s="17">
        <v>1</v>
      </c>
      <c r="AI27" s="37" t="s">
        <v>657</v>
      </c>
      <c r="AJ27" s="46">
        <f>IF(ISERROR(SEARCH("SI",Tabella2[[#This Row],[Espettorazione]],1)),0,1)</f>
        <v>0</v>
      </c>
      <c r="AK27" s="46">
        <f>IF(ISERROR(SEARCH("NEGA",Tabella2[[#This Row],[Espettorazione]],1)),0,1)</f>
        <v>1</v>
      </c>
      <c r="AL27" s="46">
        <f>IF(ISERROR(SEARCH("NDD",Tabella2[[#This Row],[Espettorazione]],1)),0,1)</f>
        <v>0</v>
      </c>
      <c r="AM27" s="37" t="s">
        <v>194</v>
      </c>
      <c r="AN27" s="47">
        <v>1</v>
      </c>
      <c r="AO27" s="37" t="s">
        <v>5543</v>
      </c>
      <c r="AP27" s="47">
        <f>IF(ISERROR(SEARCH("NEGA",Tabella2[[#This Row],[Dispnea da sforzo]],1)),0,1)</f>
        <v>0</v>
      </c>
      <c r="AQ27" s="47">
        <f>IF(ISERROR(SEARCH("NEGA",Tabella2[[#This Row],[Dispnea da sforzo]],1)),1,0)</f>
        <v>1</v>
      </c>
      <c r="AR27" s="47">
        <f>IF(ISERROR(SEARCH("LIEVI",Tabella2[[#This Row],[Dispnea da sforzo]],1)),0,1)</f>
        <v>0</v>
      </c>
      <c r="AS27" s="47">
        <f>IF(ISERROR(SEARCH("MODERATI",Tabella2[[#This Row],[Dispnea da sforzo]],1)),0,1)</f>
        <v>1</v>
      </c>
      <c r="AT27" s="47">
        <f>IF(ISERROR(SEARCH("INTENSI",Tabella2[[#This Row],[Dispnea da sforzo]],1)),0,1)</f>
        <v>0</v>
      </c>
      <c r="AU27" s="37" t="s">
        <v>657</v>
      </c>
      <c r="AV27" s="46">
        <f>IF(ISERROR(SEARCH("NEGA",Tabella2[[#This Row],[Dispnea a riposo]],1)),0,1)</f>
        <v>1</v>
      </c>
      <c r="AW27" s="46">
        <f>IF(ISERROR(SEARCH("NDD",Tabella2[[#This Row],[Dispnea a riposo]],1)),0,1)</f>
        <v>0</v>
      </c>
      <c r="AX27" s="37" t="s">
        <v>194</v>
      </c>
      <c r="AY27" s="46">
        <v>1</v>
      </c>
      <c r="AZ27" s="37" t="s">
        <v>194</v>
      </c>
      <c r="BA27" s="17">
        <v>1</v>
      </c>
      <c r="BB27" s="37" t="s">
        <v>387</v>
      </c>
      <c r="BC27" s="17">
        <v>1</v>
      </c>
      <c r="BD27" s="37" t="s">
        <v>194</v>
      </c>
      <c r="BE27" s="17">
        <v>1</v>
      </c>
      <c r="BF27" s="37" t="s">
        <v>194</v>
      </c>
      <c r="BG27" s="17">
        <v>1</v>
      </c>
      <c r="BH27" s="37" t="s">
        <v>194</v>
      </c>
      <c r="BI27" s="18">
        <v>1</v>
      </c>
      <c r="BJ27" s="37">
        <v>19</v>
      </c>
      <c r="BK27" s="37" t="s">
        <v>4244</v>
      </c>
      <c r="BL27" s="46"/>
      <c r="BM27" s="46"/>
      <c r="BN27" s="46"/>
      <c r="BO27" s="46"/>
      <c r="BP27" s="46"/>
      <c r="BQ27" s="46"/>
      <c r="BR27" s="46"/>
      <c r="BS27" s="46"/>
      <c r="BT27" s="46"/>
      <c r="BU27" s="46"/>
      <c r="BV27" s="46"/>
      <c r="BW27" s="46"/>
      <c r="BX27" s="46"/>
      <c r="BY27" s="46"/>
      <c r="BZ27" s="46"/>
      <c r="CA27" s="46"/>
      <c r="CB27" s="46"/>
      <c r="CC27" s="46"/>
      <c r="CD27" s="46"/>
      <c r="CE27" s="46"/>
      <c r="CF27" s="46"/>
      <c r="CG27" s="37">
        <v>34</v>
      </c>
      <c r="CH27" s="37"/>
      <c r="CI27" s="37">
        <v>98</v>
      </c>
      <c r="CJ27" s="37">
        <v>66</v>
      </c>
      <c r="CK27" s="37" t="s">
        <v>4245</v>
      </c>
      <c r="CL27" s="37" t="s">
        <v>4246</v>
      </c>
      <c r="CM27" s="37" t="s">
        <v>4247</v>
      </c>
      <c r="CN27" s="17">
        <v>0</v>
      </c>
      <c r="CO27" s="17">
        <v>0</v>
      </c>
      <c r="CP27" s="17">
        <v>1</v>
      </c>
      <c r="CQ27" s="17">
        <v>0</v>
      </c>
      <c r="CR27" s="37" t="s">
        <v>4180</v>
      </c>
      <c r="CS27" s="37" t="s">
        <v>202</v>
      </c>
      <c r="CT27" s="63"/>
      <c r="CU27" s="37" t="s">
        <v>4248</v>
      </c>
      <c r="CV27" s="37"/>
      <c r="CW27" s="37"/>
      <c r="CX27" s="37" t="s">
        <v>194</v>
      </c>
      <c r="CY27" s="17">
        <v>1</v>
      </c>
      <c r="CZ27" s="37" t="s">
        <v>4249</v>
      </c>
      <c r="DA27" s="38" t="s">
        <v>4250</v>
      </c>
    </row>
    <row r="28" spans="1:105" s="54" customFormat="1" ht="85.5">
      <c r="A28" s="5">
        <v>514</v>
      </c>
      <c r="B28" s="6">
        <v>44467</v>
      </c>
      <c r="C28" s="7" t="s">
        <v>4251</v>
      </c>
      <c r="D28" s="6">
        <v>18435</v>
      </c>
      <c r="E28" s="51">
        <f ca="1">_xlfn.DAYS(NOW(),Tabella2[[#This Row],[Data Nascita]])/365.25</f>
        <v>75.121149897330596</v>
      </c>
      <c r="F28" s="7" t="s">
        <v>4252</v>
      </c>
      <c r="G28" s="7" t="s">
        <v>4253</v>
      </c>
      <c r="H28" s="7" t="s">
        <v>4201</v>
      </c>
      <c r="I28" s="7" t="s">
        <v>4142</v>
      </c>
      <c r="J28" s="7" t="s">
        <v>4254</v>
      </c>
      <c r="K28" s="7"/>
      <c r="L28" s="7"/>
      <c r="M28" s="7"/>
      <c r="N28" s="7" t="s">
        <v>8</v>
      </c>
      <c r="O28" s="17">
        <v>0</v>
      </c>
      <c r="P28" s="17">
        <v>1</v>
      </c>
      <c r="Q28" s="7" t="s">
        <v>8</v>
      </c>
      <c r="R28" s="7" t="s">
        <v>4255</v>
      </c>
      <c r="S28" s="7" t="s">
        <v>4256</v>
      </c>
      <c r="T28" s="7" t="s">
        <v>4257</v>
      </c>
      <c r="U28" s="17">
        <f>IF(ISERROR(SEARCH("null",Tabella2[[#This Row],[Patologia respiratoria nota]],1)),0,1)</f>
        <v>0</v>
      </c>
      <c r="V28" s="17">
        <f>IF(ISERROR(SEARCH("MUTA",Tabella2[[#This Row],[Patologia respiratoria nota]],1)),0,1)</f>
        <v>0</v>
      </c>
      <c r="W28" s="17">
        <f>IF(ISERROR(SEARCH("OSAS",Tabella2[[#This Row],[Patologia respiratoria nota]],1)),0,1)</f>
        <v>1</v>
      </c>
      <c r="X28" s="17">
        <f>IF(ISERROR(SEARCH("BPCO",Tabella2[[#This Row],[Patologia respiratoria nota]],1)),0,1)</f>
        <v>0</v>
      </c>
      <c r="Y28" s="17">
        <f>IF(ISERROR(SEARCH("ASMA",Tabella2[[#This Row],[Patologia respiratoria nota]],1)),0,1)</f>
        <v>0</v>
      </c>
      <c r="Z28" s="17">
        <f>IF(ISERROR(SEARCH("ASMA, OSAS",Tabella2[[#This Row],[Patologia respiratoria nota]],1)),0,1)</f>
        <v>0</v>
      </c>
      <c r="AA28" s="17">
        <f>IF(ISERROR(SEARCH("BPCO, OSAS",Tabella2[[#This Row],[Patologia respiratoria nota]],1)),0,1)</f>
        <v>0</v>
      </c>
      <c r="AB28" s="17">
        <f>IF(ISERROR(SEARCH("ASMA, BPCO, OSAS",Tabella2[[#This Row],[Patologia respiratoria nota]],1)),0,1)</f>
        <v>0</v>
      </c>
      <c r="AC28" s="15" t="s">
        <v>657</v>
      </c>
      <c r="AD28" s="19">
        <f>IF(ISERROR(SEARCH("NDD",Tabella2[[#This Row],[Tosse]],1)),0,1)</f>
        <v>0</v>
      </c>
      <c r="AE28" s="19">
        <f>IF(ISERROR(SEARCH("NEGA",Tabella2[[#This Row],[Tosse]],1)),0,1)</f>
        <v>1</v>
      </c>
      <c r="AF28" s="19">
        <f>IF(ISERROR(SEARCH("OCCASIONALMENTE",Tabella2[[#This Row],[Tosse]],1)),0,1)</f>
        <v>0</v>
      </c>
      <c r="AG28" s="19">
        <f>IF(ISERROR(SEARCH("RARAMENTE",Tabella2[[#This Row],[Tosse]],1)),0,1)</f>
        <v>0</v>
      </c>
      <c r="AH28" s="19">
        <f>IF(ISERROR(SEARCH("SI",Tabella2[[#This Row],[Tosse]],1)),0,1)</f>
        <v>0</v>
      </c>
      <c r="AI28" s="7" t="s">
        <v>657</v>
      </c>
      <c r="AJ28" s="17">
        <f>IF(ISERROR(SEARCH("SI",Tabella2[[#This Row],[Espettorazione]],1)),0,1)</f>
        <v>0</v>
      </c>
      <c r="AK28" s="17">
        <f>IF(ISERROR(SEARCH("NEGA",Tabella2[[#This Row],[Espettorazione]],1)),0,1)</f>
        <v>1</v>
      </c>
      <c r="AL28" s="17">
        <f>IF(ISERROR(SEARCH("NDD",Tabella2[[#This Row],[Espettorazione]],1)),0,1)</f>
        <v>0</v>
      </c>
      <c r="AM28" s="7" t="s">
        <v>351</v>
      </c>
      <c r="AN28" s="17">
        <v>1</v>
      </c>
      <c r="AO28" s="7" t="s">
        <v>5544</v>
      </c>
      <c r="AP28" s="17">
        <f>IF(ISERROR(SEARCH("NEGA",Tabella2[[#This Row],[Dispnea da sforzo]],1)),0,1)</f>
        <v>0</v>
      </c>
      <c r="AQ28" s="17">
        <f>IF(ISERROR(SEARCH("NEGA",Tabella2[[#This Row],[Dispnea da sforzo]],1)),1,0)</f>
        <v>1</v>
      </c>
      <c r="AR28" s="17">
        <f>IF(ISERROR(SEARCH("LIEVI",Tabella2[[#This Row],[Dispnea da sforzo]],1)),0,1)</f>
        <v>1</v>
      </c>
      <c r="AS28" s="17">
        <f>IF(ISERROR(SEARCH("MODERATI",Tabella2[[#This Row],[Dispnea da sforzo]],1)),0,1)</f>
        <v>1</v>
      </c>
      <c r="AT28" s="17">
        <f>IF(ISERROR(SEARCH("INTENSI",Tabella2[[#This Row],[Dispnea da sforzo]],1)),0,1)</f>
        <v>0</v>
      </c>
      <c r="AU28" s="7" t="s">
        <v>657</v>
      </c>
      <c r="AV28" s="17">
        <f>IF(ISERROR(SEARCH("NEGA",Tabella2[[#This Row],[Dispnea a riposo]],1)),0,1)</f>
        <v>1</v>
      </c>
      <c r="AW28" s="17">
        <f>IF(ISERROR(SEARCH("NDD",Tabella2[[#This Row],[Dispnea a riposo]],1)),0,1)</f>
        <v>0</v>
      </c>
      <c r="AX28" s="7" t="s">
        <v>1307</v>
      </c>
      <c r="AY28" s="18">
        <v>1</v>
      </c>
      <c r="AZ28" s="7" t="s">
        <v>657</v>
      </c>
      <c r="BA28" s="18">
        <v>0</v>
      </c>
      <c r="BB28" s="7" t="s">
        <v>657</v>
      </c>
      <c r="BC28" s="17">
        <v>0</v>
      </c>
      <c r="BD28" s="7" t="s">
        <v>4205</v>
      </c>
      <c r="BE28" s="17">
        <v>1</v>
      </c>
      <c r="BF28" s="7" t="s">
        <v>476</v>
      </c>
      <c r="BG28" s="17">
        <v>1</v>
      </c>
      <c r="BH28" s="7" t="s">
        <v>657</v>
      </c>
      <c r="BI28" s="17">
        <v>0</v>
      </c>
      <c r="BJ28" s="7">
        <v>15</v>
      </c>
      <c r="BK28" s="7" t="s">
        <v>4258</v>
      </c>
      <c r="BL28" s="17"/>
      <c r="BM28" s="17"/>
      <c r="BN28" s="17"/>
      <c r="BO28" s="17"/>
      <c r="BP28" s="17"/>
      <c r="BQ28" s="17"/>
      <c r="BR28" s="17"/>
      <c r="BS28" s="17"/>
      <c r="BT28" s="17"/>
      <c r="BU28" s="17"/>
      <c r="BV28" s="17"/>
      <c r="BW28" s="17"/>
      <c r="BX28" s="17"/>
      <c r="BY28" s="17"/>
      <c r="BZ28" s="17"/>
      <c r="CA28" s="17"/>
      <c r="CB28" s="17"/>
      <c r="CC28" s="17"/>
      <c r="CD28" s="17"/>
      <c r="CE28" s="17"/>
      <c r="CF28" s="17"/>
      <c r="CG28" s="7">
        <v>24</v>
      </c>
      <c r="CH28" s="7"/>
      <c r="CI28" s="7">
        <v>97</v>
      </c>
      <c r="CJ28" s="7">
        <v>55</v>
      </c>
      <c r="CK28" s="7" t="s">
        <v>4148</v>
      </c>
      <c r="CL28" s="7" t="s">
        <v>4259</v>
      </c>
      <c r="CM28" s="7" t="s">
        <v>3914</v>
      </c>
      <c r="CN28" s="17">
        <v>0</v>
      </c>
      <c r="CO28" s="17">
        <v>1</v>
      </c>
      <c r="CP28" s="17">
        <v>0</v>
      </c>
      <c r="CQ28" s="17">
        <v>0</v>
      </c>
      <c r="CR28" s="7" t="s">
        <v>3884</v>
      </c>
      <c r="CS28" s="7" t="s">
        <v>4260</v>
      </c>
      <c r="CT28" s="64">
        <v>0.75900000000000001</v>
      </c>
      <c r="CU28" s="7" t="s">
        <v>4261</v>
      </c>
      <c r="CV28" s="7"/>
      <c r="CW28" s="7"/>
      <c r="CX28" s="7" t="s">
        <v>4205</v>
      </c>
      <c r="CY28" s="17">
        <v>1</v>
      </c>
      <c r="CZ28" s="7" t="s">
        <v>4262</v>
      </c>
      <c r="DA28" s="8" t="s">
        <v>4263</v>
      </c>
    </row>
    <row r="29" spans="1:105" customFormat="1" ht="99.75">
      <c r="A29" s="35">
        <v>534</v>
      </c>
      <c r="B29" s="36">
        <v>44474</v>
      </c>
      <c r="C29" s="11" t="s">
        <v>4264</v>
      </c>
      <c r="D29" s="36">
        <v>18164</v>
      </c>
      <c r="E29" s="44">
        <f ca="1">_xlfn.DAYS(NOW(),Tabella2[[#This Row],[Data Nascita]])/365.25</f>
        <v>75.863107460643391</v>
      </c>
      <c r="F29" s="37" t="s">
        <v>4265</v>
      </c>
      <c r="G29" s="37" t="s">
        <v>4266</v>
      </c>
      <c r="H29" s="37" t="s">
        <v>4201</v>
      </c>
      <c r="I29" s="37" t="s">
        <v>4142</v>
      </c>
      <c r="J29" s="37" t="s">
        <v>4202</v>
      </c>
      <c r="K29" s="37"/>
      <c r="L29" s="37"/>
      <c r="M29" s="37"/>
      <c r="N29" s="37" t="s">
        <v>8</v>
      </c>
      <c r="O29" s="47">
        <v>0</v>
      </c>
      <c r="P29" s="47">
        <v>1</v>
      </c>
      <c r="Q29" s="37" t="s">
        <v>8</v>
      </c>
      <c r="R29" s="37" t="s">
        <v>4267</v>
      </c>
      <c r="S29" s="37" t="s">
        <v>4268</v>
      </c>
      <c r="T29" s="37" t="s">
        <v>439</v>
      </c>
      <c r="U29" s="46">
        <f>IF(ISERROR(SEARCH("null",Tabella2[[#This Row],[Patologia respiratoria nota]],1)),0,1)</f>
        <v>0</v>
      </c>
      <c r="V29" s="47">
        <f>IF(ISERROR(SEARCH("MUTA",Tabella2[[#This Row],[Patologia respiratoria nota]],1)),0,1)</f>
        <v>0</v>
      </c>
      <c r="W29" s="46">
        <f>IF(ISERROR(SEARCH("OSAS",Tabella2[[#This Row],[Patologia respiratoria nota]],1)),0,1)</f>
        <v>1</v>
      </c>
      <c r="X29" s="47">
        <f>IF(ISERROR(SEARCH("BPCO",Tabella2[[#This Row],[Patologia respiratoria nota]],1)),0,1)</f>
        <v>0</v>
      </c>
      <c r="Y29" s="47">
        <f>IF(ISERROR(SEARCH("ASMA",Tabella2[[#This Row],[Patologia respiratoria nota]],1)),0,1)</f>
        <v>0</v>
      </c>
      <c r="Z29" s="47">
        <f>IF(ISERROR(SEARCH("ASMA, OSAS",Tabella2[[#This Row],[Patologia respiratoria nota]],1)),0,1)</f>
        <v>0</v>
      </c>
      <c r="AA29" s="47">
        <f>IF(ISERROR(SEARCH("BPCO, OSAS",Tabella2[[#This Row],[Patologia respiratoria nota]],1)),0,1)</f>
        <v>0</v>
      </c>
      <c r="AB29" s="47">
        <f>IF(ISERROR(SEARCH("ASMA, BPCO, OSAS",Tabella2[[#This Row],[Patologia respiratoria nota]],1)),0,1)</f>
        <v>0</v>
      </c>
      <c r="AC29" s="37" t="s">
        <v>5471</v>
      </c>
      <c r="AD29" s="46">
        <f>IF(ISERROR(SEARCH("NDD",Tabella2[[#This Row],[Tosse]],1)),0,1)</f>
        <v>0</v>
      </c>
      <c r="AE29" s="46">
        <f>IF(ISERROR(SEARCH("NEGA",Tabella2[[#This Row],[Tosse]],1)),0,1)</f>
        <v>0</v>
      </c>
      <c r="AF29" s="46">
        <f>IF(ISERROR(SEARCH("OCCASIONALMENTE",Tabella2[[#This Row],[Tosse]],1)),0,1)</f>
        <v>0</v>
      </c>
      <c r="AG29" s="46">
        <f>IF(ISERROR(SEARCH("RARAMENTE",Tabella2[[#This Row],[Tosse]],1)),0,1)</f>
        <v>1</v>
      </c>
      <c r="AH29" s="17">
        <v>1</v>
      </c>
      <c r="AI29" s="37" t="s">
        <v>657</v>
      </c>
      <c r="AJ29" s="46">
        <f>IF(ISERROR(SEARCH("SI",Tabella2[[#This Row],[Espettorazione]],1)),0,1)</f>
        <v>0</v>
      </c>
      <c r="AK29" s="46">
        <f>IF(ISERROR(SEARCH("NEGA",Tabella2[[#This Row],[Espettorazione]],1)),0,1)</f>
        <v>1</v>
      </c>
      <c r="AL29" s="46">
        <f>IF(ISERROR(SEARCH("NDD",Tabella2[[#This Row],[Espettorazione]],1)),0,1)</f>
        <v>0</v>
      </c>
      <c r="AM29" s="37" t="s">
        <v>657</v>
      </c>
      <c r="AN29" s="47">
        <v>0</v>
      </c>
      <c r="AO29" s="37" t="s">
        <v>5545</v>
      </c>
      <c r="AP29" s="47">
        <f>IF(ISERROR(SEARCH("NEGA",Tabella2[[#This Row],[Dispnea da sforzo]],1)),0,1)</f>
        <v>0</v>
      </c>
      <c r="AQ29" s="47">
        <f>IF(ISERROR(SEARCH("NEGA",Tabella2[[#This Row],[Dispnea da sforzo]],1)),1,0)</f>
        <v>1</v>
      </c>
      <c r="AR29" s="47">
        <f>IF(ISERROR(SEARCH("LIEVI",Tabella2[[#This Row],[Dispnea da sforzo]],1)),0,1)</f>
        <v>1</v>
      </c>
      <c r="AS29" s="47">
        <f>IF(ISERROR(SEARCH("MODERATI",Tabella2[[#This Row],[Dispnea da sforzo]],1)),0,1)</f>
        <v>1</v>
      </c>
      <c r="AT29" s="47">
        <f>IF(ISERROR(SEARCH("INTENSI",Tabella2[[#This Row],[Dispnea da sforzo]],1)),0,1)</f>
        <v>0</v>
      </c>
      <c r="AU29" s="37" t="s">
        <v>657</v>
      </c>
      <c r="AV29" s="46">
        <f>IF(ISERROR(SEARCH("NEGA",Tabella2[[#This Row],[Dispnea a riposo]],1)),0,1)</f>
        <v>1</v>
      </c>
      <c r="AW29" s="46">
        <f>IF(ISERROR(SEARCH("NDD",Tabella2[[#This Row],[Dispnea a riposo]],1)),0,1)</f>
        <v>0</v>
      </c>
      <c r="AX29" s="37" t="s">
        <v>4269</v>
      </c>
      <c r="AY29" s="46">
        <v>1</v>
      </c>
      <c r="AZ29" s="37" t="s">
        <v>488</v>
      </c>
      <c r="BA29" s="17">
        <v>1</v>
      </c>
      <c r="BB29" s="7" t="s">
        <v>657</v>
      </c>
      <c r="BC29" s="17">
        <v>0</v>
      </c>
      <c r="BD29" s="37" t="s">
        <v>4270</v>
      </c>
      <c r="BE29" s="17">
        <v>1</v>
      </c>
      <c r="BF29" s="37" t="s">
        <v>47</v>
      </c>
      <c r="BG29" s="17">
        <v>1</v>
      </c>
      <c r="BH29" s="37" t="s">
        <v>657</v>
      </c>
      <c r="BI29" s="17">
        <v>0</v>
      </c>
      <c r="BJ29" s="37">
        <v>17</v>
      </c>
      <c r="BK29" s="37" t="s">
        <v>4271</v>
      </c>
      <c r="BL29" s="46"/>
      <c r="BM29" s="46">
        <v>1</v>
      </c>
      <c r="BN29" s="46">
        <v>1</v>
      </c>
      <c r="BO29" s="46"/>
      <c r="BP29" s="46"/>
      <c r="BQ29" s="46"/>
      <c r="BR29" s="46"/>
      <c r="BS29" s="46"/>
      <c r="BT29" s="46"/>
      <c r="BU29" s="46"/>
      <c r="BV29" s="46"/>
      <c r="BW29" s="46"/>
      <c r="BX29" s="46"/>
      <c r="BY29" s="46"/>
      <c r="BZ29" s="46"/>
      <c r="CA29" s="46"/>
      <c r="CB29" s="46"/>
      <c r="CC29" s="46"/>
      <c r="CD29" s="46"/>
      <c r="CE29" s="46"/>
      <c r="CF29" s="46"/>
      <c r="CG29" s="37">
        <v>31</v>
      </c>
      <c r="CH29" s="37"/>
      <c r="CI29" s="37">
        <v>96</v>
      </c>
      <c r="CJ29" s="37">
        <v>63</v>
      </c>
      <c r="CK29" s="37" t="s">
        <v>4272</v>
      </c>
      <c r="CL29" s="37" t="s">
        <v>467</v>
      </c>
      <c r="CM29" s="37" t="s">
        <v>4273</v>
      </c>
      <c r="CN29" s="17">
        <v>0</v>
      </c>
      <c r="CO29" s="17">
        <v>0</v>
      </c>
      <c r="CP29" s="17">
        <v>0</v>
      </c>
      <c r="CQ29" s="17">
        <v>1</v>
      </c>
      <c r="CR29" s="37" t="s">
        <v>3884</v>
      </c>
      <c r="CS29" s="37" t="s">
        <v>184</v>
      </c>
      <c r="CT29" s="63"/>
      <c r="CU29" s="37" t="s">
        <v>4274</v>
      </c>
      <c r="CV29" s="37"/>
      <c r="CW29" s="37"/>
      <c r="CX29" s="37" t="s">
        <v>4205</v>
      </c>
      <c r="CY29" s="17">
        <v>1</v>
      </c>
      <c r="CZ29" s="37" t="s">
        <v>4275</v>
      </c>
      <c r="DA29" s="38" t="s">
        <v>4276</v>
      </c>
    </row>
    <row r="30" spans="1:105" customFormat="1" ht="85.5">
      <c r="A30" s="31">
        <v>540</v>
      </c>
      <c r="B30" s="32">
        <v>44476</v>
      </c>
      <c r="C30" s="7" t="s">
        <v>4277</v>
      </c>
      <c r="D30" s="32">
        <v>19610</v>
      </c>
      <c r="E30" s="43">
        <f ca="1">_xlfn.DAYS(NOW(),Tabella2[[#This Row],[Data Nascita]])/365.25</f>
        <v>71.904175222450377</v>
      </c>
      <c r="F30" s="33" t="s">
        <v>4278</v>
      </c>
      <c r="G30" s="33" t="s">
        <v>4279</v>
      </c>
      <c r="H30" s="33" t="s">
        <v>4280</v>
      </c>
      <c r="I30" s="33" t="s">
        <v>4142</v>
      </c>
      <c r="J30" s="33" t="s">
        <v>4281</v>
      </c>
      <c r="K30" s="33"/>
      <c r="L30" s="33"/>
      <c r="M30" s="33"/>
      <c r="N30" s="33" t="s">
        <v>8</v>
      </c>
      <c r="O30" s="47">
        <v>0</v>
      </c>
      <c r="P30" s="47">
        <v>1</v>
      </c>
      <c r="Q30" s="33" t="s">
        <v>7</v>
      </c>
      <c r="R30" s="33" t="s">
        <v>8</v>
      </c>
      <c r="S30" s="33" t="s">
        <v>4282</v>
      </c>
      <c r="T30" s="33" t="s">
        <v>439</v>
      </c>
      <c r="U30" s="47">
        <f>IF(ISERROR(SEARCH("null",Tabella2[[#This Row],[Patologia respiratoria nota]],1)),0,1)</f>
        <v>0</v>
      </c>
      <c r="V30" s="47">
        <f>IF(ISERROR(SEARCH("MUTA",Tabella2[[#This Row],[Patologia respiratoria nota]],1)),0,1)</f>
        <v>0</v>
      </c>
      <c r="W30" s="47">
        <f>IF(ISERROR(SEARCH("OSAS",Tabella2[[#This Row],[Patologia respiratoria nota]],1)),0,1)</f>
        <v>1</v>
      </c>
      <c r="X30" s="47">
        <f>IF(ISERROR(SEARCH("BPCO",Tabella2[[#This Row],[Patologia respiratoria nota]],1)),0,1)</f>
        <v>0</v>
      </c>
      <c r="Y30" s="47">
        <f>IF(ISERROR(SEARCH("ASMA",Tabella2[[#This Row],[Patologia respiratoria nota]],1)),0,1)</f>
        <v>0</v>
      </c>
      <c r="Z30" s="47">
        <f>IF(ISERROR(SEARCH("ASMA, OSAS",Tabella2[[#This Row],[Patologia respiratoria nota]],1)),0,1)</f>
        <v>0</v>
      </c>
      <c r="AA30" s="47">
        <f>IF(ISERROR(SEARCH("BPCO, OSAS",Tabella2[[#This Row],[Patologia respiratoria nota]],1)),0,1)</f>
        <v>0</v>
      </c>
      <c r="AB30" s="47">
        <f>IF(ISERROR(SEARCH("ASMA, BPCO, OSAS",Tabella2[[#This Row],[Patologia respiratoria nota]],1)),0,1)</f>
        <v>0</v>
      </c>
      <c r="AC30" s="33" t="s">
        <v>5472</v>
      </c>
      <c r="AD30" s="47">
        <f>IF(ISERROR(SEARCH("NDD",Tabella2[[#This Row],[Tosse]],1)),0,1)</f>
        <v>0</v>
      </c>
      <c r="AE30" s="47">
        <f>IF(ISERROR(SEARCH("NEGA",Tabella2[[#This Row],[Tosse]],1)),0,1)</f>
        <v>0</v>
      </c>
      <c r="AF30" s="47">
        <f>IF(ISERROR(SEARCH("OCCASIONALMENTE",Tabella2[[#This Row],[Tosse]],1)),0,1)</f>
        <v>0</v>
      </c>
      <c r="AG30" s="47">
        <f>IF(ISERROR(SEARCH("RARAMENTE",Tabella2[[#This Row],[Tosse]],1)),0,1)</f>
        <v>1</v>
      </c>
      <c r="AH30" s="17">
        <v>1</v>
      </c>
      <c r="AI30" s="33" t="s">
        <v>5486</v>
      </c>
      <c r="AJ30" s="47">
        <f>IF(ISERROR(SEARCH("SI",Tabella2[[#This Row],[Espettorazione]],1)),0,1)</f>
        <v>1</v>
      </c>
      <c r="AK30" s="17">
        <v>0</v>
      </c>
      <c r="AL30" s="47">
        <f>IF(ISERROR(SEARCH("NDD",Tabella2[[#This Row],[Espettorazione]],1)),0,1)</f>
        <v>0</v>
      </c>
      <c r="AM30" s="33" t="s">
        <v>657</v>
      </c>
      <c r="AN30" s="47">
        <v>0</v>
      </c>
      <c r="AO30" s="33" t="s">
        <v>5546</v>
      </c>
      <c r="AP30" s="47">
        <f>IF(ISERROR(SEARCH("NEGA",Tabella2[[#This Row],[Dispnea da sforzo]],1)),0,1)</f>
        <v>0</v>
      </c>
      <c r="AQ30" s="47">
        <f>IF(ISERROR(SEARCH("NEGA",Tabella2[[#This Row],[Dispnea da sforzo]],1)),1,0)</f>
        <v>1</v>
      </c>
      <c r="AR30" s="47">
        <f>IF(ISERROR(SEARCH("LIEVI",Tabella2[[#This Row],[Dispnea da sforzo]],1)),0,1)</f>
        <v>0</v>
      </c>
      <c r="AS30" s="47">
        <f>IF(ISERROR(SEARCH("MODERATI",Tabella2[[#This Row],[Dispnea da sforzo]],1)),0,1)</f>
        <v>1</v>
      </c>
      <c r="AT30" s="47">
        <f>IF(ISERROR(SEARCH("INTENSI",Tabella2[[#This Row],[Dispnea da sforzo]],1)),0,1)</f>
        <v>0</v>
      </c>
      <c r="AU30" s="33" t="s">
        <v>657</v>
      </c>
      <c r="AV30" s="47">
        <f>IF(ISERROR(SEARCH("NEGA",Tabella2[[#This Row],[Dispnea a riposo]],1)),0,1)</f>
        <v>1</v>
      </c>
      <c r="AW30" s="47">
        <f>IF(ISERROR(SEARCH("NDD",Tabella2[[#This Row],[Dispnea a riposo]],1)),0,1)</f>
        <v>0</v>
      </c>
      <c r="AX30" s="33" t="s">
        <v>4283</v>
      </c>
      <c r="AY30" s="46">
        <v>1</v>
      </c>
      <c r="AZ30" s="33" t="s">
        <v>488</v>
      </c>
      <c r="BA30" s="17">
        <v>1</v>
      </c>
      <c r="BB30" s="7" t="s">
        <v>657</v>
      </c>
      <c r="BC30" s="17">
        <v>0</v>
      </c>
      <c r="BD30" s="33" t="s">
        <v>47</v>
      </c>
      <c r="BE30" s="17">
        <v>1</v>
      </c>
      <c r="BF30" s="33" t="s">
        <v>476</v>
      </c>
      <c r="BG30" s="17">
        <v>1</v>
      </c>
      <c r="BH30" s="33" t="s">
        <v>657</v>
      </c>
      <c r="BI30" s="17">
        <v>0</v>
      </c>
      <c r="BJ30" s="33">
        <v>14</v>
      </c>
      <c r="BK30" s="33" t="s">
        <v>4284</v>
      </c>
      <c r="BL30" s="47"/>
      <c r="BM30" s="47"/>
      <c r="BN30" s="47"/>
      <c r="BO30" s="47"/>
      <c r="BP30" s="47">
        <v>1</v>
      </c>
      <c r="BQ30" s="47"/>
      <c r="BR30" s="47"/>
      <c r="BS30" s="47"/>
      <c r="BT30" s="47"/>
      <c r="BU30" s="47"/>
      <c r="BV30" s="47"/>
      <c r="BW30" s="47"/>
      <c r="BX30" s="47"/>
      <c r="BY30" s="47"/>
      <c r="BZ30" s="47">
        <v>1</v>
      </c>
      <c r="CA30" s="47"/>
      <c r="CB30" s="47"/>
      <c r="CC30" s="47"/>
      <c r="CD30" s="47"/>
      <c r="CE30" s="47"/>
      <c r="CF30" s="47"/>
      <c r="CG30" s="33">
        <v>30</v>
      </c>
      <c r="CH30" s="33"/>
      <c r="CI30" s="33">
        <v>97</v>
      </c>
      <c r="CJ30" s="33">
        <v>60</v>
      </c>
      <c r="CK30" s="33" t="s">
        <v>4285</v>
      </c>
      <c r="CL30" s="33" t="s">
        <v>4286</v>
      </c>
      <c r="CM30" s="33" t="s">
        <v>4273</v>
      </c>
      <c r="CN30" s="17">
        <v>0</v>
      </c>
      <c r="CO30" s="17">
        <v>0</v>
      </c>
      <c r="CP30" s="17">
        <v>0</v>
      </c>
      <c r="CQ30" s="17">
        <v>1</v>
      </c>
      <c r="CR30" s="33" t="s">
        <v>3884</v>
      </c>
      <c r="CS30" s="33" t="s">
        <v>4287</v>
      </c>
      <c r="CT30" s="66">
        <v>0.94599999999999995</v>
      </c>
      <c r="CU30" s="33" t="s">
        <v>4288</v>
      </c>
      <c r="CV30" s="33"/>
      <c r="CW30" s="33"/>
      <c r="CX30" s="33" t="s">
        <v>25</v>
      </c>
      <c r="CY30" s="17">
        <v>0</v>
      </c>
      <c r="CZ30" s="33" t="s">
        <v>4289</v>
      </c>
      <c r="DA30" s="34" t="s">
        <v>4290</v>
      </c>
    </row>
    <row r="31" spans="1:105" ht="85.5">
      <c r="A31" s="9">
        <v>585</v>
      </c>
      <c r="B31" s="10">
        <v>44494</v>
      </c>
      <c r="C31" s="11" t="s">
        <v>4291</v>
      </c>
      <c r="D31" s="10">
        <v>25635</v>
      </c>
      <c r="E31" s="52">
        <f ca="1">_xlfn.DAYS(NOW(),Tabella2[[#This Row],[Data Nascita]])/365.25</f>
        <v>55.408624229979466</v>
      </c>
      <c r="F31" s="11" t="s">
        <v>42</v>
      </c>
      <c r="G31" s="11" t="s">
        <v>43</v>
      </c>
      <c r="H31" s="11" t="s">
        <v>4292</v>
      </c>
      <c r="I31" s="11" t="s">
        <v>4293</v>
      </c>
      <c r="J31" s="11" t="s">
        <v>4040</v>
      </c>
      <c r="K31" s="11"/>
      <c r="L31" s="11"/>
      <c r="M31" s="11"/>
      <c r="N31" s="11"/>
      <c r="O31" s="17" t="s">
        <v>5412</v>
      </c>
      <c r="P31" s="17">
        <v>0</v>
      </c>
      <c r="Q31" s="11" t="s">
        <v>195</v>
      </c>
      <c r="R31" s="11" t="s">
        <v>195</v>
      </c>
      <c r="S31" s="11" t="s">
        <v>4294</v>
      </c>
      <c r="T31" s="11" t="s">
        <v>439</v>
      </c>
      <c r="U31" s="18">
        <f>IF(ISERROR(SEARCH("null",Tabella2[[#This Row],[Patologia respiratoria nota]],1)),0,1)</f>
        <v>0</v>
      </c>
      <c r="V31" s="17">
        <f>IF(ISERROR(SEARCH("MUTA",Tabella2[[#This Row],[Patologia respiratoria nota]],1)),0,1)</f>
        <v>0</v>
      </c>
      <c r="W31" s="18">
        <f>IF(ISERROR(SEARCH("OSAS",Tabella2[[#This Row],[Patologia respiratoria nota]],1)),0,1)</f>
        <v>1</v>
      </c>
      <c r="X31" s="17">
        <f>IF(ISERROR(SEARCH("BPCO",Tabella2[[#This Row],[Patologia respiratoria nota]],1)),0,1)</f>
        <v>0</v>
      </c>
      <c r="Y31" s="17">
        <f>IF(ISERROR(SEARCH("ASMA",Tabella2[[#This Row],[Patologia respiratoria nota]],1)),0,1)</f>
        <v>0</v>
      </c>
      <c r="Z31" s="17">
        <f>IF(ISERROR(SEARCH("ASMA, OSAS",Tabella2[[#This Row],[Patologia respiratoria nota]],1)),0,1)</f>
        <v>0</v>
      </c>
      <c r="AA31" s="17">
        <f>IF(ISERROR(SEARCH("BPCO, OSAS",Tabella2[[#This Row],[Patologia respiratoria nota]],1)),0,1)</f>
        <v>0</v>
      </c>
      <c r="AB31" s="17">
        <f>IF(ISERROR(SEARCH("ASMA, BPCO, OSAS",Tabella2[[#This Row],[Patologia respiratoria nota]],1)),0,1)</f>
        <v>0</v>
      </c>
      <c r="AC31" s="15" t="s">
        <v>657</v>
      </c>
      <c r="AD31" s="19">
        <f>IF(ISERROR(SEARCH("NDD",Tabella2[[#This Row],[Tosse]],1)),0,1)</f>
        <v>0</v>
      </c>
      <c r="AE31" s="19">
        <f>IF(ISERROR(SEARCH("NEGA",Tabella2[[#This Row],[Tosse]],1)),0,1)</f>
        <v>1</v>
      </c>
      <c r="AF31" s="19">
        <f>IF(ISERROR(SEARCH("OCCASIONALMENTE",Tabella2[[#This Row],[Tosse]],1)),0,1)</f>
        <v>0</v>
      </c>
      <c r="AG31" s="19">
        <f>IF(ISERROR(SEARCH("RARAMENTE",Tabella2[[#This Row],[Tosse]],1)),0,1)</f>
        <v>0</v>
      </c>
      <c r="AH31" s="19">
        <f>IF(ISERROR(SEARCH("SI",Tabella2[[#This Row],[Tosse]],1)),0,1)</f>
        <v>0</v>
      </c>
      <c r="AI31" s="11" t="s">
        <v>657</v>
      </c>
      <c r="AJ31" s="18">
        <f>IF(ISERROR(SEARCH("SI",Tabella2[[#This Row],[Espettorazione]],1)),0,1)</f>
        <v>0</v>
      </c>
      <c r="AK31" s="18">
        <f>IF(ISERROR(SEARCH("NEGA",Tabella2[[#This Row],[Espettorazione]],1)),0,1)</f>
        <v>1</v>
      </c>
      <c r="AL31" s="18">
        <f>IF(ISERROR(SEARCH("NDD",Tabella2[[#This Row],[Espettorazione]],1)),0,1)</f>
        <v>0</v>
      </c>
      <c r="AM31" s="11" t="s">
        <v>657</v>
      </c>
      <c r="AN31" s="17">
        <v>0</v>
      </c>
      <c r="AO31" s="11" t="s">
        <v>5547</v>
      </c>
      <c r="AP31" s="17">
        <f>IF(ISERROR(SEARCH("NEGA",Tabella2[[#This Row],[Dispnea da sforzo]],1)),0,1)</f>
        <v>0</v>
      </c>
      <c r="AQ31" s="17">
        <f>IF(ISERROR(SEARCH("NEGA",Tabella2[[#This Row],[Dispnea da sforzo]],1)),1,0)</f>
        <v>1</v>
      </c>
      <c r="AR31" s="17">
        <f>IF(ISERROR(SEARCH("LIEVI",Tabella2[[#This Row],[Dispnea da sforzo]],1)),0,1)</f>
        <v>0</v>
      </c>
      <c r="AS31" s="17">
        <f>IF(ISERROR(SEARCH("MODERATI",Tabella2[[#This Row],[Dispnea da sforzo]],1)),0,1)</f>
        <v>1</v>
      </c>
      <c r="AT31" s="17">
        <f>IF(ISERROR(SEARCH("INTENSI",Tabella2[[#This Row],[Dispnea da sforzo]],1)),0,1)</f>
        <v>0</v>
      </c>
      <c r="AU31" s="11" t="s">
        <v>657</v>
      </c>
      <c r="AV31" s="18">
        <f>IF(ISERROR(SEARCH("NEGA",Tabella2[[#This Row],[Dispnea a riposo]],1)),0,1)</f>
        <v>1</v>
      </c>
      <c r="AW31" s="18">
        <f>IF(ISERROR(SEARCH("NDD",Tabella2[[#This Row],[Dispnea a riposo]],1)),0,1)</f>
        <v>0</v>
      </c>
      <c r="AX31" s="11" t="s">
        <v>657</v>
      </c>
      <c r="AY31" s="17">
        <v>0</v>
      </c>
      <c r="AZ31" s="11" t="s">
        <v>387</v>
      </c>
      <c r="BA31" s="17">
        <v>1</v>
      </c>
      <c r="BB31" s="11" t="s">
        <v>4295</v>
      </c>
      <c r="BC31" s="17">
        <v>1</v>
      </c>
      <c r="BD31" s="37" t="s">
        <v>657</v>
      </c>
      <c r="BE31" s="18">
        <v>0</v>
      </c>
      <c r="BF31" s="11" t="s">
        <v>194</v>
      </c>
      <c r="BG31" s="17">
        <v>1</v>
      </c>
      <c r="BH31" s="11" t="s">
        <v>443</v>
      </c>
      <c r="BI31" s="18">
        <v>1</v>
      </c>
      <c r="BJ31" s="11">
        <v>12</v>
      </c>
      <c r="BK31" s="11" t="s">
        <v>4296</v>
      </c>
      <c r="BL31" s="18"/>
      <c r="BM31" s="18"/>
      <c r="BN31" s="18"/>
      <c r="BO31" s="18"/>
      <c r="BP31" s="18">
        <v>1</v>
      </c>
      <c r="BQ31" s="18"/>
      <c r="BR31" s="18"/>
      <c r="BS31" s="18"/>
      <c r="BT31" s="18"/>
      <c r="BU31" s="18"/>
      <c r="BV31" s="18"/>
      <c r="BW31" s="18"/>
      <c r="BX31" s="18"/>
      <c r="BY31" s="18"/>
      <c r="BZ31" s="18"/>
      <c r="CA31" s="18"/>
      <c r="CB31" s="18"/>
      <c r="CC31" s="18"/>
      <c r="CD31" s="18"/>
      <c r="CE31" s="18"/>
      <c r="CF31" s="18"/>
      <c r="CG31" s="11">
        <v>28</v>
      </c>
      <c r="CH31" s="11"/>
      <c r="CI31" s="11">
        <v>98</v>
      </c>
      <c r="CJ31" s="11">
        <v>68</v>
      </c>
      <c r="CK31" s="11" t="s">
        <v>4297</v>
      </c>
      <c r="CL31" s="11"/>
      <c r="CM31" s="11" t="s">
        <v>4164</v>
      </c>
      <c r="CN31" s="17">
        <v>0</v>
      </c>
      <c r="CO31" s="17">
        <v>0</v>
      </c>
      <c r="CP31" s="17">
        <v>0</v>
      </c>
      <c r="CQ31" s="17">
        <v>1</v>
      </c>
      <c r="CR31" s="11" t="s">
        <v>4180</v>
      </c>
      <c r="CS31" s="11" t="s">
        <v>4298</v>
      </c>
      <c r="CT31" s="65">
        <v>1</v>
      </c>
      <c r="CU31" s="11" t="s">
        <v>4299</v>
      </c>
      <c r="CV31" s="11"/>
      <c r="CW31" s="11"/>
      <c r="CX31" s="11" t="s">
        <v>194</v>
      </c>
      <c r="CY31" s="17">
        <v>1</v>
      </c>
      <c r="CZ31" s="11" t="s">
        <v>4300</v>
      </c>
      <c r="DA31" s="12" t="s">
        <v>4301</v>
      </c>
    </row>
    <row r="32" spans="1:105" s="54" customFormat="1" ht="57">
      <c r="A32" s="5">
        <v>587</v>
      </c>
      <c r="B32" s="6">
        <v>44495</v>
      </c>
      <c r="C32" s="7" t="s">
        <v>4302</v>
      </c>
      <c r="D32" s="6">
        <v>19625</v>
      </c>
      <c r="E32" s="51">
        <f ca="1">_xlfn.DAYS(NOW(),Tabella2[[#This Row],[Data Nascita]])/365.25</f>
        <v>71.863107460643391</v>
      </c>
      <c r="F32" s="7" t="s">
        <v>4303</v>
      </c>
      <c r="G32" s="7" t="s">
        <v>4304</v>
      </c>
      <c r="H32" s="7" t="s">
        <v>4201</v>
      </c>
      <c r="I32" s="7" t="s">
        <v>4142</v>
      </c>
      <c r="J32" s="7" t="s">
        <v>4305</v>
      </c>
      <c r="K32" s="7"/>
      <c r="L32" s="7"/>
      <c r="M32" s="7"/>
      <c r="N32" s="7" t="s">
        <v>8</v>
      </c>
      <c r="O32" s="17">
        <v>0</v>
      </c>
      <c r="P32" s="17">
        <v>1</v>
      </c>
      <c r="Q32" s="7" t="s">
        <v>8</v>
      </c>
      <c r="R32" s="7" t="s">
        <v>25</v>
      </c>
      <c r="S32" s="7" t="s">
        <v>4306</v>
      </c>
      <c r="T32" s="7" t="s">
        <v>4307</v>
      </c>
      <c r="U32" s="17">
        <f>IF(ISERROR(SEARCH("null",Tabella2[[#This Row],[Patologia respiratoria nota]],1)),0,1)</f>
        <v>0</v>
      </c>
      <c r="V32" s="17">
        <f>IF(ISERROR(SEARCH("MUTA",Tabella2[[#This Row],[Patologia respiratoria nota]],1)),0,1)</f>
        <v>0</v>
      </c>
      <c r="W32" s="17">
        <f>IF(ISERROR(SEARCH("OSAS",Tabella2[[#This Row],[Patologia respiratoria nota]],1)),0,1)</f>
        <v>1</v>
      </c>
      <c r="X32" s="17">
        <f>IF(ISERROR(SEARCH("BPCO",Tabella2[[#This Row],[Patologia respiratoria nota]],1)),0,1)</f>
        <v>0</v>
      </c>
      <c r="Y32" s="17">
        <f>IF(ISERROR(SEARCH("ASMA",Tabella2[[#This Row],[Patologia respiratoria nota]],1)),0,1)</f>
        <v>0</v>
      </c>
      <c r="Z32" s="17">
        <f>IF(ISERROR(SEARCH("ASMA, OSAS",Tabella2[[#This Row],[Patologia respiratoria nota]],1)),0,1)</f>
        <v>0</v>
      </c>
      <c r="AA32" s="17">
        <f>IF(ISERROR(SEARCH("BPCO, OSAS",Tabella2[[#This Row],[Patologia respiratoria nota]],1)),0,1)</f>
        <v>0</v>
      </c>
      <c r="AB32" s="17">
        <f>IF(ISERROR(SEARCH("ASMA, BPCO, OSAS",Tabella2[[#This Row],[Patologia respiratoria nota]],1)),0,1)</f>
        <v>0</v>
      </c>
      <c r="AC32" s="15" t="s">
        <v>657</v>
      </c>
      <c r="AD32" s="19">
        <f>IF(ISERROR(SEARCH("NDD",Tabella2[[#This Row],[Tosse]],1)),0,1)</f>
        <v>0</v>
      </c>
      <c r="AE32" s="19">
        <f>IF(ISERROR(SEARCH("NEGA",Tabella2[[#This Row],[Tosse]],1)),0,1)</f>
        <v>1</v>
      </c>
      <c r="AF32" s="19">
        <f>IF(ISERROR(SEARCH("OCCASIONALMENTE",Tabella2[[#This Row],[Tosse]],1)),0,1)</f>
        <v>0</v>
      </c>
      <c r="AG32" s="19">
        <f>IF(ISERROR(SEARCH("RARAMENTE",Tabella2[[#This Row],[Tosse]],1)),0,1)</f>
        <v>0</v>
      </c>
      <c r="AH32" s="19">
        <f>IF(ISERROR(SEARCH("SI",Tabella2[[#This Row],[Tosse]],1)),0,1)</f>
        <v>0</v>
      </c>
      <c r="AI32" s="7" t="s">
        <v>657</v>
      </c>
      <c r="AJ32" s="17">
        <f>IF(ISERROR(SEARCH("SI",Tabella2[[#This Row],[Espettorazione]],1)),0,1)</f>
        <v>0</v>
      </c>
      <c r="AK32" s="17">
        <f>IF(ISERROR(SEARCH("NEGA",Tabella2[[#This Row],[Espettorazione]],1)),0,1)</f>
        <v>1</v>
      </c>
      <c r="AL32" s="17">
        <f>IF(ISERROR(SEARCH("NDD",Tabella2[[#This Row],[Espettorazione]],1)),0,1)</f>
        <v>0</v>
      </c>
      <c r="AM32" s="7" t="s">
        <v>657</v>
      </c>
      <c r="AN32" s="17">
        <v>0</v>
      </c>
      <c r="AO32" s="7" t="s">
        <v>5548</v>
      </c>
      <c r="AP32" s="17">
        <f>IF(ISERROR(SEARCH("NEGA",Tabella2[[#This Row],[Dispnea da sforzo]],1)),0,1)</f>
        <v>0</v>
      </c>
      <c r="AQ32" s="17">
        <f>IF(ISERROR(SEARCH("NEGA",Tabella2[[#This Row],[Dispnea da sforzo]],1)),1,0)</f>
        <v>1</v>
      </c>
      <c r="AR32" s="17">
        <f>IF(ISERROR(SEARCH("LIEVI",Tabella2[[#This Row],[Dispnea da sforzo]],1)),0,1)</f>
        <v>1</v>
      </c>
      <c r="AS32" s="17">
        <f>IF(ISERROR(SEARCH("MODERATI",Tabella2[[#This Row],[Dispnea da sforzo]],1)),0,1)</f>
        <v>1</v>
      </c>
      <c r="AT32" s="17">
        <f>IF(ISERROR(SEARCH("INTENSI",Tabella2[[#This Row],[Dispnea da sforzo]],1)),0,1)</f>
        <v>0</v>
      </c>
      <c r="AU32" s="7" t="s">
        <v>657</v>
      </c>
      <c r="AV32" s="17">
        <f>IF(ISERROR(SEARCH("NEGA",Tabella2[[#This Row],[Dispnea a riposo]],1)),0,1)</f>
        <v>1</v>
      </c>
      <c r="AW32" s="17">
        <f>IF(ISERROR(SEARCH("NDD",Tabella2[[#This Row],[Dispnea a riposo]],1)),0,1)</f>
        <v>0</v>
      </c>
      <c r="AX32" s="7" t="s">
        <v>4308</v>
      </c>
      <c r="AY32" s="18">
        <v>1</v>
      </c>
      <c r="AZ32" s="7" t="s">
        <v>657</v>
      </c>
      <c r="BA32" s="18">
        <v>0</v>
      </c>
      <c r="BB32" s="7" t="s">
        <v>367</v>
      </c>
      <c r="BC32" s="17">
        <v>1</v>
      </c>
      <c r="BD32" s="7" t="s">
        <v>47</v>
      </c>
      <c r="BE32" s="17">
        <v>1</v>
      </c>
      <c r="BF32" s="7" t="s">
        <v>47</v>
      </c>
      <c r="BG32" s="17">
        <v>1</v>
      </c>
      <c r="BH32" s="7" t="s">
        <v>657</v>
      </c>
      <c r="BI32" s="17">
        <v>0</v>
      </c>
      <c r="BJ32" s="7">
        <v>12</v>
      </c>
      <c r="BK32" s="7" t="s">
        <v>4309</v>
      </c>
      <c r="BL32" s="17"/>
      <c r="BM32" s="17"/>
      <c r="BN32" s="17">
        <v>1</v>
      </c>
      <c r="BO32" s="17"/>
      <c r="BP32" s="17">
        <v>1</v>
      </c>
      <c r="BQ32" s="17"/>
      <c r="BR32" s="17">
        <v>1</v>
      </c>
      <c r="BS32" s="17"/>
      <c r="BT32" s="17"/>
      <c r="BU32" s="17"/>
      <c r="BV32" s="17"/>
      <c r="BW32" s="17"/>
      <c r="BX32" s="17"/>
      <c r="BY32" s="17"/>
      <c r="BZ32" s="17"/>
      <c r="CA32" s="17"/>
      <c r="CB32" s="17"/>
      <c r="CC32" s="17"/>
      <c r="CD32" s="17"/>
      <c r="CE32" s="17"/>
      <c r="CF32" s="17"/>
      <c r="CG32" s="7">
        <v>25</v>
      </c>
      <c r="CH32" s="7"/>
      <c r="CI32" s="7">
        <v>97</v>
      </c>
      <c r="CJ32" s="7">
        <v>78</v>
      </c>
      <c r="CK32" s="7" t="s">
        <v>2339</v>
      </c>
      <c r="CL32" s="7" t="s">
        <v>467</v>
      </c>
      <c r="CM32" s="7" t="s">
        <v>3883</v>
      </c>
      <c r="CN32" s="17">
        <v>0</v>
      </c>
      <c r="CO32" s="17">
        <v>0</v>
      </c>
      <c r="CP32" s="17">
        <v>1</v>
      </c>
      <c r="CQ32" s="17">
        <v>0</v>
      </c>
      <c r="CR32" s="7" t="s">
        <v>4310</v>
      </c>
      <c r="CS32" s="7" t="s">
        <v>4311</v>
      </c>
      <c r="CT32" s="64">
        <v>0.151</v>
      </c>
      <c r="CU32" s="7" t="s">
        <v>4312</v>
      </c>
      <c r="CV32" s="7"/>
      <c r="CW32" s="7"/>
      <c r="CX32" s="7" t="s">
        <v>461</v>
      </c>
      <c r="CY32" s="17">
        <v>1</v>
      </c>
      <c r="CZ32" s="7" t="s">
        <v>4313</v>
      </c>
      <c r="DA32" s="8" t="s">
        <v>4314</v>
      </c>
    </row>
    <row r="33" spans="1:105" customFormat="1" ht="71.25">
      <c r="A33" s="35">
        <v>604</v>
      </c>
      <c r="B33" s="36">
        <v>44503</v>
      </c>
      <c r="C33" s="11" t="s">
        <v>4070</v>
      </c>
      <c r="D33" s="36">
        <v>16923</v>
      </c>
      <c r="E33" s="44">
        <f ca="1">_xlfn.DAYS(NOW(),Tabella2[[#This Row],[Data Nascita]])/365.25</f>
        <v>79.260780287474333</v>
      </c>
      <c r="F33" s="37" t="s">
        <v>4071</v>
      </c>
      <c r="G33" s="37" t="s">
        <v>4072</v>
      </c>
      <c r="H33" s="37" t="s">
        <v>4315</v>
      </c>
      <c r="I33" s="37" t="s">
        <v>211</v>
      </c>
      <c r="J33" s="37" t="s">
        <v>4316</v>
      </c>
      <c r="K33" s="37"/>
      <c r="L33" s="37"/>
      <c r="M33" s="37"/>
      <c r="N33" s="37" t="s">
        <v>25</v>
      </c>
      <c r="O33" s="47">
        <v>0</v>
      </c>
      <c r="P33" s="47">
        <v>1</v>
      </c>
      <c r="Q33" s="37" t="s">
        <v>25</v>
      </c>
      <c r="R33" s="37" t="s">
        <v>25</v>
      </c>
      <c r="S33" s="37" t="s">
        <v>4317</v>
      </c>
      <c r="T33" s="33" t="s">
        <v>5443</v>
      </c>
      <c r="U33" s="46">
        <f>IF(ISERROR(SEARCH("null",Tabella2[[#This Row],[Patologia respiratoria nota]],1)),0,1)</f>
        <v>0</v>
      </c>
      <c r="V33" s="47">
        <f>IF(ISERROR(SEARCH("MUTA",Tabella2[[#This Row],[Patologia respiratoria nota]],1)),0,1)</f>
        <v>1</v>
      </c>
      <c r="W33" s="46">
        <f>IF(ISERROR(SEARCH("OSAS",Tabella2[[#This Row],[Patologia respiratoria nota]],1)),0,1)</f>
        <v>0</v>
      </c>
      <c r="X33" s="47">
        <f>IF(ISERROR(SEARCH("BPCO",Tabella2[[#This Row],[Patologia respiratoria nota]],1)),0,1)</f>
        <v>0</v>
      </c>
      <c r="Y33" s="47">
        <f>IF(ISERROR(SEARCH("ASMA",Tabella2[[#This Row],[Patologia respiratoria nota]],1)),0,1)</f>
        <v>0</v>
      </c>
      <c r="Z33" s="47">
        <f>IF(ISERROR(SEARCH("ASMA, OSAS",Tabella2[[#This Row],[Patologia respiratoria nota]],1)),0,1)</f>
        <v>0</v>
      </c>
      <c r="AA33" s="47">
        <f>IF(ISERROR(SEARCH("BPCO, OSAS",Tabella2[[#This Row],[Patologia respiratoria nota]],1)),0,1)</f>
        <v>0</v>
      </c>
      <c r="AB33" s="47">
        <f>IF(ISERROR(SEARCH("ASMA, BPCO, OSAS",Tabella2[[#This Row],[Patologia respiratoria nota]],1)),0,1)</f>
        <v>0</v>
      </c>
      <c r="AC33" s="37" t="s">
        <v>5446</v>
      </c>
      <c r="AD33" s="46">
        <f>IF(ISERROR(SEARCH("NDD",Tabella2[[#This Row],[Tosse]],1)),0,1)</f>
        <v>0</v>
      </c>
      <c r="AE33" s="46">
        <f>IF(ISERROR(SEARCH("NEGA",Tabella2[[#This Row],[Tosse]],1)),0,1)</f>
        <v>0</v>
      </c>
      <c r="AF33" s="46">
        <f>IF(ISERROR(SEARCH("OCCASIONALMENTE",Tabella2[[#This Row],[Tosse]],1)),0,1)</f>
        <v>0</v>
      </c>
      <c r="AG33" s="46">
        <f>IF(ISERROR(SEARCH("RARAMENTE",Tabella2[[#This Row],[Tosse]],1)),0,1)</f>
        <v>0</v>
      </c>
      <c r="AH33" s="17">
        <v>1</v>
      </c>
      <c r="AI33" s="37" t="s">
        <v>657</v>
      </c>
      <c r="AJ33" s="46">
        <f>IF(ISERROR(SEARCH("SI",Tabella2[[#This Row],[Espettorazione]],1)),0,1)</f>
        <v>0</v>
      </c>
      <c r="AK33" s="46">
        <f>IF(ISERROR(SEARCH("NEGA",Tabella2[[#This Row],[Espettorazione]],1)),0,1)</f>
        <v>1</v>
      </c>
      <c r="AL33" s="46">
        <f>IF(ISERROR(SEARCH("NDD",Tabella2[[#This Row],[Espettorazione]],1)),0,1)</f>
        <v>0</v>
      </c>
      <c r="AM33" s="37" t="s">
        <v>4318</v>
      </c>
      <c r="AN33" s="47">
        <v>1</v>
      </c>
      <c r="AO33" s="37" t="s">
        <v>657</v>
      </c>
      <c r="AP33" s="47">
        <f>IF(ISERROR(SEARCH("NEGA",Tabella2[[#This Row],[Dispnea da sforzo]],1)),0,1)</f>
        <v>1</v>
      </c>
      <c r="AQ33" s="47">
        <f>IF(ISERROR(SEARCH("NEGA",Tabella2[[#This Row],[Dispnea da sforzo]],1)),1,0)</f>
        <v>0</v>
      </c>
      <c r="AR33" s="47">
        <f>IF(ISERROR(SEARCH("LIEVI",Tabella2[[#This Row],[Dispnea da sforzo]],1)),0,1)</f>
        <v>0</v>
      </c>
      <c r="AS33" s="47">
        <f>IF(ISERROR(SEARCH("MODERATI",Tabella2[[#This Row],[Dispnea da sforzo]],1)),0,1)</f>
        <v>0</v>
      </c>
      <c r="AT33" s="47">
        <f>IF(ISERROR(SEARCH("INTENSI",Tabella2[[#This Row],[Dispnea da sforzo]],1)),0,1)</f>
        <v>0</v>
      </c>
      <c r="AU33" s="37" t="s">
        <v>657</v>
      </c>
      <c r="AV33" s="46">
        <f>IF(ISERROR(SEARCH("NEGA",Tabella2[[#This Row],[Dispnea a riposo]],1)),0,1)</f>
        <v>1</v>
      </c>
      <c r="AW33" s="46">
        <f>IF(ISERROR(SEARCH("NDD",Tabella2[[#This Row],[Dispnea a riposo]],1)),0,1)</f>
        <v>0</v>
      </c>
      <c r="AX33" s="37" t="s">
        <v>4319</v>
      </c>
      <c r="AY33" s="46">
        <v>1</v>
      </c>
      <c r="AZ33" s="37" t="s">
        <v>4320</v>
      </c>
      <c r="BA33" s="17">
        <v>1</v>
      </c>
      <c r="BB33" s="37" t="s">
        <v>4321</v>
      </c>
      <c r="BC33" s="17">
        <v>1</v>
      </c>
      <c r="BD33" s="37" t="s">
        <v>4322</v>
      </c>
      <c r="BE33" s="17">
        <v>1</v>
      </c>
      <c r="BF33" s="37" t="s">
        <v>4323</v>
      </c>
      <c r="BG33" s="17">
        <v>1</v>
      </c>
      <c r="BH33" s="37" t="s">
        <v>4324</v>
      </c>
      <c r="BI33" s="18">
        <v>1</v>
      </c>
      <c r="BJ33" s="37">
        <v>15</v>
      </c>
      <c r="BK33" s="37" t="s">
        <v>4325</v>
      </c>
      <c r="BL33" s="46"/>
      <c r="BM33" s="46"/>
      <c r="BN33" s="46"/>
      <c r="BO33" s="46"/>
      <c r="BP33" s="46"/>
      <c r="BQ33" s="46"/>
      <c r="BR33" s="46"/>
      <c r="BS33" s="46"/>
      <c r="BT33" s="46"/>
      <c r="BU33" s="46"/>
      <c r="BV33" s="46"/>
      <c r="BW33" s="46"/>
      <c r="BX33" s="46"/>
      <c r="BY33" s="46"/>
      <c r="BZ33" s="46"/>
      <c r="CA33" s="46"/>
      <c r="CB33" s="46"/>
      <c r="CC33" s="46"/>
      <c r="CD33" s="46"/>
      <c r="CE33" s="46"/>
      <c r="CF33" s="46"/>
      <c r="CG33" s="37">
        <v>35</v>
      </c>
      <c r="CH33" s="37"/>
      <c r="CI33" s="37">
        <v>94</v>
      </c>
      <c r="CJ33" s="37">
        <v>76</v>
      </c>
      <c r="CK33" s="37" t="s">
        <v>4326</v>
      </c>
      <c r="CL33" s="37" t="s">
        <v>4327</v>
      </c>
      <c r="CM33" s="37" t="s">
        <v>4328</v>
      </c>
      <c r="CN33" s="17">
        <v>0</v>
      </c>
      <c r="CO33" s="17">
        <v>0</v>
      </c>
      <c r="CP33" s="17">
        <v>0</v>
      </c>
      <c r="CQ33" s="17">
        <v>0</v>
      </c>
      <c r="CR33" s="37" t="s">
        <v>4329</v>
      </c>
      <c r="CS33" s="37" t="s">
        <v>4330</v>
      </c>
      <c r="CT33" s="63">
        <v>0.94</v>
      </c>
      <c r="CU33" s="37" t="s">
        <v>4331</v>
      </c>
      <c r="CV33" s="37"/>
      <c r="CW33" s="37"/>
      <c r="CX33" s="37" t="s">
        <v>4332</v>
      </c>
      <c r="CY33" s="17">
        <v>1</v>
      </c>
      <c r="CZ33" s="37" t="s">
        <v>4333</v>
      </c>
      <c r="DA33" s="38" t="s">
        <v>4334</v>
      </c>
    </row>
    <row r="34" spans="1:105" ht="85.5">
      <c r="A34" s="5">
        <v>609</v>
      </c>
      <c r="B34" s="6">
        <v>44508</v>
      </c>
      <c r="C34" s="7" t="s">
        <v>4335</v>
      </c>
      <c r="D34" s="6">
        <v>16386</v>
      </c>
      <c r="E34" s="51">
        <f ca="1">_xlfn.DAYS(NOW(),Tabella2[[#This Row],[Data Nascita]])/365.25</f>
        <v>80.73100616016427</v>
      </c>
      <c r="F34" s="7"/>
      <c r="G34" s="7" t="s">
        <v>4336</v>
      </c>
      <c r="H34" s="7" t="s">
        <v>4337</v>
      </c>
      <c r="I34" s="7" t="s">
        <v>514</v>
      </c>
      <c r="J34" s="7" t="s">
        <v>4338</v>
      </c>
      <c r="K34" s="7"/>
      <c r="L34" s="7"/>
      <c r="M34" s="7"/>
      <c r="N34" s="7" t="s">
        <v>25</v>
      </c>
      <c r="O34" s="17">
        <v>0</v>
      </c>
      <c r="P34" s="17">
        <v>1</v>
      </c>
      <c r="Q34" s="7" t="s">
        <v>25</v>
      </c>
      <c r="R34" s="7" t="s">
        <v>25</v>
      </c>
      <c r="S34" s="7" t="s">
        <v>4339</v>
      </c>
      <c r="T34" s="7" t="s">
        <v>4340</v>
      </c>
      <c r="U34" s="17">
        <f>IF(ISERROR(SEARCH("null",Tabella2[[#This Row],[Patologia respiratoria nota]],1)),0,1)</f>
        <v>0</v>
      </c>
      <c r="V34" s="17">
        <f>IF(ISERROR(SEARCH("MUTA",Tabella2[[#This Row],[Patologia respiratoria nota]],1)),0,1)</f>
        <v>0</v>
      </c>
      <c r="W34" s="17">
        <f>IF(ISERROR(SEARCH("OSAS",Tabella2[[#This Row],[Patologia respiratoria nota]],1)),0,1)</f>
        <v>0</v>
      </c>
      <c r="X34" s="17">
        <f>IF(ISERROR(SEARCH("BPCO",Tabella2[[#This Row],[Patologia respiratoria nota]],1)),0,1)</f>
        <v>0</v>
      </c>
      <c r="Y34" s="17">
        <f>IF(ISERROR(SEARCH("ASMA",Tabella2[[#This Row],[Patologia respiratoria nota]],1)),0,1)</f>
        <v>0</v>
      </c>
      <c r="Z34" s="17">
        <f>IF(ISERROR(SEARCH("ASMA, OSAS",Tabella2[[#This Row],[Patologia respiratoria nota]],1)),0,1)</f>
        <v>0</v>
      </c>
      <c r="AA34" s="17">
        <f>IF(ISERROR(SEARCH("BPCO, OSAS",Tabella2[[#This Row],[Patologia respiratoria nota]],1)),0,1)</f>
        <v>0</v>
      </c>
      <c r="AB34" s="17">
        <f>IF(ISERROR(SEARCH("ASMA, BPCO, OSAS",Tabella2[[#This Row],[Patologia respiratoria nota]],1)),0,1)</f>
        <v>0</v>
      </c>
      <c r="AC34" s="7" t="s">
        <v>5447</v>
      </c>
      <c r="AD34" s="17">
        <f>IF(ISERROR(SEARCH("NDD",Tabella2[[#This Row],[Tosse]],1)),0,1)</f>
        <v>0</v>
      </c>
      <c r="AE34" s="17">
        <f>IF(ISERROR(SEARCH("NEGA",Tabella2[[#This Row],[Tosse]],1)),0,1)</f>
        <v>0</v>
      </c>
      <c r="AF34" s="17">
        <f>IF(ISERROR(SEARCH("OCCASIONALMENTE",Tabella2[[#This Row],[Tosse]],1)),0,1)</f>
        <v>0</v>
      </c>
      <c r="AG34" s="17">
        <f>IF(ISERROR(SEARCH("RARAMENTE",Tabella2[[#This Row],[Tosse]],1)),0,1)</f>
        <v>0</v>
      </c>
      <c r="AH34" s="17">
        <v>1</v>
      </c>
      <c r="AI34" s="7" t="s">
        <v>657</v>
      </c>
      <c r="AJ34" s="17">
        <f>IF(ISERROR(SEARCH("SI",Tabella2[[#This Row],[Espettorazione]],1)),0,1)</f>
        <v>0</v>
      </c>
      <c r="AK34" s="17">
        <f>IF(ISERROR(SEARCH("NEGA",Tabella2[[#This Row],[Espettorazione]],1)),0,1)</f>
        <v>1</v>
      </c>
      <c r="AL34" s="17">
        <f>IF(ISERROR(SEARCH("NDD",Tabella2[[#This Row],[Espettorazione]],1)),0,1)</f>
        <v>0</v>
      </c>
      <c r="AM34" s="7" t="s">
        <v>657</v>
      </c>
      <c r="AN34" s="17">
        <v>0</v>
      </c>
      <c r="AO34" s="11" t="s">
        <v>657</v>
      </c>
      <c r="AP34" s="17">
        <f>IF(ISERROR(SEARCH("NEGA",Tabella2[[#This Row],[Dispnea da sforzo]],1)),0,1)</f>
        <v>1</v>
      </c>
      <c r="AQ34" s="17">
        <f>IF(ISERROR(SEARCH("NEGA",Tabella2[[#This Row],[Dispnea da sforzo]],1)),1,0)</f>
        <v>0</v>
      </c>
      <c r="AR34" s="17">
        <f>IF(ISERROR(SEARCH("LIEVI",Tabella2[[#This Row],[Dispnea da sforzo]],1)),0,1)</f>
        <v>0</v>
      </c>
      <c r="AS34" s="17">
        <f>IF(ISERROR(SEARCH("MODERATI",Tabella2[[#This Row],[Dispnea da sforzo]],1)),0,1)</f>
        <v>0</v>
      </c>
      <c r="AT34" s="17">
        <f>IF(ISERROR(SEARCH("INTENSI",Tabella2[[#This Row],[Dispnea da sforzo]],1)),0,1)</f>
        <v>0</v>
      </c>
      <c r="AU34" s="7" t="s">
        <v>657</v>
      </c>
      <c r="AV34" s="17">
        <f>IF(ISERROR(SEARCH("NEGA",Tabella2[[#This Row],[Dispnea a riposo]],1)),0,1)</f>
        <v>1</v>
      </c>
      <c r="AW34" s="17">
        <f>IF(ISERROR(SEARCH("NDD",Tabella2[[#This Row],[Dispnea a riposo]],1)),0,1)</f>
        <v>0</v>
      </c>
      <c r="AX34" s="7" t="s">
        <v>657</v>
      </c>
      <c r="AY34" s="17">
        <v>0</v>
      </c>
      <c r="AZ34" s="7" t="s">
        <v>657</v>
      </c>
      <c r="BA34" s="18">
        <v>0</v>
      </c>
      <c r="BB34" s="7" t="s">
        <v>657</v>
      </c>
      <c r="BC34" s="17">
        <v>0</v>
      </c>
      <c r="BD34" s="33" t="s">
        <v>657</v>
      </c>
      <c r="BE34" s="18">
        <v>0</v>
      </c>
      <c r="BF34" s="7" t="s">
        <v>657</v>
      </c>
      <c r="BG34" s="17">
        <v>0</v>
      </c>
      <c r="BH34" s="7" t="s">
        <v>657</v>
      </c>
      <c r="BI34" s="17">
        <v>0</v>
      </c>
      <c r="BJ34" s="7">
        <v>12</v>
      </c>
      <c r="BK34" s="7" t="s">
        <v>7657</v>
      </c>
      <c r="BL34" s="17"/>
      <c r="BM34" s="17"/>
      <c r="BN34" s="17"/>
      <c r="BO34" s="17"/>
      <c r="BP34" s="17"/>
      <c r="BQ34" s="17"/>
      <c r="BR34" s="17"/>
      <c r="BS34" s="17"/>
      <c r="BT34" s="17"/>
      <c r="BU34" s="17"/>
      <c r="BV34" s="17"/>
      <c r="BW34" s="17"/>
      <c r="BX34" s="17"/>
      <c r="BY34" s="17"/>
      <c r="BZ34" s="17"/>
      <c r="CA34" s="17"/>
      <c r="CB34" s="17"/>
      <c r="CC34" s="17"/>
      <c r="CD34" s="17"/>
      <c r="CE34" s="17"/>
      <c r="CF34" s="17"/>
      <c r="CG34" s="7">
        <v>24</v>
      </c>
      <c r="CH34" s="7"/>
      <c r="CI34" s="7">
        <v>98</v>
      </c>
      <c r="CJ34" s="7">
        <v>78</v>
      </c>
      <c r="CK34" s="7" t="s">
        <v>4341</v>
      </c>
      <c r="CL34" s="7" t="s">
        <v>4342</v>
      </c>
      <c r="CM34" s="7" t="s">
        <v>4343</v>
      </c>
      <c r="CN34" s="17">
        <v>0</v>
      </c>
      <c r="CO34" s="17">
        <v>1</v>
      </c>
      <c r="CP34" s="17">
        <v>0</v>
      </c>
      <c r="CQ34" s="17">
        <v>0</v>
      </c>
      <c r="CR34" s="7" t="s">
        <v>4344</v>
      </c>
      <c r="CS34" s="7" t="s">
        <v>4345</v>
      </c>
      <c r="CT34" s="64">
        <v>0.95799999999999996</v>
      </c>
      <c r="CU34" s="7" t="s">
        <v>4346</v>
      </c>
      <c r="CV34" s="7"/>
      <c r="CW34" s="7"/>
      <c r="CX34" s="7" t="s">
        <v>4347</v>
      </c>
      <c r="CY34" s="17">
        <v>1</v>
      </c>
      <c r="CZ34" s="7" t="s">
        <v>4348</v>
      </c>
      <c r="DA34" s="8" t="s">
        <v>4349</v>
      </c>
    </row>
    <row r="35" spans="1:105" ht="42.75">
      <c r="A35" s="9">
        <v>611</v>
      </c>
      <c r="B35" s="10">
        <v>44509</v>
      </c>
      <c r="C35" s="11" t="s">
        <v>4350</v>
      </c>
      <c r="D35" s="10">
        <v>24331</v>
      </c>
      <c r="E35" s="52">
        <f ca="1">_xlfn.DAYS(NOW(),Tabella2[[#This Row],[Data Nascita]])/365.25</f>
        <v>58.978781656399725</v>
      </c>
      <c r="F35" s="11" t="s">
        <v>4351</v>
      </c>
      <c r="G35" s="11" t="s">
        <v>4352</v>
      </c>
      <c r="H35" s="11" t="s">
        <v>4353</v>
      </c>
      <c r="I35" s="11" t="s">
        <v>4354</v>
      </c>
      <c r="J35" s="11" t="s">
        <v>4355</v>
      </c>
      <c r="K35" s="11"/>
      <c r="L35" s="11"/>
      <c r="M35" s="11"/>
      <c r="N35" s="11"/>
      <c r="O35" s="17" t="s">
        <v>5412</v>
      </c>
      <c r="P35" s="17">
        <v>0</v>
      </c>
      <c r="Q35" s="11" t="s">
        <v>195</v>
      </c>
      <c r="R35" s="11" t="s">
        <v>195</v>
      </c>
      <c r="S35" s="11" t="s">
        <v>4356</v>
      </c>
      <c r="T35" s="11" t="s">
        <v>1116</v>
      </c>
      <c r="U35" s="18">
        <f>IF(ISERROR(SEARCH("null",Tabella2[[#This Row],[Patologia respiratoria nota]],1)),0,1)</f>
        <v>0</v>
      </c>
      <c r="V35" s="17">
        <f>IF(ISERROR(SEARCH("MUTA",Tabella2[[#This Row],[Patologia respiratoria nota]],1)),0,1)</f>
        <v>0</v>
      </c>
      <c r="W35" s="18">
        <f>IF(ISERROR(SEARCH("OSAS",Tabella2[[#This Row],[Patologia respiratoria nota]],1)),0,1)</f>
        <v>0</v>
      </c>
      <c r="X35" s="17">
        <f>IF(ISERROR(SEARCH("BPCO",Tabella2[[#This Row],[Patologia respiratoria nota]],1)),0,1)</f>
        <v>0</v>
      </c>
      <c r="Y35" s="17">
        <f>IF(ISERROR(SEARCH("ASMA",Tabella2[[#This Row],[Patologia respiratoria nota]],1)),0,1)</f>
        <v>0</v>
      </c>
      <c r="Z35" s="17">
        <f>IF(ISERROR(SEARCH("ASMA, OSAS",Tabella2[[#This Row],[Patologia respiratoria nota]],1)),0,1)</f>
        <v>0</v>
      </c>
      <c r="AA35" s="17">
        <f>IF(ISERROR(SEARCH("BPCO, OSAS",Tabella2[[#This Row],[Patologia respiratoria nota]],1)),0,1)</f>
        <v>0</v>
      </c>
      <c r="AB35" s="17">
        <f>IF(ISERROR(SEARCH("ASMA, BPCO, OSAS",Tabella2[[#This Row],[Patologia respiratoria nota]],1)),0,1)</f>
        <v>0</v>
      </c>
      <c r="AC35" s="11" t="s">
        <v>5466</v>
      </c>
      <c r="AD35" s="18">
        <f>IF(ISERROR(SEARCH("NDD",Tabella2[[#This Row],[Tosse]],1)),0,1)</f>
        <v>0</v>
      </c>
      <c r="AE35" s="18">
        <f>IF(ISERROR(SEARCH("NEGA",Tabella2[[#This Row],[Tosse]],1)),0,1)</f>
        <v>0</v>
      </c>
      <c r="AF35" s="18">
        <f>IF(ISERROR(SEARCH("OCCASIONALMENTE",Tabella2[[#This Row],[Tosse]],1)),0,1)</f>
        <v>1</v>
      </c>
      <c r="AG35" s="18">
        <f>IF(ISERROR(SEARCH("RARAMENTE",Tabella2[[#This Row],[Tosse]],1)),0,1)</f>
        <v>0</v>
      </c>
      <c r="AH35" s="17">
        <v>1</v>
      </c>
      <c r="AI35" s="11" t="s">
        <v>5487</v>
      </c>
      <c r="AJ35" s="18">
        <f>IF(ISERROR(SEARCH("SI",Tabella2[[#This Row],[Espettorazione]],1)),0,1)</f>
        <v>1</v>
      </c>
      <c r="AK35" s="17">
        <v>0</v>
      </c>
      <c r="AL35" s="18">
        <f>IF(ISERROR(SEARCH("NDD",Tabella2[[#This Row],[Espettorazione]],1)),0,1)</f>
        <v>0</v>
      </c>
      <c r="AM35" s="11" t="s">
        <v>657</v>
      </c>
      <c r="AN35" s="17">
        <v>0</v>
      </c>
      <c r="AO35" s="11" t="s">
        <v>5547</v>
      </c>
      <c r="AP35" s="17">
        <f>IF(ISERROR(SEARCH("NEGA",Tabella2[[#This Row],[Dispnea da sforzo]],1)),0,1)</f>
        <v>0</v>
      </c>
      <c r="AQ35" s="17">
        <f>IF(ISERROR(SEARCH("NEGA",Tabella2[[#This Row],[Dispnea da sforzo]],1)),1,0)</f>
        <v>1</v>
      </c>
      <c r="AR35" s="17">
        <f>IF(ISERROR(SEARCH("LIEVI",Tabella2[[#This Row],[Dispnea da sforzo]],1)),0,1)</f>
        <v>0</v>
      </c>
      <c r="AS35" s="17">
        <f>IF(ISERROR(SEARCH("MODERATI",Tabella2[[#This Row],[Dispnea da sforzo]],1)),0,1)</f>
        <v>1</v>
      </c>
      <c r="AT35" s="17">
        <f>IF(ISERROR(SEARCH("INTENSI",Tabella2[[#This Row],[Dispnea da sforzo]],1)),0,1)</f>
        <v>0</v>
      </c>
      <c r="AU35" s="11" t="s">
        <v>657</v>
      </c>
      <c r="AV35" s="18">
        <f>IF(ISERROR(SEARCH("NEGA",Tabella2[[#This Row],[Dispnea a riposo]],1)),0,1)</f>
        <v>1</v>
      </c>
      <c r="AW35" s="18">
        <f>IF(ISERROR(SEARCH("NDD",Tabella2[[#This Row],[Dispnea a riposo]],1)),0,1)</f>
        <v>0</v>
      </c>
      <c r="AX35" s="11" t="s">
        <v>657</v>
      </c>
      <c r="AY35" s="17">
        <v>0</v>
      </c>
      <c r="AZ35" s="11" t="s">
        <v>4357</v>
      </c>
      <c r="BA35" s="17">
        <v>1</v>
      </c>
      <c r="BB35" s="11" t="s">
        <v>4358</v>
      </c>
      <c r="BC35" s="17">
        <v>1</v>
      </c>
      <c r="BD35" s="37" t="s">
        <v>657</v>
      </c>
      <c r="BE35" s="18">
        <v>0</v>
      </c>
      <c r="BF35" s="11" t="s">
        <v>657</v>
      </c>
      <c r="BG35" s="17">
        <v>0</v>
      </c>
      <c r="BH35" s="11" t="s">
        <v>657</v>
      </c>
      <c r="BI35" s="17">
        <v>0</v>
      </c>
      <c r="BJ35" s="11">
        <v>15</v>
      </c>
      <c r="BK35" s="11" t="s">
        <v>4359</v>
      </c>
      <c r="BL35" s="18"/>
      <c r="BM35" s="18"/>
      <c r="BN35" s="18"/>
      <c r="BO35" s="18"/>
      <c r="BP35" s="18"/>
      <c r="BQ35" s="18"/>
      <c r="BR35" s="18"/>
      <c r="BS35" s="18"/>
      <c r="BT35" s="18"/>
      <c r="BU35" s="18"/>
      <c r="BV35" s="18"/>
      <c r="BW35" s="18"/>
      <c r="BX35" s="18"/>
      <c r="BY35" s="18">
        <v>1</v>
      </c>
      <c r="BZ35" s="18"/>
      <c r="CA35" s="18"/>
      <c r="CB35" s="18"/>
      <c r="CC35" s="18"/>
      <c r="CD35" s="18"/>
      <c r="CE35" s="18"/>
      <c r="CF35" s="18">
        <v>1</v>
      </c>
      <c r="CG35" s="11">
        <v>38</v>
      </c>
      <c r="CH35" s="11"/>
      <c r="CI35" s="11">
        <v>95</v>
      </c>
      <c r="CJ35" s="11">
        <v>78</v>
      </c>
      <c r="CK35" s="11" t="s">
        <v>4297</v>
      </c>
      <c r="CL35" s="11"/>
      <c r="CM35" s="11" t="s">
        <v>4164</v>
      </c>
      <c r="CN35" s="17">
        <v>0</v>
      </c>
      <c r="CO35" s="17">
        <v>0</v>
      </c>
      <c r="CP35" s="17">
        <v>0</v>
      </c>
      <c r="CQ35" s="17">
        <v>1</v>
      </c>
      <c r="CR35" s="11" t="s">
        <v>4180</v>
      </c>
      <c r="CS35" s="11" t="s">
        <v>4298</v>
      </c>
      <c r="CT35" s="65">
        <v>1</v>
      </c>
      <c r="CU35" s="11" t="s">
        <v>4360</v>
      </c>
      <c r="CV35" s="11"/>
      <c r="CW35" s="11"/>
      <c r="CX35" s="11" t="s">
        <v>4361</v>
      </c>
      <c r="CY35" s="17">
        <v>1</v>
      </c>
      <c r="CZ35" s="11" t="s">
        <v>4362</v>
      </c>
      <c r="DA35" s="12" t="s">
        <v>4363</v>
      </c>
    </row>
    <row r="36" spans="1:105" ht="114">
      <c r="A36" s="5">
        <v>612</v>
      </c>
      <c r="B36" s="6">
        <v>44509</v>
      </c>
      <c r="C36" s="7" t="s">
        <v>4364</v>
      </c>
      <c r="D36" s="6">
        <v>17088</v>
      </c>
      <c r="E36" s="51">
        <f ca="1">_xlfn.DAYS(NOW(),Tabella2[[#This Row],[Data Nascita]])/365.25</f>
        <v>78.809034907597535</v>
      </c>
      <c r="F36" s="7" t="s">
        <v>4365</v>
      </c>
      <c r="G36" s="7" t="s">
        <v>4366</v>
      </c>
      <c r="H36" s="7" t="s">
        <v>4201</v>
      </c>
      <c r="I36" s="7" t="s">
        <v>4367</v>
      </c>
      <c r="J36" s="7" t="s">
        <v>4368</v>
      </c>
      <c r="K36" s="7"/>
      <c r="L36" s="7"/>
      <c r="M36" s="7"/>
      <c r="N36" s="7"/>
      <c r="O36" s="17" t="s">
        <v>5412</v>
      </c>
      <c r="P36" s="17">
        <v>0</v>
      </c>
      <c r="Q36" s="7" t="s">
        <v>8</v>
      </c>
      <c r="R36" s="7" t="s">
        <v>8</v>
      </c>
      <c r="S36" s="7" t="s">
        <v>4369</v>
      </c>
      <c r="T36" s="7" t="s">
        <v>5430</v>
      </c>
      <c r="U36" s="17">
        <f>IF(ISERROR(SEARCH("null",Tabella2[[#This Row],[Patologia respiratoria nota]],1)),0,1)</f>
        <v>0</v>
      </c>
      <c r="V36" s="17">
        <f>IF(ISERROR(SEARCH("MUTA",Tabella2[[#This Row],[Patologia respiratoria nota]],1)),0,1)</f>
        <v>0</v>
      </c>
      <c r="W36" s="17">
        <f>IF(ISERROR(SEARCH("OSAS",Tabella2[[#This Row],[Patologia respiratoria nota]],1)),0,1)</f>
        <v>1</v>
      </c>
      <c r="X36" s="17">
        <f>IF(ISERROR(SEARCH("BPCO",Tabella2[[#This Row],[Patologia respiratoria nota]],1)),0,1)</f>
        <v>1</v>
      </c>
      <c r="Y36" s="17">
        <f>IF(ISERROR(SEARCH("ASMA",Tabella2[[#This Row],[Patologia respiratoria nota]],1)),0,1)</f>
        <v>0</v>
      </c>
      <c r="Z36" s="17">
        <f>IF(ISERROR(SEARCH("ASMA, OSAS",Tabella2[[#This Row],[Patologia respiratoria nota]],1)),0,1)</f>
        <v>0</v>
      </c>
      <c r="AA36" s="17">
        <f>IF(ISERROR(SEARCH("BPCO, OSAS",Tabella2[[#This Row],[Patologia respiratoria nota]],1)),0,1)</f>
        <v>1</v>
      </c>
      <c r="AB36" s="17">
        <f>IF(ISERROR(SEARCH("ASMA, BPCO, OSAS",Tabella2[[#This Row],[Patologia respiratoria nota]],1)),0,1)</f>
        <v>0</v>
      </c>
      <c r="AC36" s="15" t="s">
        <v>657</v>
      </c>
      <c r="AD36" s="19">
        <f>IF(ISERROR(SEARCH("NDD",Tabella2[[#This Row],[Tosse]],1)),0,1)</f>
        <v>0</v>
      </c>
      <c r="AE36" s="19">
        <f>IF(ISERROR(SEARCH("NEGA",Tabella2[[#This Row],[Tosse]],1)),0,1)</f>
        <v>1</v>
      </c>
      <c r="AF36" s="19">
        <f>IF(ISERROR(SEARCH("OCCASIONALMENTE",Tabella2[[#This Row],[Tosse]],1)),0,1)</f>
        <v>0</v>
      </c>
      <c r="AG36" s="19">
        <f>IF(ISERROR(SEARCH("RARAMENTE",Tabella2[[#This Row],[Tosse]],1)),0,1)</f>
        <v>0</v>
      </c>
      <c r="AH36" s="19">
        <f>IF(ISERROR(SEARCH("SI",Tabella2[[#This Row],[Tosse]],1)),0,1)</f>
        <v>0</v>
      </c>
      <c r="AI36" s="7" t="s">
        <v>5487</v>
      </c>
      <c r="AJ36" s="17">
        <f>IF(ISERROR(SEARCH("SI",Tabella2[[#This Row],[Espettorazione]],1)),0,1)</f>
        <v>1</v>
      </c>
      <c r="AK36" s="17">
        <v>0</v>
      </c>
      <c r="AL36" s="17">
        <f>IF(ISERROR(SEARCH("NDD",Tabella2[[#This Row],[Espettorazione]],1)),0,1)</f>
        <v>0</v>
      </c>
      <c r="AM36" s="7" t="s">
        <v>4370</v>
      </c>
      <c r="AN36" s="17">
        <v>1</v>
      </c>
      <c r="AO36" s="7" t="s">
        <v>5549</v>
      </c>
      <c r="AP36" s="17">
        <f>IF(ISERROR(SEARCH("NEGA",Tabella2[[#This Row],[Dispnea da sforzo]],1)),0,1)</f>
        <v>0</v>
      </c>
      <c r="AQ36" s="17">
        <f>IF(ISERROR(SEARCH("NEGA",Tabella2[[#This Row],[Dispnea da sforzo]],1)),1,0)</f>
        <v>1</v>
      </c>
      <c r="AR36" s="17">
        <f>IF(ISERROR(SEARCH("LIEVI",Tabella2[[#This Row],[Dispnea da sforzo]],1)),0,1)</f>
        <v>0</v>
      </c>
      <c r="AS36" s="17">
        <f>IF(ISERROR(SEARCH("MODERATI",Tabella2[[#This Row],[Dispnea da sforzo]],1)),0,1)</f>
        <v>1</v>
      </c>
      <c r="AT36" s="17">
        <f>IF(ISERROR(SEARCH("INTENSI",Tabella2[[#This Row],[Dispnea da sforzo]],1)),0,1)</f>
        <v>0</v>
      </c>
      <c r="AU36" s="7" t="s">
        <v>657</v>
      </c>
      <c r="AV36" s="17">
        <f>IF(ISERROR(SEARCH("NEGA",Tabella2[[#This Row],[Dispnea a riposo]],1)),0,1)</f>
        <v>1</v>
      </c>
      <c r="AW36" s="17">
        <f>IF(ISERROR(SEARCH("NDD",Tabella2[[#This Row],[Dispnea a riposo]],1)),0,1)</f>
        <v>0</v>
      </c>
      <c r="AX36" s="7" t="s">
        <v>657</v>
      </c>
      <c r="AY36" s="17">
        <v>0</v>
      </c>
      <c r="AZ36" s="7" t="s">
        <v>194</v>
      </c>
      <c r="BA36" s="17">
        <v>1</v>
      </c>
      <c r="BB36" s="7" t="s">
        <v>4371</v>
      </c>
      <c r="BC36" s="17">
        <v>1</v>
      </c>
      <c r="BD36" s="7" t="s">
        <v>387</v>
      </c>
      <c r="BE36" s="17">
        <v>1</v>
      </c>
      <c r="BF36" s="7" t="s">
        <v>194</v>
      </c>
      <c r="BG36" s="17">
        <v>1</v>
      </c>
      <c r="BH36" s="7" t="s">
        <v>4372</v>
      </c>
      <c r="BI36" s="18">
        <v>1</v>
      </c>
      <c r="BJ36" s="7">
        <v>13</v>
      </c>
      <c r="BK36" s="7" t="s">
        <v>4373</v>
      </c>
      <c r="BL36" s="17"/>
      <c r="BM36" s="17">
        <v>1</v>
      </c>
      <c r="BN36" s="17"/>
      <c r="BO36" s="17"/>
      <c r="BP36" s="17">
        <v>1</v>
      </c>
      <c r="BQ36" s="17"/>
      <c r="BR36" s="17"/>
      <c r="BS36" s="17"/>
      <c r="BT36" s="17"/>
      <c r="BU36" s="17"/>
      <c r="BV36" s="17"/>
      <c r="BW36" s="17"/>
      <c r="BX36" s="17"/>
      <c r="BY36" s="17">
        <v>1</v>
      </c>
      <c r="BZ36" s="17"/>
      <c r="CA36" s="17">
        <v>1</v>
      </c>
      <c r="CB36" s="17"/>
      <c r="CC36" s="17"/>
      <c r="CD36" s="17"/>
      <c r="CE36" s="17"/>
      <c r="CF36" s="17"/>
      <c r="CG36" s="7">
        <v>32</v>
      </c>
      <c r="CH36" s="7"/>
      <c r="CI36" s="7">
        <v>92</v>
      </c>
      <c r="CJ36" s="7">
        <v>60</v>
      </c>
      <c r="CK36" s="7" t="s">
        <v>4374</v>
      </c>
      <c r="CL36" s="7" t="s">
        <v>4375</v>
      </c>
      <c r="CM36" s="7" t="s">
        <v>4164</v>
      </c>
      <c r="CN36" s="17">
        <v>0</v>
      </c>
      <c r="CO36" s="17">
        <v>0</v>
      </c>
      <c r="CP36" s="17">
        <v>0</v>
      </c>
      <c r="CQ36" s="17">
        <v>1</v>
      </c>
      <c r="CR36" s="7" t="s">
        <v>4180</v>
      </c>
      <c r="CS36" s="7" t="s">
        <v>963</v>
      </c>
      <c r="CT36" s="64">
        <v>0.95</v>
      </c>
      <c r="CU36" s="7" t="s">
        <v>4376</v>
      </c>
      <c r="CV36" s="7"/>
      <c r="CW36" s="7"/>
      <c r="CX36" s="7" t="s">
        <v>194</v>
      </c>
      <c r="CY36" s="17">
        <v>1</v>
      </c>
      <c r="CZ36" s="7" t="s">
        <v>4377</v>
      </c>
      <c r="DA36" s="8" t="s">
        <v>4378</v>
      </c>
    </row>
    <row r="37" spans="1:105" ht="85.5">
      <c r="A37" s="9">
        <v>620</v>
      </c>
      <c r="B37" s="10">
        <v>44516</v>
      </c>
      <c r="C37" s="11" t="s">
        <v>4379</v>
      </c>
      <c r="D37" s="10">
        <v>19396</v>
      </c>
      <c r="E37" s="52">
        <f ca="1">_xlfn.DAYS(NOW(),Tabella2[[#This Row],[Data Nascita]])/365.25</f>
        <v>72.490075290896641</v>
      </c>
      <c r="F37" s="11" t="s">
        <v>4380</v>
      </c>
      <c r="G37" s="11" t="s">
        <v>4381</v>
      </c>
      <c r="H37" s="11" t="s">
        <v>4382</v>
      </c>
      <c r="I37" s="11" t="s">
        <v>4383</v>
      </c>
      <c r="J37" s="11" t="s">
        <v>4384</v>
      </c>
      <c r="K37" s="11"/>
      <c r="L37" s="11"/>
      <c r="M37" s="11"/>
      <c r="N37" s="11" t="s">
        <v>195</v>
      </c>
      <c r="O37" s="17">
        <v>0</v>
      </c>
      <c r="P37" s="17">
        <v>1</v>
      </c>
      <c r="Q37" s="11" t="s">
        <v>309</v>
      </c>
      <c r="R37" s="11" t="s">
        <v>309</v>
      </c>
      <c r="S37" s="11" t="s">
        <v>4385</v>
      </c>
      <c r="T37" s="11" t="s">
        <v>4386</v>
      </c>
      <c r="U37" s="18">
        <f>IF(ISERROR(SEARCH("null",Tabella2[[#This Row],[Patologia respiratoria nota]],1)),0,1)</f>
        <v>0</v>
      </c>
      <c r="V37" s="17">
        <f>IF(ISERROR(SEARCH("MUTA",Tabella2[[#This Row],[Patologia respiratoria nota]],1)),0,1)</f>
        <v>0</v>
      </c>
      <c r="W37" s="18">
        <f>IF(ISERROR(SEARCH("OSAS",Tabella2[[#This Row],[Patologia respiratoria nota]],1)),0,1)</f>
        <v>0</v>
      </c>
      <c r="X37" s="17">
        <f>IF(ISERROR(SEARCH("BPCO",Tabella2[[#This Row],[Patologia respiratoria nota]],1)),0,1)</f>
        <v>0</v>
      </c>
      <c r="Y37" s="17">
        <f>IF(ISERROR(SEARCH("ASMA",Tabella2[[#This Row],[Patologia respiratoria nota]],1)),0,1)</f>
        <v>0</v>
      </c>
      <c r="Z37" s="17">
        <f>IF(ISERROR(SEARCH("ASMA, OSAS",Tabella2[[#This Row],[Patologia respiratoria nota]],1)),0,1)</f>
        <v>0</v>
      </c>
      <c r="AA37" s="17">
        <f>IF(ISERROR(SEARCH("BPCO, OSAS",Tabella2[[#This Row],[Patologia respiratoria nota]],1)),0,1)</f>
        <v>0</v>
      </c>
      <c r="AB37" s="17">
        <f>IF(ISERROR(SEARCH("ASMA, BPCO, OSAS",Tabella2[[#This Row],[Patologia respiratoria nota]],1)),0,1)</f>
        <v>0</v>
      </c>
      <c r="AC37" s="15" t="s">
        <v>657</v>
      </c>
      <c r="AD37" s="19">
        <f>IF(ISERROR(SEARCH("NDD",Tabella2[[#This Row],[Tosse]],1)),0,1)</f>
        <v>0</v>
      </c>
      <c r="AE37" s="19">
        <f>IF(ISERROR(SEARCH("NEGA",Tabella2[[#This Row],[Tosse]],1)),0,1)</f>
        <v>1</v>
      </c>
      <c r="AF37" s="19">
        <f>IF(ISERROR(SEARCH("OCCASIONALMENTE",Tabella2[[#This Row],[Tosse]],1)),0,1)</f>
        <v>0</v>
      </c>
      <c r="AG37" s="19">
        <f>IF(ISERROR(SEARCH("RARAMENTE",Tabella2[[#This Row],[Tosse]],1)),0,1)</f>
        <v>0</v>
      </c>
      <c r="AH37" s="19">
        <f>IF(ISERROR(SEARCH("SI",Tabella2[[#This Row],[Tosse]],1)),0,1)</f>
        <v>0</v>
      </c>
      <c r="AI37" s="11" t="s">
        <v>657</v>
      </c>
      <c r="AJ37" s="18">
        <f>IF(ISERROR(SEARCH("SI",Tabella2[[#This Row],[Espettorazione]],1)),0,1)</f>
        <v>0</v>
      </c>
      <c r="AK37" s="18">
        <f>IF(ISERROR(SEARCH("NEGA",Tabella2[[#This Row],[Espettorazione]],1)),0,1)</f>
        <v>1</v>
      </c>
      <c r="AL37" s="18">
        <f>IF(ISERROR(SEARCH("NDD",Tabella2[[#This Row],[Espettorazione]],1)),0,1)</f>
        <v>0</v>
      </c>
      <c r="AM37" s="11" t="s">
        <v>657</v>
      </c>
      <c r="AN37" s="17">
        <v>0</v>
      </c>
      <c r="AO37" s="11" t="s">
        <v>4387</v>
      </c>
      <c r="AP37" s="17">
        <f>IF(ISERROR(SEARCH("NEGA",Tabella2[[#This Row],[Dispnea da sforzo]],1)),0,1)</f>
        <v>0</v>
      </c>
      <c r="AQ37" s="17">
        <f>IF(ISERROR(SEARCH("NEGA",Tabella2[[#This Row],[Dispnea da sforzo]],1)),1,0)</f>
        <v>1</v>
      </c>
      <c r="AR37" s="17">
        <f>IF(ISERROR(SEARCH("LIEVI",Tabella2[[#This Row],[Dispnea da sforzo]],1)),0,1)</f>
        <v>0</v>
      </c>
      <c r="AS37" s="17">
        <f>IF(ISERROR(SEARCH("MODERATI",Tabella2[[#This Row],[Dispnea da sforzo]],1)),0,1)</f>
        <v>0</v>
      </c>
      <c r="AT37" s="17">
        <f>IF(ISERROR(SEARCH("INTENSI",Tabella2[[#This Row],[Dispnea da sforzo]],1)),0,1)</f>
        <v>0</v>
      </c>
      <c r="AU37" s="11" t="s">
        <v>657</v>
      </c>
      <c r="AV37" s="18">
        <f>IF(ISERROR(SEARCH("NEGA",Tabella2[[#This Row],[Dispnea a riposo]],1)),0,1)</f>
        <v>1</v>
      </c>
      <c r="AW37" s="18">
        <f>IF(ISERROR(SEARCH("NDD",Tabella2[[#This Row],[Dispnea a riposo]],1)),0,1)</f>
        <v>0</v>
      </c>
      <c r="AX37" s="11" t="s">
        <v>657</v>
      </c>
      <c r="AY37" s="17">
        <v>0</v>
      </c>
      <c r="AZ37" s="11" t="s">
        <v>657</v>
      </c>
      <c r="BA37" s="18">
        <v>0</v>
      </c>
      <c r="BB37" s="11" t="s">
        <v>551</v>
      </c>
      <c r="BC37" s="17">
        <v>1</v>
      </c>
      <c r="BD37" s="11" t="s">
        <v>4388</v>
      </c>
      <c r="BE37" s="17">
        <v>1</v>
      </c>
      <c r="BF37" s="11" t="s">
        <v>4389</v>
      </c>
      <c r="BG37" s="17">
        <v>1</v>
      </c>
      <c r="BH37" s="11" t="s">
        <v>657</v>
      </c>
      <c r="BI37" s="17">
        <v>0</v>
      </c>
      <c r="BJ37" s="11">
        <v>12</v>
      </c>
      <c r="BK37" s="11" t="s">
        <v>4390</v>
      </c>
      <c r="BL37" s="18"/>
      <c r="BM37" s="18"/>
      <c r="BN37" s="18"/>
      <c r="BO37" s="18"/>
      <c r="BP37" s="18"/>
      <c r="BQ37" s="18"/>
      <c r="BR37" s="18"/>
      <c r="BS37" s="18"/>
      <c r="BT37" s="18"/>
      <c r="BU37" s="18"/>
      <c r="BV37" s="18">
        <v>1</v>
      </c>
      <c r="BW37" s="18"/>
      <c r="BX37" s="18"/>
      <c r="BY37" s="18"/>
      <c r="BZ37" s="18"/>
      <c r="CA37" s="18"/>
      <c r="CB37" s="18"/>
      <c r="CC37" s="18"/>
      <c r="CD37" s="18"/>
      <c r="CE37" s="18"/>
      <c r="CF37" s="18"/>
      <c r="CG37" s="11">
        <v>34</v>
      </c>
      <c r="CH37" s="11"/>
      <c r="CI37" s="11">
        <v>97</v>
      </c>
      <c r="CJ37" s="11">
        <v>75</v>
      </c>
      <c r="CK37" s="11" t="s">
        <v>4391</v>
      </c>
      <c r="CL37" s="11" t="s">
        <v>4342</v>
      </c>
      <c r="CM37" s="11" t="s">
        <v>4392</v>
      </c>
      <c r="CN37" s="17">
        <v>0</v>
      </c>
      <c r="CO37" s="17">
        <v>1</v>
      </c>
      <c r="CP37" s="17">
        <v>0</v>
      </c>
      <c r="CQ37" s="17">
        <v>0</v>
      </c>
      <c r="CR37" s="11" t="s">
        <v>4393</v>
      </c>
      <c r="CS37" s="11" t="s">
        <v>4394</v>
      </c>
      <c r="CT37" s="65">
        <v>0.74</v>
      </c>
      <c r="CU37" s="11" t="s">
        <v>4395</v>
      </c>
      <c r="CV37" s="11"/>
      <c r="CW37" s="11"/>
      <c r="CX37" s="11" t="s">
        <v>4396</v>
      </c>
      <c r="CY37" s="17">
        <v>1</v>
      </c>
      <c r="CZ37" s="11" t="s">
        <v>4397</v>
      </c>
      <c r="DA37" s="12" t="s">
        <v>4398</v>
      </c>
    </row>
    <row r="38" spans="1:105" customFormat="1" ht="42.75">
      <c r="A38" s="31">
        <v>646</v>
      </c>
      <c r="B38" s="32">
        <v>44530</v>
      </c>
      <c r="C38" s="7" t="s">
        <v>4399</v>
      </c>
      <c r="D38" s="32">
        <v>25009</v>
      </c>
      <c r="E38" s="43">
        <f ca="1">_xlfn.DAYS(NOW(),Tabella2[[#This Row],[Data Nascita]])/365.25</f>
        <v>57.12251882272416</v>
      </c>
      <c r="F38" s="33" t="s">
        <v>4400</v>
      </c>
      <c r="G38" s="33" t="s">
        <v>4401</v>
      </c>
      <c r="H38" s="33" t="s">
        <v>4402</v>
      </c>
      <c r="I38" s="33" t="s">
        <v>618</v>
      </c>
      <c r="J38" s="33" t="s">
        <v>8</v>
      </c>
      <c r="K38" s="33"/>
      <c r="L38" s="33"/>
      <c r="M38" s="33"/>
      <c r="N38" s="33"/>
      <c r="O38" s="47" t="s">
        <v>5412</v>
      </c>
      <c r="P38" s="47">
        <v>0</v>
      </c>
      <c r="Q38" s="33" t="s">
        <v>8</v>
      </c>
      <c r="R38" s="33" t="s">
        <v>8</v>
      </c>
      <c r="S38" s="33" t="s">
        <v>4403</v>
      </c>
      <c r="T38" s="33" t="s">
        <v>5418</v>
      </c>
      <c r="U38" s="47">
        <f>IF(ISERROR(SEARCH("null",Tabella2[[#This Row],[Patologia respiratoria nota]],1)),0,1)</f>
        <v>0</v>
      </c>
      <c r="V38" s="47">
        <f>IF(ISERROR(SEARCH("MUTA",Tabella2[[#This Row],[Patologia respiratoria nota]],1)),0,1)</f>
        <v>0</v>
      </c>
      <c r="W38" s="47">
        <f>IF(ISERROR(SEARCH("OSAS",Tabella2[[#This Row],[Patologia respiratoria nota]],1)),0,1)</f>
        <v>0</v>
      </c>
      <c r="X38" s="47">
        <f>IF(ISERROR(SEARCH("BPCO",Tabella2[[#This Row],[Patologia respiratoria nota]],1)),0,1)</f>
        <v>0</v>
      </c>
      <c r="Y38" s="47">
        <f>IF(ISERROR(SEARCH("ASMA",Tabella2[[#This Row],[Patologia respiratoria nota]],1)),0,1)</f>
        <v>1</v>
      </c>
      <c r="Z38" s="47">
        <f>IF(ISERROR(SEARCH("ASMA, OSAS",Tabella2[[#This Row],[Patologia respiratoria nota]],1)),0,1)</f>
        <v>0</v>
      </c>
      <c r="AA38" s="47">
        <f>IF(ISERROR(SEARCH("BPCO, OSAS",Tabella2[[#This Row],[Patologia respiratoria nota]],1)),0,1)</f>
        <v>0</v>
      </c>
      <c r="AB38" s="47">
        <f>IF(ISERROR(SEARCH("ASMA, BPCO, OSAS",Tabella2[[#This Row],[Patologia respiratoria nota]],1)),0,1)</f>
        <v>0</v>
      </c>
      <c r="AC38" s="33" t="s">
        <v>5466</v>
      </c>
      <c r="AD38" s="47">
        <f>IF(ISERROR(SEARCH("NDD",Tabella2[[#This Row],[Tosse]],1)),0,1)</f>
        <v>0</v>
      </c>
      <c r="AE38" s="47">
        <f>IF(ISERROR(SEARCH("NEGA",Tabella2[[#This Row],[Tosse]],1)),0,1)</f>
        <v>0</v>
      </c>
      <c r="AF38" s="47">
        <f>IF(ISERROR(SEARCH("OCCASIONALMENTE",Tabella2[[#This Row],[Tosse]],1)),0,1)</f>
        <v>1</v>
      </c>
      <c r="AG38" s="47">
        <f>IF(ISERROR(SEARCH("RARAMENTE",Tabella2[[#This Row],[Tosse]],1)),0,1)</f>
        <v>0</v>
      </c>
      <c r="AH38" s="17">
        <v>1</v>
      </c>
      <c r="AI38" s="33" t="s">
        <v>657</v>
      </c>
      <c r="AJ38" s="47">
        <f>IF(ISERROR(SEARCH("SI",Tabella2[[#This Row],[Espettorazione]],1)),0,1)</f>
        <v>0</v>
      </c>
      <c r="AK38" s="47">
        <f>IF(ISERROR(SEARCH("NEGA",Tabella2[[#This Row],[Espettorazione]],1)),0,1)</f>
        <v>1</v>
      </c>
      <c r="AL38" s="47">
        <f>IF(ISERROR(SEARCH("NDD",Tabella2[[#This Row],[Espettorazione]],1)),0,1)</f>
        <v>0</v>
      </c>
      <c r="AM38" s="33" t="s">
        <v>4404</v>
      </c>
      <c r="AN38" s="47">
        <v>1</v>
      </c>
      <c r="AO38" s="33" t="s">
        <v>5524</v>
      </c>
      <c r="AP38" s="47">
        <f>IF(ISERROR(SEARCH("NEGA",Tabella2[[#This Row],[Dispnea da sforzo]],1)),0,1)</f>
        <v>0</v>
      </c>
      <c r="AQ38" s="47">
        <f>IF(ISERROR(SEARCH("NEGA",Tabella2[[#This Row],[Dispnea da sforzo]],1)),1,0)</f>
        <v>1</v>
      </c>
      <c r="AR38" s="47">
        <f>IF(ISERROR(SEARCH("LIEVI",Tabella2[[#This Row],[Dispnea da sforzo]],1)),0,1)</f>
        <v>1</v>
      </c>
      <c r="AS38" s="47">
        <f>IF(ISERROR(SEARCH("MODERATI",Tabella2[[#This Row],[Dispnea da sforzo]],1)),0,1)</f>
        <v>0</v>
      </c>
      <c r="AT38" s="47">
        <f>IF(ISERROR(SEARCH("INTENSI",Tabella2[[#This Row],[Dispnea da sforzo]],1)),0,1)</f>
        <v>0</v>
      </c>
      <c r="AU38" s="33" t="s">
        <v>354</v>
      </c>
      <c r="AV38" s="47">
        <f>IF(ISERROR(SEARCH("NEGA",Tabella2[[#This Row],[Dispnea a riposo]],1)),0,1)</f>
        <v>0</v>
      </c>
      <c r="AW38" s="47">
        <f>IF(ISERROR(SEARCH("NDD",Tabella2[[#This Row],[Dispnea a riposo]],1)),0,1)</f>
        <v>0</v>
      </c>
      <c r="AX38" s="33" t="s">
        <v>4405</v>
      </c>
      <c r="AY38" s="46">
        <v>1</v>
      </c>
      <c r="AZ38" s="33" t="s">
        <v>4406</v>
      </c>
      <c r="BA38" s="17">
        <v>1</v>
      </c>
      <c r="BB38" s="33" t="s">
        <v>4407</v>
      </c>
      <c r="BC38" s="17">
        <v>1</v>
      </c>
      <c r="BD38" s="33" t="s">
        <v>4408</v>
      </c>
      <c r="BE38" s="17">
        <v>1</v>
      </c>
      <c r="BF38" s="33" t="s">
        <v>4409</v>
      </c>
      <c r="BG38" s="17">
        <v>1</v>
      </c>
      <c r="BH38" s="33" t="s">
        <v>4410</v>
      </c>
      <c r="BI38" s="18">
        <v>1</v>
      </c>
      <c r="BJ38" s="33">
        <v>13</v>
      </c>
      <c r="BK38" s="33" t="s">
        <v>7658</v>
      </c>
      <c r="BL38" s="47"/>
      <c r="BM38" s="47"/>
      <c r="BN38" s="47"/>
      <c r="BO38" s="47"/>
      <c r="BP38" s="47">
        <v>1</v>
      </c>
      <c r="BQ38" s="47"/>
      <c r="BR38" s="47"/>
      <c r="BS38" s="47">
        <v>1</v>
      </c>
      <c r="BT38" s="47"/>
      <c r="BU38" s="47"/>
      <c r="BV38" s="47"/>
      <c r="BW38" s="47"/>
      <c r="BX38" s="47"/>
      <c r="BY38" s="47"/>
      <c r="BZ38" s="47"/>
      <c r="CA38" s="47"/>
      <c r="CB38" s="47"/>
      <c r="CC38" s="47"/>
      <c r="CD38" s="47"/>
      <c r="CE38" s="47"/>
      <c r="CF38" s="47"/>
      <c r="CG38" s="33">
        <v>38</v>
      </c>
      <c r="CH38" s="33"/>
      <c r="CI38" s="33">
        <v>96</v>
      </c>
      <c r="CJ38" s="33">
        <v>80</v>
      </c>
      <c r="CK38" s="33" t="s">
        <v>4411</v>
      </c>
      <c r="CL38" s="33" t="s">
        <v>4412</v>
      </c>
      <c r="CM38" s="33" t="s">
        <v>5477</v>
      </c>
      <c r="CN38" s="47">
        <v>1</v>
      </c>
      <c r="CO38" s="17">
        <v>0</v>
      </c>
      <c r="CP38" s="17">
        <v>0</v>
      </c>
      <c r="CQ38" s="17">
        <v>0</v>
      </c>
      <c r="CR38" s="33"/>
      <c r="CS38" s="33" t="s">
        <v>5477</v>
      </c>
      <c r="CT38" s="66"/>
      <c r="CU38" s="33"/>
      <c r="CV38" s="33"/>
      <c r="CW38" s="33"/>
      <c r="CX38" s="33" t="s">
        <v>301</v>
      </c>
      <c r="CY38" s="17">
        <v>1</v>
      </c>
      <c r="CZ38" s="33" t="s">
        <v>4413</v>
      </c>
      <c r="DA38" s="34" t="s">
        <v>4414</v>
      </c>
    </row>
    <row r="39" spans="1:105" ht="42.75">
      <c r="A39" s="9">
        <v>651</v>
      </c>
      <c r="B39" s="10">
        <v>44530</v>
      </c>
      <c r="C39" s="11" t="s">
        <v>4057</v>
      </c>
      <c r="D39" s="10">
        <v>11431</v>
      </c>
      <c r="E39" s="52">
        <f ca="1">_xlfn.DAYS(NOW(),Tabella2[[#This Row],[Data Nascita]])/365.25</f>
        <v>94.297056810403831</v>
      </c>
      <c r="F39" s="11" t="s">
        <v>4058</v>
      </c>
      <c r="G39" s="11" t="s">
        <v>4059</v>
      </c>
      <c r="H39" s="11" t="s">
        <v>4415</v>
      </c>
      <c r="I39" s="11" t="s">
        <v>4416</v>
      </c>
      <c r="J39" s="11" t="s">
        <v>4417</v>
      </c>
      <c r="K39" s="11"/>
      <c r="L39" s="11"/>
      <c r="M39" s="11"/>
      <c r="N39" s="11"/>
      <c r="O39" s="17" t="s">
        <v>5412</v>
      </c>
      <c r="P39" s="17">
        <v>0</v>
      </c>
      <c r="Q39" s="11" t="s">
        <v>382</v>
      </c>
      <c r="R39" s="11" t="s">
        <v>382</v>
      </c>
      <c r="S39" s="11" t="s">
        <v>4418</v>
      </c>
      <c r="T39" s="11" t="s">
        <v>1063</v>
      </c>
      <c r="U39" s="18">
        <f>IF(ISERROR(SEARCH("null",Tabella2[[#This Row],[Patologia respiratoria nota]],1)),0,1)</f>
        <v>0</v>
      </c>
      <c r="V39" s="17">
        <f>IF(ISERROR(SEARCH("MUTA",Tabella2[[#This Row],[Patologia respiratoria nota]],1)),0,1)</f>
        <v>0</v>
      </c>
      <c r="W39" s="18">
        <f>IF(ISERROR(SEARCH("OSAS",Tabella2[[#This Row],[Patologia respiratoria nota]],1)),0,1)</f>
        <v>0</v>
      </c>
      <c r="X39" s="17">
        <f>IF(ISERROR(SEARCH("BPCO",Tabella2[[#This Row],[Patologia respiratoria nota]],1)),0,1)</f>
        <v>1</v>
      </c>
      <c r="Y39" s="17">
        <f>IF(ISERROR(SEARCH("ASMA",Tabella2[[#This Row],[Patologia respiratoria nota]],1)),0,1)</f>
        <v>0</v>
      </c>
      <c r="Z39" s="17">
        <f>IF(ISERROR(SEARCH("ASMA, OSAS",Tabella2[[#This Row],[Patologia respiratoria nota]],1)),0,1)</f>
        <v>0</v>
      </c>
      <c r="AA39" s="17">
        <f>IF(ISERROR(SEARCH("BPCO, OSAS",Tabella2[[#This Row],[Patologia respiratoria nota]],1)),0,1)</f>
        <v>0</v>
      </c>
      <c r="AB39" s="17">
        <f>IF(ISERROR(SEARCH("ASMA, BPCO, OSAS",Tabella2[[#This Row],[Patologia respiratoria nota]],1)),0,1)</f>
        <v>0</v>
      </c>
      <c r="AC39" s="15" t="s">
        <v>657</v>
      </c>
      <c r="AD39" s="19">
        <f>IF(ISERROR(SEARCH("NDD",Tabella2[[#This Row],[Tosse]],1)),0,1)</f>
        <v>0</v>
      </c>
      <c r="AE39" s="19">
        <f>IF(ISERROR(SEARCH("NEGA",Tabella2[[#This Row],[Tosse]],1)),0,1)</f>
        <v>1</v>
      </c>
      <c r="AF39" s="19">
        <f>IF(ISERROR(SEARCH("OCCASIONALMENTE",Tabella2[[#This Row],[Tosse]],1)),0,1)</f>
        <v>0</v>
      </c>
      <c r="AG39" s="19">
        <f>IF(ISERROR(SEARCH("RARAMENTE",Tabella2[[#This Row],[Tosse]],1)),0,1)</f>
        <v>0</v>
      </c>
      <c r="AH39" s="19">
        <f>IF(ISERROR(SEARCH("SI",Tabella2[[#This Row],[Tosse]],1)),0,1)</f>
        <v>0</v>
      </c>
      <c r="AI39" s="11" t="s">
        <v>5507</v>
      </c>
      <c r="AJ39" s="18">
        <f>IF(ISERROR(SEARCH("SI",Tabella2[[#This Row],[Espettorazione]],1)),0,1)</f>
        <v>1</v>
      </c>
      <c r="AK39" s="17">
        <v>0</v>
      </c>
      <c r="AL39" s="18">
        <f>IF(ISERROR(SEARCH("NDD",Tabella2[[#This Row],[Espettorazione]],1)),0,1)</f>
        <v>0</v>
      </c>
      <c r="AM39" s="11" t="s">
        <v>657</v>
      </c>
      <c r="AN39" s="17">
        <v>0</v>
      </c>
      <c r="AO39" s="11" t="s">
        <v>5477</v>
      </c>
      <c r="AP39" s="17">
        <f>IF(ISERROR(SEARCH("NEGA",Tabella2[[#This Row],[Dispnea da sforzo]],1)),0,1)</f>
        <v>0</v>
      </c>
      <c r="AQ39" s="17">
        <v>0</v>
      </c>
      <c r="AR39" s="17">
        <f>IF(ISERROR(SEARCH("LIEVI",Tabella2[[#This Row],[Dispnea da sforzo]],1)),0,1)</f>
        <v>0</v>
      </c>
      <c r="AS39" s="17">
        <f>IF(ISERROR(SEARCH("MODERATI",Tabella2[[#This Row],[Dispnea da sforzo]],1)),0,1)</f>
        <v>0</v>
      </c>
      <c r="AT39" s="17">
        <f>IF(ISERROR(SEARCH("INTENSI",Tabella2[[#This Row],[Dispnea da sforzo]],1)),0,1)</f>
        <v>0</v>
      </c>
      <c r="AU39" s="11" t="s">
        <v>657</v>
      </c>
      <c r="AV39" s="18">
        <f>IF(ISERROR(SEARCH("NEGA",Tabella2[[#This Row],[Dispnea a riposo]],1)),0,1)</f>
        <v>1</v>
      </c>
      <c r="AW39" s="18">
        <f>IF(ISERROR(SEARCH("NDD",Tabella2[[#This Row],[Dispnea a riposo]],1)),0,1)</f>
        <v>0</v>
      </c>
      <c r="AX39" s="11" t="s">
        <v>657</v>
      </c>
      <c r="AY39" s="17">
        <v>0</v>
      </c>
      <c r="AZ39" s="11" t="s">
        <v>657</v>
      </c>
      <c r="BA39" s="18">
        <v>0</v>
      </c>
      <c r="BB39" s="11" t="s">
        <v>4419</v>
      </c>
      <c r="BC39" s="17">
        <v>1</v>
      </c>
      <c r="BD39" s="11" t="s">
        <v>4420</v>
      </c>
      <c r="BE39" s="17">
        <v>1</v>
      </c>
      <c r="BF39" s="11" t="s">
        <v>4421</v>
      </c>
      <c r="BG39" s="17">
        <v>1</v>
      </c>
      <c r="BH39" s="11" t="s">
        <v>657</v>
      </c>
      <c r="BI39" s="17">
        <v>0</v>
      </c>
      <c r="BJ39" s="11">
        <v>15</v>
      </c>
      <c r="BK39" s="11" t="s">
        <v>4422</v>
      </c>
      <c r="BL39" s="18"/>
      <c r="BM39" s="18"/>
      <c r="BN39" s="18"/>
      <c r="BO39" s="18"/>
      <c r="BP39" s="18"/>
      <c r="BQ39" s="18"/>
      <c r="BR39" s="18"/>
      <c r="BS39" s="18"/>
      <c r="BT39" s="18"/>
      <c r="BU39" s="18"/>
      <c r="BV39" s="18"/>
      <c r="BW39" s="18"/>
      <c r="BX39" s="18"/>
      <c r="BY39" s="18"/>
      <c r="BZ39" s="18"/>
      <c r="CA39" s="18"/>
      <c r="CB39" s="18"/>
      <c r="CC39" s="18"/>
      <c r="CD39" s="18"/>
      <c r="CE39" s="18"/>
      <c r="CF39" s="18">
        <v>1</v>
      </c>
      <c r="CG39" s="11">
        <v>26</v>
      </c>
      <c r="CH39" s="11"/>
      <c r="CI39" s="11">
        <v>96</v>
      </c>
      <c r="CJ39" s="11">
        <v>56</v>
      </c>
      <c r="CK39" s="11" t="s">
        <v>4423</v>
      </c>
      <c r="CL39" s="11" t="s">
        <v>4424</v>
      </c>
      <c r="CM39" s="33" t="s">
        <v>5477</v>
      </c>
      <c r="CN39" s="47">
        <v>1</v>
      </c>
      <c r="CO39" s="17">
        <v>0</v>
      </c>
      <c r="CP39" s="17">
        <v>0</v>
      </c>
      <c r="CQ39" s="17">
        <v>0</v>
      </c>
      <c r="CR39" s="11" t="s">
        <v>4425</v>
      </c>
      <c r="CS39" s="11" t="s">
        <v>4425</v>
      </c>
      <c r="CT39" s="65"/>
      <c r="CU39" s="11" t="s">
        <v>4425</v>
      </c>
      <c r="CV39" s="11"/>
      <c r="CW39" s="11"/>
      <c r="CX39" s="11" t="s">
        <v>4426</v>
      </c>
      <c r="CY39" s="17">
        <v>1</v>
      </c>
      <c r="CZ39" s="11" t="s">
        <v>4150</v>
      </c>
      <c r="DA39" s="12" t="s">
        <v>4427</v>
      </c>
    </row>
    <row r="40" spans="1:105" customFormat="1" ht="42.75">
      <c r="A40" s="31">
        <v>654</v>
      </c>
      <c r="B40" s="33"/>
      <c r="C40" s="7" t="s">
        <v>4428</v>
      </c>
      <c r="D40" s="32">
        <v>17045</v>
      </c>
      <c r="E40" s="43">
        <f ca="1">_xlfn.DAYS(NOW(),Tabella2[[#This Row],[Data Nascita]])/365.25</f>
        <v>78.926762491444222</v>
      </c>
      <c r="F40" s="33" t="s">
        <v>4429</v>
      </c>
      <c r="G40" s="33" t="s">
        <v>4430</v>
      </c>
      <c r="H40" s="33" t="s">
        <v>4431</v>
      </c>
      <c r="I40" s="33" t="s">
        <v>3948</v>
      </c>
      <c r="J40" s="33" t="s">
        <v>4432</v>
      </c>
      <c r="K40" s="33"/>
      <c r="L40" s="33"/>
      <c r="M40" s="33"/>
      <c r="N40" s="33"/>
      <c r="O40" s="47" t="s">
        <v>5412</v>
      </c>
      <c r="P40" s="47">
        <v>0</v>
      </c>
      <c r="Q40" s="33" t="s">
        <v>8</v>
      </c>
      <c r="R40" s="33" t="s">
        <v>8</v>
      </c>
      <c r="S40" s="33" t="s">
        <v>4433</v>
      </c>
      <c r="T40" s="33" t="s">
        <v>1063</v>
      </c>
      <c r="U40" s="47">
        <f>IF(ISERROR(SEARCH("null",Tabella2[[#This Row],[Patologia respiratoria nota]],1)),0,1)</f>
        <v>0</v>
      </c>
      <c r="V40" s="47">
        <f>IF(ISERROR(SEARCH("MUTA",Tabella2[[#This Row],[Patologia respiratoria nota]],1)),0,1)</f>
        <v>0</v>
      </c>
      <c r="W40" s="47">
        <f>IF(ISERROR(SEARCH("OSAS",Tabella2[[#This Row],[Patologia respiratoria nota]],1)),0,1)</f>
        <v>0</v>
      </c>
      <c r="X40" s="47">
        <f>IF(ISERROR(SEARCH("BPCO",Tabella2[[#This Row],[Patologia respiratoria nota]],1)),0,1)</f>
        <v>1</v>
      </c>
      <c r="Y40" s="47">
        <f>IF(ISERROR(SEARCH("ASMA",Tabella2[[#This Row],[Patologia respiratoria nota]],1)),0,1)</f>
        <v>0</v>
      </c>
      <c r="Z40" s="47">
        <f>IF(ISERROR(SEARCH("ASMA, OSAS",Tabella2[[#This Row],[Patologia respiratoria nota]],1)),0,1)</f>
        <v>0</v>
      </c>
      <c r="AA40" s="47">
        <f>IF(ISERROR(SEARCH("BPCO, OSAS",Tabella2[[#This Row],[Patologia respiratoria nota]],1)),0,1)</f>
        <v>0</v>
      </c>
      <c r="AB40" s="47">
        <f>IF(ISERROR(SEARCH("ASMA, BPCO, OSAS",Tabella2[[#This Row],[Patologia respiratoria nota]],1)),0,1)</f>
        <v>0</v>
      </c>
      <c r="AC40" s="41" t="s">
        <v>657</v>
      </c>
      <c r="AD40" s="48">
        <f>IF(ISERROR(SEARCH("NDD",Tabella2[[#This Row],[Tosse]],1)),0,1)</f>
        <v>0</v>
      </c>
      <c r="AE40" s="48">
        <f>IF(ISERROR(SEARCH("NEGA",Tabella2[[#This Row],[Tosse]],1)),0,1)</f>
        <v>1</v>
      </c>
      <c r="AF40" s="48">
        <f>IF(ISERROR(SEARCH("OCCASIONALMENTE",Tabella2[[#This Row],[Tosse]],1)),0,1)</f>
        <v>0</v>
      </c>
      <c r="AG40" s="48">
        <f>IF(ISERROR(SEARCH("RARAMENTE",Tabella2[[#This Row],[Tosse]],1)),0,1)</f>
        <v>0</v>
      </c>
      <c r="AH40" s="48">
        <f>IF(ISERROR(SEARCH("SI",Tabella2[[#This Row],[Tosse]],1)),0,1)</f>
        <v>0</v>
      </c>
      <c r="AI40" s="33" t="s">
        <v>657</v>
      </c>
      <c r="AJ40" s="47">
        <f>IF(ISERROR(SEARCH("SI",Tabella2[[#This Row],[Espettorazione]],1)),0,1)</f>
        <v>0</v>
      </c>
      <c r="AK40" s="47">
        <f>IF(ISERROR(SEARCH("NEGA",Tabella2[[#This Row],[Espettorazione]],1)),0,1)</f>
        <v>1</v>
      </c>
      <c r="AL40" s="47">
        <f>IF(ISERROR(SEARCH("NDD",Tabella2[[#This Row],[Espettorazione]],1)),0,1)</f>
        <v>0</v>
      </c>
      <c r="AM40" s="33" t="s">
        <v>657</v>
      </c>
      <c r="AN40" s="47">
        <v>0</v>
      </c>
      <c r="AO40" s="33" t="s">
        <v>5525</v>
      </c>
      <c r="AP40" s="47">
        <f>IF(ISERROR(SEARCH("NEGA",Tabella2[[#This Row],[Dispnea da sforzo]],1)),0,1)</f>
        <v>0</v>
      </c>
      <c r="AQ40" s="47">
        <f>IF(ISERROR(SEARCH("NEGA",Tabella2[[#This Row],[Dispnea da sforzo]],1)),1,0)</f>
        <v>1</v>
      </c>
      <c r="AR40" s="47">
        <f>IF(ISERROR(SEARCH("LIEVI",Tabella2[[#This Row],[Dispnea da sforzo]],1)),0,1)</f>
        <v>1</v>
      </c>
      <c r="AS40" s="47">
        <f>IF(ISERROR(SEARCH("MODERATI",Tabella2[[#This Row],[Dispnea da sforzo]],1)),0,1)</f>
        <v>0</v>
      </c>
      <c r="AT40" s="47">
        <f>IF(ISERROR(SEARCH("INTENSI",Tabella2[[#This Row],[Dispnea da sforzo]],1)),0,1)</f>
        <v>0</v>
      </c>
      <c r="AU40" s="33" t="s">
        <v>657</v>
      </c>
      <c r="AV40" s="47">
        <f>IF(ISERROR(SEARCH("NEGA",Tabella2[[#This Row],[Dispnea a riposo]],1)),0,1)</f>
        <v>1</v>
      </c>
      <c r="AW40" s="47">
        <f>IF(ISERROR(SEARCH("NDD",Tabella2[[#This Row],[Dispnea a riposo]],1)),0,1)</f>
        <v>0</v>
      </c>
      <c r="AX40" s="33" t="s">
        <v>5477</v>
      </c>
      <c r="AY40" s="46">
        <v>0</v>
      </c>
      <c r="AZ40" s="33" t="s">
        <v>272</v>
      </c>
      <c r="BA40" s="17">
        <v>1</v>
      </c>
      <c r="BB40" s="7" t="s">
        <v>657</v>
      </c>
      <c r="BC40" s="17">
        <v>0</v>
      </c>
      <c r="BD40" s="33" t="s">
        <v>28</v>
      </c>
      <c r="BE40" s="17">
        <v>1</v>
      </c>
      <c r="BF40" s="33" t="s">
        <v>4434</v>
      </c>
      <c r="BG40" s="17">
        <v>1</v>
      </c>
      <c r="BH40" s="33" t="s">
        <v>657</v>
      </c>
      <c r="BI40" s="17">
        <v>0</v>
      </c>
      <c r="BJ40" s="33">
        <v>12</v>
      </c>
      <c r="BK40" s="33" t="s">
        <v>4435</v>
      </c>
      <c r="BL40" s="47"/>
      <c r="BM40" s="47"/>
      <c r="BN40" s="47"/>
      <c r="BO40" s="47"/>
      <c r="BP40" s="47"/>
      <c r="BQ40" s="47"/>
      <c r="BR40" s="47"/>
      <c r="BS40" s="47"/>
      <c r="BT40" s="47"/>
      <c r="BU40" s="47"/>
      <c r="BV40" s="47"/>
      <c r="BW40" s="47"/>
      <c r="BX40" s="47"/>
      <c r="BY40" s="47">
        <v>1</v>
      </c>
      <c r="BZ40" s="47"/>
      <c r="CA40" s="47"/>
      <c r="CB40" s="47"/>
      <c r="CC40" s="47"/>
      <c r="CD40" s="47"/>
      <c r="CE40" s="47"/>
      <c r="CF40" s="47"/>
      <c r="CG40" s="33">
        <v>33.5</v>
      </c>
      <c r="CH40" s="33"/>
      <c r="CI40" s="33">
        <v>94</v>
      </c>
      <c r="CJ40" s="33">
        <v>72</v>
      </c>
      <c r="CK40" s="33" t="s">
        <v>4436</v>
      </c>
      <c r="CL40" s="33" t="s">
        <v>4437</v>
      </c>
      <c r="CM40" s="33" t="s">
        <v>3914</v>
      </c>
      <c r="CN40" s="17">
        <v>0</v>
      </c>
      <c r="CO40" s="17">
        <v>1</v>
      </c>
      <c r="CP40" s="17">
        <v>0</v>
      </c>
      <c r="CQ40" s="17">
        <v>0</v>
      </c>
      <c r="CR40" s="33" t="s">
        <v>4438</v>
      </c>
      <c r="CS40" s="33" t="s">
        <v>71</v>
      </c>
      <c r="CT40" s="66">
        <v>0.97</v>
      </c>
      <c r="CU40" s="33" t="s">
        <v>4439</v>
      </c>
      <c r="CV40" s="33"/>
      <c r="CW40" s="33"/>
      <c r="CX40" s="33" t="s">
        <v>301</v>
      </c>
      <c r="CY40" s="17">
        <v>1</v>
      </c>
      <c r="CZ40" s="33" t="s">
        <v>4068</v>
      </c>
      <c r="DA40" s="34" t="s">
        <v>4440</v>
      </c>
    </row>
    <row r="41" spans="1:105" ht="28.5">
      <c r="A41" s="9">
        <v>656</v>
      </c>
      <c r="B41" s="10">
        <v>44532</v>
      </c>
      <c r="C41" s="11" t="s">
        <v>4441</v>
      </c>
      <c r="D41" s="10">
        <v>16763</v>
      </c>
      <c r="E41" s="52">
        <f ca="1">_xlfn.DAYS(NOW(),Tabella2[[#This Row],[Data Nascita]])/365.25</f>
        <v>79.698836413415464</v>
      </c>
      <c r="F41" s="11" t="s">
        <v>4155</v>
      </c>
      <c r="G41" s="11" t="s">
        <v>4156</v>
      </c>
      <c r="H41" s="11" t="s">
        <v>4442</v>
      </c>
      <c r="I41" s="11" t="s">
        <v>4443</v>
      </c>
      <c r="J41" s="11" t="s">
        <v>4444</v>
      </c>
      <c r="K41" s="11"/>
      <c r="L41" s="11"/>
      <c r="M41" s="11"/>
      <c r="N41" s="11"/>
      <c r="O41" s="17" t="s">
        <v>5412</v>
      </c>
      <c r="P41" s="17">
        <v>0</v>
      </c>
      <c r="Q41" s="11" t="s">
        <v>8</v>
      </c>
      <c r="R41" s="11" t="s">
        <v>8</v>
      </c>
      <c r="S41" s="11" t="s">
        <v>4445</v>
      </c>
      <c r="T41" s="11" t="s">
        <v>439</v>
      </c>
      <c r="U41" s="18">
        <f>IF(ISERROR(SEARCH("null",Tabella2[[#This Row],[Patologia respiratoria nota]],1)),0,1)</f>
        <v>0</v>
      </c>
      <c r="V41" s="17">
        <f>IF(ISERROR(SEARCH("MUTA",Tabella2[[#This Row],[Patologia respiratoria nota]],1)),0,1)</f>
        <v>0</v>
      </c>
      <c r="W41" s="18">
        <f>IF(ISERROR(SEARCH("OSAS",Tabella2[[#This Row],[Patologia respiratoria nota]],1)),0,1)</f>
        <v>1</v>
      </c>
      <c r="X41" s="17">
        <f>IF(ISERROR(SEARCH("BPCO",Tabella2[[#This Row],[Patologia respiratoria nota]],1)),0,1)</f>
        <v>0</v>
      </c>
      <c r="Y41" s="17">
        <f>IF(ISERROR(SEARCH("ASMA",Tabella2[[#This Row],[Patologia respiratoria nota]],1)),0,1)</f>
        <v>0</v>
      </c>
      <c r="Z41" s="17">
        <f>IF(ISERROR(SEARCH("ASMA, OSAS",Tabella2[[#This Row],[Patologia respiratoria nota]],1)),0,1)</f>
        <v>0</v>
      </c>
      <c r="AA41" s="17">
        <f>IF(ISERROR(SEARCH("BPCO, OSAS",Tabella2[[#This Row],[Patologia respiratoria nota]],1)),0,1)</f>
        <v>0</v>
      </c>
      <c r="AB41" s="17">
        <f>IF(ISERROR(SEARCH("ASMA, BPCO, OSAS",Tabella2[[#This Row],[Patologia respiratoria nota]],1)),0,1)</f>
        <v>0</v>
      </c>
      <c r="AC41" s="15" t="s">
        <v>657</v>
      </c>
      <c r="AD41" s="19">
        <f>IF(ISERROR(SEARCH("NDD",Tabella2[[#This Row],[Tosse]],1)),0,1)</f>
        <v>0</v>
      </c>
      <c r="AE41" s="19">
        <f>IF(ISERROR(SEARCH("NEGA",Tabella2[[#This Row],[Tosse]],1)),0,1)</f>
        <v>1</v>
      </c>
      <c r="AF41" s="19">
        <f>IF(ISERROR(SEARCH("OCCASIONALMENTE",Tabella2[[#This Row],[Tosse]],1)),0,1)</f>
        <v>0</v>
      </c>
      <c r="AG41" s="19">
        <f>IF(ISERROR(SEARCH("RARAMENTE",Tabella2[[#This Row],[Tosse]],1)),0,1)</f>
        <v>0</v>
      </c>
      <c r="AH41" s="19">
        <f>IF(ISERROR(SEARCH("SI",Tabella2[[#This Row],[Tosse]],1)),0,1)</f>
        <v>0</v>
      </c>
      <c r="AI41" s="11" t="s">
        <v>657</v>
      </c>
      <c r="AJ41" s="18">
        <f>IF(ISERROR(SEARCH("SI",Tabella2[[#This Row],[Espettorazione]],1)),0,1)</f>
        <v>0</v>
      </c>
      <c r="AK41" s="18">
        <f>IF(ISERROR(SEARCH("NEGA",Tabella2[[#This Row],[Espettorazione]],1)),0,1)</f>
        <v>1</v>
      </c>
      <c r="AL41" s="18">
        <f>IF(ISERROR(SEARCH("NDD",Tabella2[[#This Row],[Espettorazione]],1)),0,1)</f>
        <v>0</v>
      </c>
      <c r="AM41" s="11" t="s">
        <v>657</v>
      </c>
      <c r="AN41" s="17">
        <v>0</v>
      </c>
      <c r="AO41" s="11" t="s">
        <v>5526</v>
      </c>
      <c r="AP41" s="17">
        <f>IF(ISERROR(SEARCH("NEGA",Tabella2[[#This Row],[Dispnea da sforzo]],1)),0,1)</f>
        <v>0</v>
      </c>
      <c r="AQ41" s="17">
        <f>IF(ISERROR(SEARCH("NEGA",Tabella2[[#This Row],[Dispnea da sforzo]],1)),1,0)</f>
        <v>1</v>
      </c>
      <c r="AR41" s="17">
        <f>IF(ISERROR(SEARCH("LIEVI",Tabella2[[#This Row],[Dispnea da sforzo]],1)),0,1)</f>
        <v>1</v>
      </c>
      <c r="AS41" s="17">
        <f>IF(ISERROR(SEARCH("MODERATI",Tabella2[[#This Row],[Dispnea da sforzo]],1)),0,1)</f>
        <v>0</v>
      </c>
      <c r="AT41" s="17">
        <f>IF(ISERROR(SEARCH("INTENSI",Tabella2[[#This Row],[Dispnea da sforzo]],1)),0,1)</f>
        <v>0</v>
      </c>
      <c r="AU41" s="11" t="s">
        <v>657</v>
      </c>
      <c r="AV41" s="18">
        <f>IF(ISERROR(SEARCH("NEGA",Tabella2[[#This Row],[Dispnea a riposo]],1)),0,1)</f>
        <v>1</v>
      </c>
      <c r="AW41" s="18">
        <f>IF(ISERROR(SEARCH("NDD",Tabella2[[#This Row],[Dispnea a riposo]],1)),0,1)</f>
        <v>0</v>
      </c>
      <c r="AX41" s="11" t="s">
        <v>657</v>
      </c>
      <c r="AY41" s="17">
        <v>0</v>
      </c>
      <c r="AZ41" s="11" t="s">
        <v>657</v>
      </c>
      <c r="BA41" s="18">
        <v>0</v>
      </c>
      <c r="BB41" s="11" t="s">
        <v>4446</v>
      </c>
      <c r="BC41" s="17">
        <v>1</v>
      </c>
      <c r="BD41" s="11" t="s">
        <v>301</v>
      </c>
      <c r="BE41" s="17">
        <v>1</v>
      </c>
      <c r="BF41" s="11" t="s">
        <v>4447</v>
      </c>
      <c r="BG41" s="17">
        <v>1</v>
      </c>
      <c r="BH41" s="11" t="s">
        <v>657</v>
      </c>
      <c r="BI41" s="17">
        <v>0</v>
      </c>
      <c r="BJ41" s="11">
        <v>15</v>
      </c>
      <c r="BK41" s="11" t="s">
        <v>4448</v>
      </c>
      <c r="BL41" s="18"/>
      <c r="BM41" s="18"/>
      <c r="BN41" s="18"/>
      <c r="BO41" s="18"/>
      <c r="BP41" s="18">
        <v>1</v>
      </c>
      <c r="BQ41" s="18">
        <v>1</v>
      </c>
      <c r="BR41" s="18"/>
      <c r="BS41" s="18">
        <v>1</v>
      </c>
      <c r="BT41" s="18"/>
      <c r="BU41" s="18"/>
      <c r="BV41" s="18"/>
      <c r="BW41" s="18"/>
      <c r="BX41" s="18"/>
      <c r="BY41" s="18"/>
      <c r="BZ41" s="18"/>
      <c r="CA41" s="18"/>
      <c r="CB41" s="18"/>
      <c r="CC41" s="18"/>
      <c r="CD41" s="18"/>
      <c r="CE41" s="18"/>
      <c r="CF41" s="18"/>
      <c r="CG41" s="11">
        <v>33</v>
      </c>
      <c r="CH41" s="11"/>
      <c r="CI41" s="11">
        <v>98</v>
      </c>
      <c r="CJ41" s="11">
        <v>62</v>
      </c>
      <c r="CK41" s="11" t="s">
        <v>4449</v>
      </c>
      <c r="CL41" s="11" t="s">
        <v>4450</v>
      </c>
      <c r="CM41" s="11" t="s">
        <v>3914</v>
      </c>
      <c r="CN41" s="17">
        <v>0</v>
      </c>
      <c r="CO41" s="17">
        <v>1</v>
      </c>
      <c r="CP41" s="17">
        <v>0</v>
      </c>
      <c r="CQ41" s="17">
        <v>0</v>
      </c>
      <c r="CR41" s="11" t="s">
        <v>4451</v>
      </c>
      <c r="CS41" s="11" t="s">
        <v>1181</v>
      </c>
      <c r="CT41" s="65">
        <v>1</v>
      </c>
      <c r="CU41" s="11" t="s">
        <v>4452</v>
      </c>
      <c r="CV41" s="11"/>
      <c r="CW41" s="11"/>
      <c r="CX41" s="11" t="s">
        <v>4453</v>
      </c>
      <c r="CY41" s="17">
        <v>1</v>
      </c>
      <c r="CZ41" s="11" t="s">
        <v>4068</v>
      </c>
      <c r="DA41" s="12" t="s">
        <v>4454</v>
      </c>
    </row>
    <row r="42" spans="1:105" ht="71.25">
      <c r="A42" s="5">
        <v>670</v>
      </c>
      <c r="B42" s="6">
        <v>44539</v>
      </c>
      <c r="C42" s="7" t="s">
        <v>4455</v>
      </c>
      <c r="D42" s="6">
        <v>22820</v>
      </c>
      <c r="E42" s="51">
        <f ca="1">_xlfn.DAYS(NOW(),Tabella2[[#This Row],[Data Nascita]])/365.25</f>
        <v>63.115674195756334</v>
      </c>
      <c r="F42" s="7" t="s">
        <v>4456</v>
      </c>
      <c r="G42" s="7" t="s">
        <v>4457</v>
      </c>
      <c r="H42" s="7" t="s">
        <v>4458</v>
      </c>
      <c r="I42" s="7" t="s">
        <v>473</v>
      </c>
      <c r="J42" s="7" t="s">
        <v>4459</v>
      </c>
      <c r="K42" s="7"/>
      <c r="L42" s="7"/>
      <c r="M42" s="7"/>
      <c r="N42" s="7" t="s">
        <v>8</v>
      </c>
      <c r="O42" s="17">
        <v>0</v>
      </c>
      <c r="P42" s="17">
        <v>1</v>
      </c>
      <c r="Q42" s="7" t="s">
        <v>8</v>
      </c>
      <c r="R42" s="7" t="s">
        <v>8</v>
      </c>
      <c r="S42" s="7" t="s">
        <v>4460</v>
      </c>
      <c r="T42" s="7" t="s">
        <v>4461</v>
      </c>
      <c r="U42" s="17">
        <f>IF(ISERROR(SEARCH("null",Tabella2[[#This Row],[Patologia respiratoria nota]],1)),0,1)</f>
        <v>0</v>
      </c>
      <c r="V42" s="17">
        <f>IF(ISERROR(SEARCH("MUTA",Tabella2[[#This Row],[Patologia respiratoria nota]],1)),0,1)</f>
        <v>0</v>
      </c>
      <c r="W42" s="17">
        <f>IF(ISERROR(SEARCH("OSAS",Tabella2[[#This Row],[Patologia respiratoria nota]],1)),0,1)</f>
        <v>0</v>
      </c>
      <c r="X42" s="17">
        <f>IF(ISERROR(SEARCH("BPCO",Tabella2[[#This Row],[Patologia respiratoria nota]],1)),0,1)</f>
        <v>0</v>
      </c>
      <c r="Y42" s="17">
        <f>IF(ISERROR(SEARCH("ASMA",Tabella2[[#This Row],[Patologia respiratoria nota]],1)),0,1)</f>
        <v>0</v>
      </c>
      <c r="Z42" s="17">
        <f>IF(ISERROR(SEARCH("ASMA, OSAS",Tabella2[[#This Row],[Patologia respiratoria nota]],1)),0,1)</f>
        <v>0</v>
      </c>
      <c r="AA42" s="17">
        <f>IF(ISERROR(SEARCH("BPCO, OSAS",Tabella2[[#This Row],[Patologia respiratoria nota]],1)),0,1)</f>
        <v>0</v>
      </c>
      <c r="AB42" s="17">
        <f>IF(ISERROR(SEARCH("ASMA, BPCO, OSAS",Tabella2[[#This Row],[Patologia respiratoria nota]],1)),0,1)</f>
        <v>0</v>
      </c>
      <c r="AC42" s="15" t="s">
        <v>657</v>
      </c>
      <c r="AD42" s="19">
        <f>IF(ISERROR(SEARCH("NDD",Tabella2[[#This Row],[Tosse]],1)),0,1)</f>
        <v>0</v>
      </c>
      <c r="AE42" s="19">
        <f>IF(ISERROR(SEARCH("NEGA",Tabella2[[#This Row],[Tosse]],1)),0,1)</f>
        <v>1</v>
      </c>
      <c r="AF42" s="19">
        <f>IF(ISERROR(SEARCH("OCCASIONALMENTE",Tabella2[[#This Row],[Tosse]],1)),0,1)</f>
        <v>0</v>
      </c>
      <c r="AG42" s="19">
        <f>IF(ISERROR(SEARCH("RARAMENTE",Tabella2[[#This Row],[Tosse]],1)),0,1)</f>
        <v>0</v>
      </c>
      <c r="AH42" s="19">
        <f>IF(ISERROR(SEARCH("SI",Tabella2[[#This Row],[Tosse]],1)),0,1)</f>
        <v>0</v>
      </c>
      <c r="AI42" s="7" t="s">
        <v>657</v>
      </c>
      <c r="AJ42" s="17">
        <f>IF(ISERROR(SEARCH("SI",Tabella2[[#This Row],[Espettorazione]],1)),0,1)</f>
        <v>0</v>
      </c>
      <c r="AK42" s="17">
        <f>IF(ISERROR(SEARCH("NEGA",Tabella2[[#This Row],[Espettorazione]],1)),0,1)</f>
        <v>1</v>
      </c>
      <c r="AL42" s="17">
        <f>IF(ISERROR(SEARCH("NDD",Tabella2[[#This Row],[Espettorazione]],1)),0,1)</f>
        <v>0</v>
      </c>
      <c r="AM42" s="7" t="s">
        <v>657</v>
      </c>
      <c r="AN42" s="17">
        <v>0</v>
      </c>
      <c r="AO42" s="7" t="s">
        <v>5527</v>
      </c>
      <c r="AP42" s="17">
        <f>IF(ISERROR(SEARCH("NEGA",Tabella2[[#This Row],[Dispnea da sforzo]],1)),0,1)</f>
        <v>0</v>
      </c>
      <c r="AQ42" s="17">
        <f>IF(ISERROR(SEARCH("NEGA",Tabella2[[#This Row],[Dispnea da sforzo]],1)),1,0)</f>
        <v>1</v>
      </c>
      <c r="AR42" s="17">
        <f>IF(ISERROR(SEARCH("LIEVI",Tabella2[[#This Row],[Dispnea da sforzo]],1)),0,1)</f>
        <v>1</v>
      </c>
      <c r="AS42" s="17">
        <f>IF(ISERROR(SEARCH("MODERATI",Tabella2[[#This Row],[Dispnea da sforzo]],1)),0,1)</f>
        <v>0</v>
      </c>
      <c r="AT42" s="17">
        <f>IF(ISERROR(SEARCH("INTENSI",Tabella2[[#This Row],[Dispnea da sforzo]],1)),0,1)</f>
        <v>0</v>
      </c>
      <c r="AU42" s="7" t="s">
        <v>657</v>
      </c>
      <c r="AV42" s="17">
        <f>IF(ISERROR(SEARCH("NEGA",Tabella2[[#This Row],[Dispnea a riposo]],1)),0,1)</f>
        <v>1</v>
      </c>
      <c r="AW42" s="17">
        <f>IF(ISERROR(SEARCH("NDD",Tabella2[[#This Row],[Dispnea a riposo]],1)),0,1)</f>
        <v>0</v>
      </c>
      <c r="AX42" s="7" t="s">
        <v>657</v>
      </c>
      <c r="AY42" s="17">
        <v>0</v>
      </c>
      <c r="AZ42" s="7" t="s">
        <v>5586</v>
      </c>
      <c r="BA42" s="18">
        <v>0</v>
      </c>
      <c r="BB42" s="7" t="s">
        <v>657</v>
      </c>
      <c r="BC42" s="17">
        <v>0</v>
      </c>
      <c r="BD42" s="7" t="s">
        <v>4462</v>
      </c>
      <c r="BE42" s="17">
        <v>1</v>
      </c>
      <c r="BF42" s="7" t="s">
        <v>4463</v>
      </c>
      <c r="BG42" s="17">
        <v>1</v>
      </c>
      <c r="BH42" s="7" t="s">
        <v>4464</v>
      </c>
      <c r="BI42" s="18">
        <v>1</v>
      </c>
      <c r="BJ42" s="7">
        <v>18</v>
      </c>
      <c r="BK42" s="7" t="s">
        <v>4465</v>
      </c>
      <c r="BL42" s="17"/>
      <c r="BM42" s="17"/>
      <c r="BN42" s="17"/>
      <c r="BO42" s="17"/>
      <c r="BP42" s="17">
        <v>1</v>
      </c>
      <c r="BQ42" s="17">
        <v>1</v>
      </c>
      <c r="BR42" s="17"/>
      <c r="BS42" s="17"/>
      <c r="BT42" s="17"/>
      <c r="BU42" s="17"/>
      <c r="BV42" s="17">
        <v>1</v>
      </c>
      <c r="BW42" s="17"/>
      <c r="BX42" s="17"/>
      <c r="BY42" s="17"/>
      <c r="BZ42" s="17"/>
      <c r="CA42" s="17"/>
      <c r="CB42" s="17"/>
      <c r="CC42" s="17"/>
      <c r="CD42" s="17"/>
      <c r="CE42" s="17"/>
      <c r="CF42" s="17"/>
      <c r="CG42" s="7">
        <v>22</v>
      </c>
      <c r="CH42" s="7"/>
      <c r="CI42" s="7">
        <v>96</v>
      </c>
      <c r="CJ42" s="7">
        <v>95</v>
      </c>
      <c r="CK42" s="7" t="s">
        <v>4466</v>
      </c>
      <c r="CL42" s="7" t="s">
        <v>4467</v>
      </c>
      <c r="CM42" s="7" t="s">
        <v>3997</v>
      </c>
      <c r="CN42" s="17">
        <v>0</v>
      </c>
      <c r="CO42" s="17">
        <v>1</v>
      </c>
      <c r="CP42" s="17">
        <v>0</v>
      </c>
      <c r="CQ42" s="17">
        <v>0</v>
      </c>
      <c r="CR42" s="7" t="s">
        <v>4438</v>
      </c>
      <c r="CS42" s="7" t="s">
        <v>4468</v>
      </c>
      <c r="CT42" s="64">
        <v>0.68889999999999996</v>
      </c>
      <c r="CU42" s="7" t="s">
        <v>4469</v>
      </c>
      <c r="CV42" s="7"/>
      <c r="CW42" s="7"/>
      <c r="CX42" s="7" t="s">
        <v>4470</v>
      </c>
      <c r="CY42" s="17">
        <v>1</v>
      </c>
      <c r="CZ42" s="7" t="s">
        <v>4471</v>
      </c>
      <c r="DA42" s="8" t="s">
        <v>4472</v>
      </c>
    </row>
    <row r="43" spans="1:105" ht="171">
      <c r="A43" s="9">
        <v>672</v>
      </c>
      <c r="B43" s="10">
        <v>44540</v>
      </c>
      <c r="C43" s="11" t="s">
        <v>4019</v>
      </c>
      <c r="D43" s="10">
        <v>19676</v>
      </c>
      <c r="E43" s="52">
        <f ca="1">_xlfn.DAYS(NOW(),Tabella2[[#This Row],[Data Nascita]])/365.25</f>
        <v>71.723477070499655</v>
      </c>
      <c r="F43" s="11" t="s">
        <v>4020</v>
      </c>
      <c r="G43" s="11" t="s">
        <v>4021</v>
      </c>
      <c r="H43" s="11" t="s">
        <v>4473</v>
      </c>
      <c r="I43" s="11" t="s">
        <v>4474</v>
      </c>
      <c r="J43" s="11" t="s">
        <v>4475</v>
      </c>
      <c r="K43" s="11"/>
      <c r="L43" s="11"/>
      <c r="M43" s="11"/>
      <c r="N43" s="11" t="s">
        <v>8</v>
      </c>
      <c r="O43" s="17">
        <v>0</v>
      </c>
      <c r="P43" s="17">
        <v>1</v>
      </c>
      <c r="Q43" s="11" t="s">
        <v>8</v>
      </c>
      <c r="R43" s="11" t="s">
        <v>8</v>
      </c>
      <c r="S43" s="11" t="s">
        <v>4476</v>
      </c>
      <c r="T43" s="11" t="s">
        <v>4477</v>
      </c>
      <c r="U43" s="18">
        <f>IF(ISERROR(SEARCH("null",Tabella2[[#This Row],[Patologia respiratoria nota]],1)),0,1)</f>
        <v>0</v>
      </c>
      <c r="V43" s="17">
        <f>IF(ISERROR(SEARCH("MUTA",Tabella2[[#This Row],[Patologia respiratoria nota]],1)),0,1)</f>
        <v>0</v>
      </c>
      <c r="W43" s="18">
        <f>IF(ISERROR(SEARCH("OSAS",Tabella2[[#This Row],[Patologia respiratoria nota]],1)),0,1)</f>
        <v>1</v>
      </c>
      <c r="X43" s="17">
        <f>IF(ISERROR(SEARCH("BPCO",Tabella2[[#This Row],[Patologia respiratoria nota]],1)),0,1)</f>
        <v>0</v>
      </c>
      <c r="Y43" s="17">
        <f>IF(ISERROR(SEARCH("ASMA",Tabella2[[#This Row],[Patologia respiratoria nota]],1)),0,1)</f>
        <v>0</v>
      </c>
      <c r="Z43" s="17">
        <f>IF(ISERROR(SEARCH("ASMA, OSAS",Tabella2[[#This Row],[Patologia respiratoria nota]],1)),0,1)</f>
        <v>0</v>
      </c>
      <c r="AA43" s="17">
        <f>IF(ISERROR(SEARCH("BPCO, OSAS",Tabella2[[#This Row],[Patologia respiratoria nota]],1)),0,1)</f>
        <v>0</v>
      </c>
      <c r="AB43" s="17">
        <f>IF(ISERROR(SEARCH("ASMA, BPCO, OSAS",Tabella2[[#This Row],[Patologia respiratoria nota]],1)),0,1)</f>
        <v>0</v>
      </c>
      <c r="AC43" s="15" t="s">
        <v>657</v>
      </c>
      <c r="AD43" s="19">
        <f>IF(ISERROR(SEARCH("NDD",Tabella2[[#This Row],[Tosse]],1)),0,1)</f>
        <v>0</v>
      </c>
      <c r="AE43" s="19">
        <f>IF(ISERROR(SEARCH("NEGA",Tabella2[[#This Row],[Tosse]],1)),0,1)</f>
        <v>1</v>
      </c>
      <c r="AF43" s="19">
        <f>IF(ISERROR(SEARCH("OCCASIONALMENTE",Tabella2[[#This Row],[Tosse]],1)),0,1)</f>
        <v>0</v>
      </c>
      <c r="AG43" s="19">
        <f>IF(ISERROR(SEARCH("RARAMENTE",Tabella2[[#This Row],[Tosse]],1)),0,1)</f>
        <v>0</v>
      </c>
      <c r="AH43" s="19">
        <f>IF(ISERROR(SEARCH("SI",Tabella2[[#This Row],[Tosse]],1)),0,1)</f>
        <v>0</v>
      </c>
      <c r="AI43" s="11" t="s">
        <v>5500</v>
      </c>
      <c r="AJ43" s="18">
        <f>IF(ISERROR(SEARCH("SI",Tabella2[[#This Row],[Espettorazione]],1)),0,1)</f>
        <v>1</v>
      </c>
      <c r="AK43" s="17">
        <v>0</v>
      </c>
      <c r="AL43" s="18">
        <f>IF(ISERROR(SEARCH("NDD",Tabella2[[#This Row],[Espettorazione]],1)),0,1)</f>
        <v>0</v>
      </c>
      <c r="AM43" s="11" t="s">
        <v>4478</v>
      </c>
      <c r="AN43" s="17">
        <v>1</v>
      </c>
      <c r="AO43" s="11" t="s">
        <v>5550</v>
      </c>
      <c r="AP43" s="17">
        <f>IF(ISERROR(SEARCH("NEGA",Tabella2[[#This Row],[Dispnea da sforzo]],1)),0,1)</f>
        <v>0</v>
      </c>
      <c r="AQ43" s="17">
        <f>IF(ISERROR(SEARCH("NEGA",Tabella2[[#This Row],[Dispnea da sforzo]],1)),1,0)</f>
        <v>1</v>
      </c>
      <c r="AR43" s="17">
        <f>IF(ISERROR(SEARCH("LIEVI",Tabella2[[#This Row],[Dispnea da sforzo]],1)),0,1)</f>
        <v>1</v>
      </c>
      <c r="AS43" s="17">
        <f>IF(ISERROR(SEARCH("MODERATI",Tabella2[[#This Row],[Dispnea da sforzo]],1)),0,1)</f>
        <v>1</v>
      </c>
      <c r="AT43" s="17">
        <f>IF(ISERROR(SEARCH("INTENSI",Tabella2[[#This Row],[Dispnea da sforzo]],1)),0,1)</f>
        <v>0</v>
      </c>
      <c r="AU43" s="11" t="s">
        <v>657</v>
      </c>
      <c r="AV43" s="18">
        <f>IF(ISERROR(SEARCH("NEGA",Tabella2[[#This Row],[Dispnea a riposo]],1)),0,1)</f>
        <v>1</v>
      </c>
      <c r="AW43" s="18">
        <f>IF(ISERROR(SEARCH("NDD",Tabella2[[#This Row],[Dispnea a riposo]],1)),0,1)</f>
        <v>0</v>
      </c>
      <c r="AX43" s="11" t="s">
        <v>657</v>
      </c>
      <c r="AY43" s="17">
        <v>0</v>
      </c>
      <c r="AZ43" s="11" t="s">
        <v>4479</v>
      </c>
      <c r="BA43" s="17">
        <v>1</v>
      </c>
      <c r="BB43" s="11" t="s">
        <v>611</v>
      </c>
      <c r="BC43" s="17">
        <v>1</v>
      </c>
      <c r="BD43" s="11" t="s">
        <v>4480</v>
      </c>
      <c r="BE43" s="17">
        <v>1</v>
      </c>
      <c r="BF43" s="11" t="s">
        <v>4481</v>
      </c>
      <c r="BG43" s="17">
        <v>1</v>
      </c>
      <c r="BH43" s="11" t="s">
        <v>657</v>
      </c>
      <c r="BI43" s="17">
        <v>0</v>
      </c>
      <c r="BJ43" s="11">
        <v>15</v>
      </c>
      <c r="BK43" s="11" t="s">
        <v>7659</v>
      </c>
      <c r="BL43" s="18"/>
      <c r="BM43" s="18"/>
      <c r="BN43" s="18"/>
      <c r="BO43" s="18">
        <v>1</v>
      </c>
      <c r="BP43" s="18">
        <v>1</v>
      </c>
      <c r="BQ43" s="18">
        <v>1</v>
      </c>
      <c r="BR43" s="18"/>
      <c r="BS43" s="18"/>
      <c r="BT43" s="18"/>
      <c r="BU43" s="18"/>
      <c r="BV43" s="18">
        <v>1</v>
      </c>
      <c r="BW43" s="18"/>
      <c r="BX43" s="18"/>
      <c r="BY43" s="18"/>
      <c r="BZ43" s="18"/>
      <c r="CA43" s="18"/>
      <c r="CB43" s="18">
        <v>1</v>
      </c>
      <c r="CC43" s="18"/>
      <c r="CD43" s="18"/>
      <c r="CE43" s="18"/>
      <c r="CF43" s="18"/>
      <c r="CG43" s="11">
        <v>40</v>
      </c>
      <c r="CH43" s="11"/>
      <c r="CI43" s="11">
        <v>97</v>
      </c>
      <c r="CJ43" s="11">
        <v>70</v>
      </c>
      <c r="CK43" s="11" t="s">
        <v>4482</v>
      </c>
      <c r="CL43" s="11" t="s">
        <v>4483</v>
      </c>
      <c r="CM43" s="11" t="s">
        <v>3997</v>
      </c>
      <c r="CN43" s="17">
        <v>0</v>
      </c>
      <c r="CO43" s="17">
        <v>1</v>
      </c>
      <c r="CP43" s="17">
        <v>0</v>
      </c>
      <c r="CQ43" s="17">
        <v>0</v>
      </c>
      <c r="CR43" s="11" t="s">
        <v>4484</v>
      </c>
      <c r="CS43" s="11" t="s">
        <v>4485</v>
      </c>
      <c r="CT43" s="65">
        <v>0.82</v>
      </c>
      <c r="CU43" s="11" t="s">
        <v>4486</v>
      </c>
      <c r="CV43" s="11"/>
      <c r="CW43" s="11"/>
      <c r="CX43" s="11" t="s">
        <v>4487</v>
      </c>
      <c r="CY43" s="17">
        <v>1</v>
      </c>
      <c r="CZ43" s="11" t="s">
        <v>4488</v>
      </c>
      <c r="DA43" s="12" t="s">
        <v>4489</v>
      </c>
    </row>
    <row r="44" spans="1:105" customFormat="1" ht="99.75">
      <c r="A44" s="31">
        <v>693</v>
      </c>
      <c r="B44" s="32">
        <v>44552</v>
      </c>
      <c r="C44" s="7" t="s">
        <v>4490</v>
      </c>
      <c r="D44" s="32">
        <v>25926</v>
      </c>
      <c r="E44" s="43">
        <f ca="1">_xlfn.DAYS(NOW(),Tabella2[[#This Row],[Data Nascita]])/365.25</f>
        <v>54.611909650924026</v>
      </c>
      <c r="F44" s="33" t="s">
        <v>4491</v>
      </c>
      <c r="G44" s="33" t="s">
        <v>4492</v>
      </c>
      <c r="H44" s="33" t="s">
        <v>628</v>
      </c>
      <c r="I44" s="33" t="s">
        <v>618</v>
      </c>
      <c r="J44" s="33" t="s">
        <v>8</v>
      </c>
      <c r="K44" s="33"/>
      <c r="L44" s="33"/>
      <c r="M44" s="33"/>
      <c r="N44" s="33" t="s">
        <v>8</v>
      </c>
      <c r="O44" s="47">
        <v>0</v>
      </c>
      <c r="P44" s="47">
        <v>1</v>
      </c>
      <c r="Q44" s="33" t="s">
        <v>25</v>
      </c>
      <c r="R44" s="33" t="s">
        <v>25</v>
      </c>
      <c r="S44" s="33" t="s">
        <v>4493</v>
      </c>
      <c r="T44" s="33" t="s">
        <v>4494</v>
      </c>
      <c r="U44" s="47">
        <f>IF(ISERROR(SEARCH("null",Tabella2[[#This Row],[Patologia respiratoria nota]],1)),0,1)</f>
        <v>0</v>
      </c>
      <c r="V44" s="47">
        <f>IF(ISERROR(SEARCH("MUTA",Tabella2[[#This Row],[Patologia respiratoria nota]],1)),0,1)</f>
        <v>0</v>
      </c>
      <c r="W44" s="47">
        <f>IF(ISERROR(SEARCH("OSAS",Tabella2[[#This Row],[Patologia respiratoria nota]],1)),0,1)</f>
        <v>1</v>
      </c>
      <c r="X44" s="47">
        <f>IF(ISERROR(SEARCH("BPCO",Tabella2[[#This Row],[Patologia respiratoria nota]],1)),0,1)</f>
        <v>0</v>
      </c>
      <c r="Y44" s="47">
        <f>IF(ISERROR(SEARCH("ASMA",Tabella2[[#This Row],[Patologia respiratoria nota]],1)),0,1)</f>
        <v>0</v>
      </c>
      <c r="Z44" s="47">
        <f>IF(ISERROR(SEARCH("ASMA, OSAS",Tabella2[[#This Row],[Patologia respiratoria nota]],1)),0,1)</f>
        <v>0</v>
      </c>
      <c r="AA44" s="47">
        <f>IF(ISERROR(SEARCH("BPCO, OSAS",Tabella2[[#This Row],[Patologia respiratoria nota]],1)),0,1)</f>
        <v>0</v>
      </c>
      <c r="AB44" s="47">
        <f>IF(ISERROR(SEARCH("ASMA, BPCO, OSAS",Tabella2[[#This Row],[Patologia respiratoria nota]],1)),0,1)</f>
        <v>0</v>
      </c>
      <c r="AC44" s="41" t="s">
        <v>657</v>
      </c>
      <c r="AD44" s="48">
        <f>IF(ISERROR(SEARCH("NDD",Tabella2[[#This Row],[Tosse]],1)),0,1)</f>
        <v>0</v>
      </c>
      <c r="AE44" s="48">
        <f>IF(ISERROR(SEARCH("NEGA",Tabella2[[#This Row],[Tosse]],1)),0,1)</f>
        <v>1</v>
      </c>
      <c r="AF44" s="48">
        <f>IF(ISERROR(SEARCH("OCCASIONALMENTE",Tabella2[[#This Row],[Tosse]],1)),0,1)</f>
        <v>0</v>
      </c>
      <c r="AG44" s="48">
        <f>IF(ISERROR(SEARCH("RARAMENTE",Tabella2[[#This Row],[Tosse]],1)),0,1)</f>
        <v>0</v>
      </c>
      <c r="AH44" s="48">
        <f>IF(ISERROR(SEARCH("SI",Tabella2[[#This Row],[Tosse]],1)),0,1)</f>
        <v>0</v>
      </c>
      <c r="AI44" s="33" t="s">
        <v>657</v>
      </c>
      <c r="AJ44" s="47">
        <f>IF(ISERROR(SEARCH("SI",Tabella2[[#This Row],[Espettorazione]],1)),0,1)</f>
        <v>0</v>
      </c>
      <c r="AK44" s="47">
        <f>IF(ISERROR(SEARCH("NEGA",Tabella2[[#This Row],[Espettorazione]],1)),0,1)</f>
        <v>1</v>
      </c>
      <c r="AL44" s="47">
        <f>IF(ISERROR(SEARCH("NDD",Tabella2[[#This Row],[Espettorazione]],1)),0,1)</f>
        <v>0</v>
      </c>
      <c r="AM44" s="33" t="s">
        <v>4495</v>
      </c>
      <c r="AN44" s="47">
        <v>1</v>
      </c>
      <c r="AO44" s="33" t="s">
        <v>5551</v>
      </c>
      <c r="AP44" s="47">
        <f>IF(ISERROR(SEARCH("NEGA",Tabella2[[#This Row],[Dispnea da sforzo]],1)),0,1)</f>
        <v>0</v>
      </c>
      <c r="AQ44" s="47">
        <f>IF(ISERROR(SEARCH("NEGA",Tabella2[[#This Row],[Dispnea da sforzo]],1)),1,0)</f>
        <v>1</v>
      </c>
      <c r="AR44" s="47">
        <f>IF(ISERROR(SEARCH("LIEVI",Tabella2[[#This Row],[Dispnea da sforzo]],1)),0,1)</f>
        <v>1</v>
      </c>
      <c r="AS44" s="47">
        <f>IF(ISERROR(SEARCH("MODERATI",Tabella2[[#This Row],[Dispnea da sforzo]],1)),0,1)</f>
        <v>1</v>
      </c>
      <c r="AT44" s="47">
        <f>IF(ISERROR(SEARCH("INTENSI",Tabella2[[#This Row],[Dispnea da sforzo]],1)),0,1)</f>
        <v>0</v>
      </c>
      <c r="AU44" s="33" t="s">
        <v>657</v>
      </c>
      <c r="AV44" s="47">
        <f>IF(ISERROR(SEARCH("NEGA",Tabella2[[#This Row],[Dispnea a riposo]],1)),0,1)</f>
        <v>1</v>
      </c>
      <c r="AW44" s="47">
        <f>IF(ISERROR(SEARCH("NDD",Tabella2[[#This Row],[Dispnea a riposo]],1)),0,1)</f>
        <v>0</v>
      </c>
      <c r="AX44" s="33" t="s">
        <v>2781</v>
      </c>
      <c r="AY44" s="46">
        <v>1</v>
      </c>
      <c r="AZ44" s="33" t="s">
        <v>695</v>
      </c>
      <c r="BA44" s="17">
        <v>1</v>
      </c>
      <c r="BB44" s="33" t="s">
        <v>4496</v>
      </c>
      <c r="BC44" s="17">
        <v>1</v>
      </c>
      <c r="BD44" s="33" t="s">
        <v>657</v>
      </c>
      <c r="BE44" s="18">
        <v>0</v>
      </c>
      <c r="BF44" s="33" t="s">
        <v>4497</v>
      </c>
      <c r="BG44" s="17">
        <v>1</v>
      </c>
      <c r="BH44" s="33" t="s">
        <v>4498</v>
      </c>
      <c r="BI44" s="18">
        <v>1</v>
      </c>
      <c r="BJ44" s="33">
        <v>19</v>
      </c>
      <c r="BK44" s="33" t="s">
        <v>7660</v>
      </c>
      <c r="BL44" s="47"/>
      <c r="BM44" s="47"/>
      <c r="BN44" s="47"/>
      <c r="BO44" s="47"/>
      <c r="BP44" s="47"/>
      <c r="BQ44" s="47"/>
      <c r="BR44" s="47"/>
      <c r="BS44" s="47">
        <v>1</v>
      </c>
      <c r="BT44" s="47"/>
      <c r="BU44" s="47"/>
      <c r="BV44" s="47"/>
      <c r="BW44" s="47"/>
      <c r="BX44" s="47"/>
      <c r="BY44" s="47"/>
      <c r="BZ44" s="47"/>
      <c r="CA44" s="47"/>
      <c r="CB44" s="47"/>
      <c r="CC44" s="47"/>
      <c r="CD44" s="47"/>
      <c r="CE44" s="47"/>
      <c r="CF44" s="47"/>
      <c r="CG44" s="33">
        <v>43</v>
      </c>
      <c r="CH44" s="33"/>
      <c r="CI44" s="33">
        <v>96</v>
      </c>
      <c r="CJ44" s="33">
        <v>56</v>
      </c>
      <c r="CK44" s="33" t="s">
        <v>4499</v>
      </c>
      <c r="CL44" s="33" t="s">
        <v>4500</v>
      </c>
      <c r="CM44" s="33" t="s">
        <v>5477</v>
      </c>
      <c r="CN44" s="47">
        <v>1</v>
      </c>
      <c r="CO44" s="17">
        <v>0</v>
      </c>
      <c r="CP44" s="17">
        <v>0</v>
      </c>
      <c r="CQ44" s="17">
        <v>0</v>
      </c>
      <c r="CR44" s="33"/>
      <c r="CS44" s="33" t="s">
        <v>5477</v>
      </c>
      <c r="CT44" s="66"/>
      <c r="CU44" s="33"/>
      <c r="CV44" s="33"/>
      <c r="CW44" s="33"/>
      <c r="CX44" s="33" t="s">
        <v>4501</v>
      </c>
      <c r="CY44" s="17">
        <v>1</v>
      </c>
      <c r="CZ44" s="33" t="s">
        <v>4502</v>
      </c>
      <c r="DA44" s="34" t="s">
        <v>4503</v>
      </c>
    </row>
    <row r="45" spans="1:105" ht="71.25">
      <c r="A45" s="9">
        <v>695</v>
      </c>
      <c r="B45" s="10">
        <v>44558</v>
      </c>
      <c r="C45" s="11" t="s">
        <v>4504</v>
      </c>
      <c r="D45" s="10">
        <v>23403</v>
      </c>
      <c r="E45" s="52">
        <f ca="1">_xlfn.DAYS(NOW(),Tabella2[[#This Row],[Data Nascita]])/365.25</f>
        <v>61.519507186858313</v>
      </c>
      <c r="F45" s="11" t="s">
        <v>4505</v>
      </c>
      <c r="G45" s="11" t="s">
        <v>4506</v>
      </c>
      <c r="H45" s="11" t="s">
        <v>439</v>
      </c>
      <c r="I45" s="11" t="s">
        <v>4507</v>
      </c>
      <c r="J45" s="11" t="s">
        <v>8</v>
      </c>
      <c r="K45" s="11"/>
      <c r="L45" s="11"/>
      <c r="M45" s="11"/>
      <c r="N45" s="11" t="s">
        <v>8</v>
      </c>
      <c r="O45" s="17">
        <v>0</v>
      </c>
      <c r="P45" s="17">
        <v>1</v>
      </c>
      <c r="Q45" s="11" t="s">
        <v>8</v>
      </c>
      <c r="R45" s="11" t="s">
        <v>4508</v>
      </c>
      <c r="S45" s="11" t="s">
        <v>4509</v>
      </c>
      <c r="T45" s="11" t="s">
        <v>439</v>
      </c>
      <c r="U45" s="18">
        <f>IF(ISERROR(SEARCH("null",Tabella2[[#This Row],[Patologia respiratoria nota]],1)),0,1)</f>
        <v>0</v>
      </c>
      <c r="V45" s="17">
        <f>IF(ISERROR(SEARCH("MUTA",Tabella2[[#This Row],[Patologia respiratoria nota]],1)),0,1)</f>
        <v>0</v>
      </c>
      <c r="W45" s="18">
        <f>IF(ISERROR(SEARCH("OSAS",Tabella2[[#This Row],[Patologia respiratoria nota]],1)),0,1)</f>
        <v>1</v>
      </c>
      <c r="X45" s="17">
        <f>IF(ISERROR(SEARCH("BPCO",Tabella2[[#This Row],[Patologia respiratoria nota]],1)),0,1)</f>
        <v>0</v>
      </c>
      <c r="Y45" s="17">
        <f>IF(ISERROR(SEARCH("ASMA",Tabella2[[#This Row],[Patologia respiratoria nota]],1)),0,1)</f>
        <v>0</v>
      </c>
      <c r="Z45" s="17">
        <f>IF(ISERROR(SEARCH("ASMA, OSAS",Tabella2[[#This Row],[Patologia respiratoria nota]],1)),0,1)</f>
        <v>0</v>
      </c>
      <c r="AA45" s="17">
        <f>IF(ISERROR(SEARCH("BPCO, OSAS",Tabella2[[#This Row],[Patologia respiratoria nota]],1)),0,1)</f>
        <v>0</v>
      </c>
      <c r="AB45" s="17">
        <f>IF(ISERROR(SEARCH("ASMA, BPCO, OSAS",Tabella2[[#This Row],[Patologia respiratoria nota]],1)),0,1)</f>
        <v>0</v>
      </c>
      <c r="AC45" s="15" t="s">
        <v>657</v>
      </c>
      <c r="AD45" s="19">
        <f>IF(ISERROR(SEARCH("NDD",Tabella2[[#This Row],[Tosse]],1)),0,1)</f>
        <v>0</v>
      </c>
      <c r="AE45" s="19">
        <f>IF(ISERROR(SEARCH("NEGA",Tabella2[[#This Row],[Tosse]],1)),0,1)</f>
        <v>1</v>
      </c>
      <c r="AF45" s="19">
        <f>IF(ISERROR(SEARCH("OCCASIONALMENTE",Tabella2[[#This Row],[Tosse]],1)),0,1)</f>
        <v>0</v>
      </c>
      <c r="AG45" s="19">
        <f>IF(ISERROR(SEARCH("RARAMENTE",Tabella2[[#This Row],[Tosse]],1)),0,1)</f>
        <v>0</v>
      </c>
      <c r="AH45" s="19">
        <f>IF(ISERROR(SEARCH("SI",Tabella2[[#This Row],[Tosse]],1)),0,1)</f>
        <v>0</v>
      </c>
      <c r="AI45" s="11" t="s">
        <v>657</v>
      </c>
      <c r="AJ45" s="18">
        <f>IF(ISERROR(SEARCH("SI",Tabella2[[#This Row],[Espettorazione]],1)),0,1)</f>
        <v>0</v>
      </c>
      <c r="AK45" s="18">
        <f>IF(ISERROR(SEARCH("NEGA",Tabella2[[#This Row],[Espettorazione]],1)),0,1)</f>
        <v>1</v>
      </c>
      <c r="AL45" s="18">
        <f>IF(ISERROR(SEARCH("NDD",Tabella2[[#This Row],[Espettorazione]],1)),0,1)</f>
        <v>0</v>
      </c>
      <c r="AM45" s="11" t="s">
        <v>657</v>
      </c>
      <c r="AN45" s="17">
        <v>0</v>
      </c>
      <c r="AO45" s="11" t="s">
        <v>5552</v>
      </c>
      <c r="AP45" s="17">
        <f>IF(ISERROR(SEARCH("NEGA",Tabella2[[#This Row],[Dispnea da sforzo]],1)),0,1)</f>
        <v>0</v>
      </c>
      <c r="AQ45" s="17">
        <f>IF(ISERROR(SEARCH("NEGA",Tabella2[[#This Row],[Dispnea da sforzo]],1)),1,0)</f>
        <v>1</v>
      </c>
      <c r="AR45" s="17">
        <f>IF(ISERROR(SEARCH("LIEVI",Tabella2[[#This Row],[Dispnea da sforzo]],1)),0,1)</f>
        <v>0</v>
      </c>
      <c r="AS45" s="17">
        <f>IF(ISERROR(SEARCH("MODERATI",Tabella2[[#This Row],[Dispnea da sforzo]],1)),0,1)</f>
        <v>1</v>
      </c>
      <c r="AT45" s="17">
        <f>IF(ISERROR(SEARCH("INTENSI",Tabella2[[#This Row],[Dispnea da sforzo]],1)),0,1)</f>
        <v>0</v>
      </c>
      <c r="AU45" s="11" t="s">
        <v>657</v>
      </c>
      <c r="AV45" s="18">
        <f>IF(ISERROR(SEARCH("NEGA",Tabella2[[#This Row],[Dispnea a riposo]],1)),0,1)</f>
        <v>1</v>
      </c>
      <c r="AW45" s="18">
        <f>IF(ISERROR(SEARCH("NDD",Tabella2[[#This Row],[Dispnea a riposo]],1)),0,1)</f>
        <v>0</v>
      </c>
      <c r="AX45" s="11" t="s">
        <v>657</v>
      </c>
      <c r="AY45" s="17">
        <v>0</v>
      </c>
      <c r="AZ45" s="11" t="s">
        <v>657</v>
      </c>
      <c r="BA45" s="18">
        <v>0</v>
      </c>
      <c r="BB45" s="11" t="s">
        <v>4510</v>
      </c>
      <c r="BC45" s="17">
        <v>1</v>
      </c>
      <c r="BD45" s="37" t="s">
        <v>657</v>
      </c>
      <c r="BE45" s="18">
        <v>0</v>
      </c>
      <c r="BF45" s="11" t="s">
        <v>4511</v>
      </c>
      <c r="BG45" s="17">
        <v>1</v>
      </c>
      <c r="BH45" s="11" t="s">
        <v>657</v>
      </c>
      <c r="BI45" s="17">
        <v>0</v>
      </c>
      <c r="BJ45" s="11">
        <v>12</v>
      </c>
      <c r="BK45" s="11" t="s">
        <v>7661</v>
      </c>
      <c r="BL45" s="18"/>
      <c r="BM45" s="18"/>
      <c r="BN45" s="18"/>
      <c r="BO45" s="18"/>
      <c r="BP45" s="18"/>
      <c r="BQ45" s="18"/>
      <c r="BR45" s="18"/>
      <c r="BS45" s="18"/>
      <c r="BT45" s="18"/>
      <c r="BU45" s="18"/>
      <c r="BV45" s="18"/>
      <c r="BW45" s="18"/>
      <c r="BX45" s="18"/>
      <c r="BY45" s="18">
        <v>1</v>
      </c>
      <c r="BZ45" s="18"/>
      <c r="CA45" s="18"/>
      <c r="CB45" s="18">
        <v>1</v>
      </c>
      <c r="CC45" s="18"/>
      <c r="CD45" s="18"/>
      <c r="CE45" s="18"/>
      <c r="CF45" s="18"/>
      <c r="CG45" s="11">
        <v>26</v>
      </c>
      <c r="CH45" s="11"/>
      <c r="CI45" s="11">
        <v>97</v>
      </c>
      <c r="CJ45" s="11">
        <v>70</v>
      </c>
      <c r="CK45" s="11" t="s">
        <v>4512</v>
      </c>
      <c r="CL45" s="11"/>
      <c r="CM45" s="33" t="s">
        <v>5477</v>
      </c>
      <c r="CN45" s="47">
        <v>1</v>
      </c>
      <c r="CO45" s="17">
        <v>0</v>
      </c>
      <c r="CP45" s="17">
        <v>0</v>
      </c>
      <c r="CQ45" s="17">
        <v>0</v>
      </c>
      <c r="CR45" s="11"/>
      <c r="CS45" s="33" t="s">
        <v>5477</v>
      </c>
      <c r="CT45" s="65"/>
      <c r="CU45" s="11"/>
      <c r="CV45" s="11"/>
      <c r="CW45" s="11"/>
      <c r="CX45" s="11" t="s">
        <v>4513</v>
      </c>
      <c r="CY45" s="17">
        <v>1</v>
      </c>
      <c r="CZ45" s="11" t="s">
        <v>4514</v>
      </c>
      <c r="DA45" s="12" t="s">
        <v>4515</v>
      </c>
    </row>
    <row r="46" spans="1:105" ht="57">
      <c r="A46" s="5">
        <v>725</v>
      </c>
      <c r="B46" s="6">
        <v>44579</v>
      </c>
      <c r="C46" s="7" t="s">
        <v>4516</v>
      </c>
      <c r="D46" s="6">
        <v>15115</v>
      </c>
      <c r="E46" s="51">
        <f ca="1">_xlfn.DAYS(NOW(),Tabella2[[#This Row],[Data Nascita]])/365.25</f>
        <v>84.210814510609168</v>
      </c>
      <c r="F46" s="7" t="s">
        <v>4517</v>
      </c>
      <c r="G46" s="7" t="s">
        <v>4518</v>
      </c>
      <c r="H46" s="7" t="s">
        <v>4519</v>
      </c>
      <c r="I46" s="7" t="s">
        <v>3948</v>
      </c>
      <c r="J46" s="7" t="s">
        <v>4520</v>
      </c>
      <c r="K46" s="7"/>
      <c r="L46" s="7"/>
      <c r="M46" s="7"/>
      <c r="N46" s="7" t="s">
        <v>8</v>
      </c>
      <c r="O46" s="17">
        <v>0</v>
      </c>
      <c r="P46" s="17">
        <v>1</v>
      </c>
      <c r="Q46" s="7" t="s">
        <v>8</v>
      </c>
      <c r="R46" s="7" t="s">
        <v>8</v>
      </c>
      <c r="S46" s="7" t="s">
        <v>4521</v>
      </c>
      <c r="T46" s="7" t="s">
        <v>4522</v>
      </c>
      <c r="U46" s="17">
        <f>IF(ISERROR(SEARCH("null",Tabella2[[#This Row],[Patologia respiratoria nota]],1)),0,1)</f>
        <v>0</v>
      </c>
      <c r="V46" s="17">
        <f>IF(ISERROR(SEARCH("MUTA",Tabella2[[#This Row],[Patologia respiratoria nota]],1)),0,1)</f>
        <v>0</v>
      </c>
      <c r="W46" s="17">
        <f>IF(ISERROR(SEARCH("OSAS",Tabella2[[#This Row],[Patologia respiratoria nota]],1)),0,1)</f>
        <v>1</v>
      </c>
      <c r="X46" s="17">
        <f>IF(ISERROR(SEARCH("BPCO",Tabella2[[#This Row],[Patologia respiratoria nota]],1)),0,1)</f>
        <v>0</v>
      </c>
      <c r="Y46" s="17">
        <f>IF(ISERROR(SEARCH("ASMA",Tabella2[[#This Row],[Patologia respiratoria nota]],1)),0,1)</f>
        <v>0</v>
      </c>
      <c r="Z46" s="17">
        <f>IF(ISERROR(SEARCH("ASMA, OSAS",Tabella2[[#This Row],[Patologia respiratoria nota]],1)),0,1)</f>
        <v>0</v>
      </c>
      <c r="AA46" s="17">
        <f>IF(ISERROR(SEARCH("BPCO, OSAS",Tabella2[[#This Row],[Patologia respiratoria nota]],1)),0,1)</f>
        <v>0</v>
      </c>
      <c r="AB46" s="17">
        <f>IF(ISERROR(SEARCH("ASMA, BPCO, OSAS",Tabella2[[#This Row],[Patologia respiratoria nota]],1)),0,1)</f>
        <v>0</v>
      </c>
      <c r="AC46" s="7" t="s">
        <v>5466</v>
      </c>
      <c r="AD46" s="17">
        <f>IF(ISERROR(SEARCH("NDD",Tabella2[[#This Row],[Tosse]],1)),0,1)</f>
        <v>0</v>
      </c>
      <c r="AE46" s="17">
        <f>IF(ISERROR(SEARCH("NEGA",Tabella2[[#This Row],[Tosse]],1)),0,1)</f>
        <v>0</v>
      </c>
      <c r="AF46" s="17">
        <f>IF(ISERROR(SEARCH("OCCASIONALMENTE",Tabella2[[#This Row],[Tosse]],1)),0,1)</f>
        <v>1</v>
      </c>
      <c r="AG46" s="17">
        <f>IF(ISERROR(SEARCH("RARAMENTE",Tabella2[[#This Row],[Tosse]],1)),0,1)</f>
        <v>0</v>
      </c>
      <c r="AH46" s="17">
        <v>1</v>
      </c>
      <c r="AI46" s="7" t="s">
        <v>657</v>
      </c>
      <c r="AJ46" s="17">
        <f>IF(ISERROR(SEARCH("SI",Tabella2[[#This Row],[Espettorazione]],1)),0,1)</f>
        <v>0</v>
      </c>
      <c r="AK46" s="17">
        <f>IF(ISERROR(SEARCH("NEGA",Tabella2[[#This Row],[Espettorazione]],1)),0,1)</f>
        <v>1</v>
      </c>
      <c r="AL46" s="17">
        <f>IF(ISERROR(SEARCH("NDD",Tabella2[[#This Row],[Espettorazione]],1)),0,1)</f>
        <v>0</v>
      </c>
      <c r="AM46" s="7" t="s">
        <v>657</v>
      </c>
      <c r="AN46" s="17">
        <v>0</v>
      </c>
      <c r="AO46" s="7" t="s">
        <v>5553</v>
      </c>
      <c r="AP46" s="17">
        <f>IF(ISERROR(SEARCH("NEGA",Tabella2[[#This Row],[Dispnea da sforzo]],1)),0,1)</f>
        <v>0</v>
      </c>
      <c r="AQ46" s="17">
        <f>IF(ISERROR(SEARCH("NEGA",Tabella2[[#This Row],[Dispnea da sforzo]],1)),1,0)</f>
        <v>1</v>
      </c>
      <c r="AR46" s="17">
        <f>IF(ISERROR(SEARCH("LIEVI",Tabella2[[#This Row],[Dispnea da sforzo]],1)),0,1)</f>
        <v>1</v>
      </c>
      <c r="AS46" s="17">
        <f>IF(ISERROR(SEARCH("MODERATI",Tabella2[[#This Row],[Dispnea da sforzo]],1)),0,1)</f>
        <v>1</v>
      </c>
      <c r="AT46" s="17">
        <f>IF(ISERROR(SEARCH("INTENSI",Tabella2[[#This Row],[Dispnea da sforzo]],1)),0,1)</f>
        <v>0</v>
      </c>
      <c r="AU46" s="7" t="s">
        <v>657</v>
      </c>
      <c r="AV46" s="17">
        <f>IF(ISERROR(SEARCH("NEGA",Tabella2[[#This Row],[Dispnea a riposo]],1)),0,1)</f>
        <v>1</v>
      </c>
      <c r="AW46" s="17">
        <f>IF(ISERROR(SEARCH("NDD",Tabella2[[#This Row],[Dispnea a riposo]],1)),0,1)</f>
        <v>0</v>
      </c>
      <c r="AX46" s="7" t="s">
        <v>657</v>
      </c>
      <c r="AY46" s="17">
        <v>0</v>
      </c>
      <c r="AZ46" s="7" t="s">
        <v>657</v>
      </c>
      <c r="BA46" s="18">
        <v>0</v>
      </c>
      <c r="BB46" s="7" t="s">
        <v>3578</v>
      </c>
      <c r="BC46" s="17">
        <v>1</v>
      </c>
      <c r="BD46" s="7" t="s">
        <v>4480</v>
      </c>
      <c r="BE46" s="17">
        <v>1</v>
      </c>
      <c r="BF46" s="7" t="s">
        <v>657</v>
      </c>
      <c r="BG46" s="17">
        <v>0</v>
      </c>
      <c r="BH46" s="7" t="s">
        <v>657</v>
      </c>
      <c r="BI46" s="17">
        <v>0</v>
      </c>
      <c r="BJ46" s="7">
        <v>13</v>
      </c>
      <c r="BK46" s="7" t="s">
        <v>4523</v>
      </c>
      <c r="BL46" s="17"/>
      <c r="BM46" s="17"/>
      <c r="BN46" s="17"/>
      <c r="BO46" s="17"/>
      <c r="BP46" s="17"/>
      <c r="BQ46" s="17"/>
      <c r="BR46" s="17">
        <v>1</v>
      </c>
      <c r="BS46" s="17"/>
      <c r="BT46" s="17"/>
      <c r="BU46" s="17"/>
      <c r="BV46" s="17"/>
      <c r="BW46" s="17"/>
      <c r="BX46" s="17"/>
      <c r="BY46" s="17"/>
      <c r="BZ46" s="17"/>
      <c r="CA46" s="17"/>
      <c r="CB46" s="17"/>
      <c r="CC46" s="17"/>
      <c r="CD46" s="17"/>
      <c r="CE46" s="17">
        <v>1</v>
      </c>
      <c r="CF46" s="17">
        <v>1</v>
      </c>
      <c r="CG46" s="7">
        <v>25</v>
      </c>
      <c r="CH46" s="7"/>
      <c r="CI46" s="7">
        <v>96</v>
      </c>
      <c r="CJ46" s="7">
        <v>94</v>
      </c>
      <c r="CK46" s="7" t="s">
        <v>4524</v>
      </c>
      <c r="CL46" s="7" t="s">
        <v>4342</v>
      </c>
      <c r="CM46" s="7" t="s">
        <v>3997</v>
      </c>
      <c r="CN46" s="17">
        <v>0</v>
      </c>
      <c r="CO46" s="17">
        <v>1</v>
      </c>
      <c r="CP46" s="17">
        <v>0</v>
      </c>
      <c r="CQ46" s="17">
        <v>0</v>
      </c>
      <c r="CR46" s="7" t="s">
        <v>4451</v>
      </c>
      <c r="CS46" s="7" t="s">
        <v>4525</v>
      </c>
      <c r="CT46" s="64">
        <v>0.96199999999999997</v>
      </c>
      <c r="CU46" s="7" t="s">
        <v>4526</v>
      </c>
      <c r="CV46" s="7"/>
      <c r="CW46" s="7"/>
      <c r="CX46" s="7" t="s">
        <v>4527</v>
      </c>
      <c r="CY46" s="17">
        <v>1</v>
      </c>
      <c r="CZ46" s="7" t="s">
        <v>4528</v>
      </c>
      <c r="DA46" s="8" t="s">
        <v>4529</v>
      </c>
    </row>
    <row r="47" spans="1:105" customFormat="1" ht="57">
      <c r="A47" s="35">
        <v>805</v>
      </c>
      <c r="B47" s="36">
        <v>44622</v>
      </c>
      <c r="C47" s="11" t="s">
        <v>4198</v>
      </c>
      <c r="D47" s="36">
        <v>20235</v>
      </c>
      <c r="E47" s="44">
        <f ca="1">_xlfn.DAYS(NOW(),Tabella2[[#This Row],[Data Nascita]])/365.25</f>
        <v>70.19301848049281</v>
      </c>
      <c r="F47" s="37"/>
      <c r="G47" s="37" t="s">
        <v>4530</v>
      </c>
      <c r="H47" s="37" t="s">
        <v>4531</v>
      </c>
      <c r="I47" s="37"/>
      <c r="J47" s="37" t="s">
        <v>4532</v>
      </c>
      <c r="K47" s="37"/>
      <c r="L47" s="37"/>
      <c r="M47" s="37"/>
      <c r="N47" s="37"/>
      <c r="O47" s="47" t="s">
        <v>5412</v>
      </c>
      <c r="P47" s="47">
        <v>0</v>
      </c>
      <c r="Q47" s="37" t="s">
        <v>8</v>
      </c>
      <c r="R47" s="37" t="s">
        <v>8</v>
      </c>
      <c r="S47" s="37" t="s">
        <v>4533</v>
      </c>
      <c r="T47" s="33" t="s">
        <v>5443</v>
      </c>
      <c r="U47" s="46">
        <f>IF(ISERROR(SEARCH("null",Tabella2[[#This Row],[Patologia respiratoria nota]],1)),0,1)</f>
        <v>0</v>
      </c>
      <c r="V47" s="47">
        <f>IF(ISERROR(SEARCH("MUTA",Tabella2[[#This Row],[Patologia respiratoria nota]],1)),0,1)</f>
        <v>1</v>
      </c>
      <c r="W47" s="46">
        <f>IF(ISERROR(SEARCH("OSAS",Tabella2[[#This Row],[Patologia respiratoria nota]],1)),0,1)</f>
        <v>0</v>
      </c>
      <c r="X47" s="47">
        <f>IF(ISERROR(SEARCH("BPCO",Tabella2[[#This Row],[Patologia respiratoria nota]],1)),0,1)</f>
        <v>0</v>
      </c>
      <c r="Y47" s="47">
        <f>IF(ISERROR(SEARCH("ASMA",Tabella2[[#This Row],[Patologia respiratoria nota]],1)),0,1)</f>
        <v>0</v>
      </c>
      <c r="Z47" s="47">
        <f>IF(ISERROR(SEARCH("ASMA, OSAS",Tabella2[[#This Row],[Patologia respiratoria nota]],1)),0,1)</f>
        <v>0</v>
      </c>
      <c r="AA47" s="47">
        <f>IF(ISERROR(SEARCH("BPCO, OSAS",Tabella2[[#This Row],[Patologia respiratoria nota]],1)),0,1)</f>
        <v>0</v>
      </c>
      <c r="AB47" s="47">
        <f>IF(ISERROR(SEARCH("ASMA, BPCO, OSAS",Tabella2[[#This Row],[Patologia respiratoria nota]],1)),0,1)</f>
        <v>0</v>
      </c>
      <c r="AC47" s="41" t="s">
        <v>657</v>
      </c>
      <c r="AD47" s="48">
        <f>IF(ISERROR(SEARCH("NDD",Tabella2[[#This Row],[Tosse]],1)),0,1)</f>
        <v>0</v>
      </c>
      <c r="AE47" s="48">
        <f>IF(ISERROR(SEARCH("NEGA",Tabella2[[#This Row],[Tosse]],1)),0,1)</f>
        <v>1</v>
      </c>
      <c r="AF47" s="48">
        <f>IF(ISERROR(SEARCH("OCCASIONALMENTE",Tabella2[[#This Row],[Tosse]],1)),0,1)</f>
        <v>0</v>
      </c>
      <c r="AG47" s="48">
        <f>IF(ISERROR(SEARCH("RARAMENTE",Tabella2[[#This Row],[Tosse]],1)),0,1)</f>
        <v>0</v>
      </c>
      <c r="AH47" s="48">
        <f>IF(ISERROR(SEARCH("SI",Tabella2[[#This Row],[Tosse]],1)),0,1)</f>
        <v>0</v>
      </c>
      <c r="AI47" s="37" t="s">
        <v>5509</v>
      </c>
      <c r="AJ47" s="46">
        <f>IF(ISERROR(SEARCH("SI",Tabella2[[#This Row],[Espettorazione]],1)),0,1)</f>
        <v>0</v>
      </c>
      <c r="AK47" s="46">
        <f>IF(ISERROR(SEARCH("NEGA",Tabella2[[#This Row],[Espettorazione]],1)),0,1)</f>
        <v>1</v>
      </c>
      <c r="AL47" s="46">
        <f>IF(ISERROR(SEARCH("NDD",Tabella2[[#This Row],[Espettorazione]],1)),0,1)</f>
        <v>0</v>
      </c>
      <c r="AM47" s="37" t="s">
        <v>28</v>
      </c>
      <c r="AN47" s="47">
        <v>1</v>
      </c>
      <c r="AO47" s="37" t="s">
        <v>28</v>
      </c>
      <c r="AP47" s="47">
        <f>IF(ISERROR(SEARCH("NEGA",Tabella2[[#This Row],[Dispnea da sforzo]],1)),0,1)</f>
        <v>0</v>
      </c>
      <c r="AQ47" s="47">
        <f>IF(ISERROR(SEARCH("NEGA",Tabella2[[#This Row],[Dispnea da sforzo]],1)),1,0)</f>
        <v>1</v>
      </c>
      <c r="AR47" s="47">
        <f>IF(ISERROR(SEARCH("LIEVI",Tabella2[[#This Row],[Dispnea da sforzo]],1)),0,1)</f>
        <v>0</v>
      </c>
      <c r="AS47" s="47">
        <f>IF(ISERROR(SEARCH("MODERATI",Tabella2[[#This Row],[Dispnea da sforzo]],1)),0,1)</f>
        <v>0</v>
      </c>
      <c r="AT47" s="47">
        <f>IF(ISERROR(SEARCH("INTENSI",Tabella2[[#This Row],[Dispnea da sforzo]],1)),0,1)</f>
        <v>0</v>
      </c>
      <c r="AU47" s="37" t="s">
        <v>657</v>
      </c>
      <c r="AV47" s="46">
        <f>IF(ISERROR(SEARCH("NEGA",Tabella2[[#This Row],[Dispnea a riposo]],1)),0,1)</f>
        <v>1</v>
      </c>
      <c r="AW47" s="46">
        <f>IF(ISERROR(SEARCH("NDD",Tabella2[[#This Row],[Dispnea a riposo]],1)),0,1)</f>
        <v>0</v>
      </c>
      <c r="AX47" s="37" t="s">
        <v>5477</v>
      </c>
      <c r="AY47" s="46">
        <v>0</v>
      </c>
      <c r="AZ47" s="37" t="s">
        <v>28</v>
      </c>
      <c r="BA47" s="17">
        <v>1</v>
      </c>
      <c r="BB47" s="37" t="s">
        <v>28</v>
      </c>
      <c r="BC47" s="17">
        <v>1</v>
      </c>
      <c r="BD47" s="37" t="s">
        <v>5477</v>
      </c>
      <c r="BE47" s="46">
        <v>0</v>
      </c>
      <c r="BF47" s="37" t="s">
        <v>28</v>
      </c>
      <c r="BG47" s="17">
        <v>1</v>
      </c>
      <c r="BH47" s="37" t="s">
        <v>28</v>
      </c>
      <c r="BI47" s="18">
        <v>1</v>
      </c>
      <c r="BJ47" s="37">
        <v>12</v>
      </c>
      <c r="BK47" s="37" t="s">
        <v>7662</v>
      </c>
      <c r="BL47" s="46"/>
      <c r="BM47" s="46"/>
      <c r="BN47" s="46"/>
      <c r="BO47" s="46"/>
      <c r="BP47" s="46">
        <v>1</v>
      </c>
      <c r="BQ47" s="46">
        <v>1</v>
      </c>
      <c r="BR47" s="46"/>
      <c r="BS47" s="46"/>
      <c r="BT47" s="46"/>
      <c r="BU47" s="46"/>
      <c r="BV47" s="46"/>
      <c r="BW47" s="46"/>
      <c r="BX47" s="46"/>
      <c r="BY47" s="46"/>
      <c r="BZ47" s="46"/>
      <c r="CA47" s="46"/>
      <c r="CB47" s="46"/>
      <c r="CC47" s="46"/>
      <c r="CD47" s="46"/>
      <c r="CE47" s="46"/>
      <c r="CF47" s="46"/>
      <c r="CG47" s="37">
        <v>41</v>
      </c>
      <c r="CH47" s="37"/>
      <c r="CI47" s="37"/>
      <c r="CJ47" s="37"/>
      <c r="CK47" s="37"/>
      <c r="CL47" s="37"/>
      <c r="CM47" s="33" t="s">
        <v>5477</v>
      </c>
      <c r="CN47" s="47">
        <v>1</v>
      </c>
      <c r="CO47" s="17">
        <v>0</v>
      </c>
      <c r="CP47" s="17">
        <v>0</v>
      </c>
      <c r="CQ47" s="17">
        <v>0</v>
      </c>
      <c r="CR47" s="37" t="s">
        <v>4534</v>
      </c>
      <c r="CS47" s="37" t="s">
        <v>153</v>
      </c>
      <c r="CT47" s="63">
        <v>0.97</v>
      </c>
      <c r="CU47" s="37" t="s">
        <v>4535</v>
      </c>
      <c r="CV47" s="37"/>
      <c r="CW47" s="37"/>
      <c r="CX47" s="37" t="s">
        <v>4536</v>
      </c>
      <c r="CY47" s="17">
        <v>1</v>
      </c>
      <c r="CZ47" s="37"/>
      <c r="DA47" s="38"/>
    </row>
    <row r="48" spans="1:105" customFormat="1" ht="42.75">
      <c r="A48" s="31">
        <v>825</v>
      </c>
      <c r="B48" s="33"/>
      <c r="C48" s="7" t="s">
        <v>4537</v>
      </c>
      <c r="D48" s="32">
        <v>14752</v>
      </c>
      <c r="E48" s="43">
        <f ca="1">_xlfn.DAYS(NOW(),Tabella2[[#This Row],[Data Nascita]])/365.25</f>
        <v>85.204654346338131</v>
      </c>
      <c r="F48" s="33" t="s">
        <v>4538</v>
      </c>
      <c r="G48" s="33" t="s">
        <v>4539</v>
      </c>
      <c r="H48" s="33" t="s">
        <v>4201</v>
      </c>
      <c r="I48" s="33" t="s">
        <v>3948</v>
      </c>
      <c r="J48" s="33" t="s">
        <v>4384</v>
      </c>
      <c r="K48" s="33"/>
      <c r="L48" s="33"/>
      <c r="M48" s="33"/>
      <c r="N48" s="33"/>
      <c r="O48" s="47" t="s">
        <v>5412</v>
      </c>
      <c r="P48" s="47">
        <v>0</v>
      </c>
      <c r="Q48" s="33" t="s">
        <v>8</v>
      </c>
      <c r="R48" s="33" t="s">
        <v>8</v>
      </c>
      <c r="S48" s="33" t="s">
        <v>4540</v>
      </c>
      <c r="T48" s="33" t="s">
        <v>5443</v>
      </c>
      <c r="U48" s="47">
        <f>IF(ISERROR(SEARCH("null",Tabella2[[#This Row],[Patologia respiratoria nota]],1)),0,1)</f>
        <v>0</v>
      </c>
      <c r="V48" s="47">
        <f>IF(ISERROR(SEARCH("MUTA",Tabella2[[#This Row],[Patologia respiratoria nota]],1)),0,1)</f>
        <v>1</v>
      </c>
      <c r="W48" s="47">
        <f>IF(ISERROR(SEARCH("OSAS",Tabella2[[#This Row],[Patologia respiratoria nota]],1)),0,1)</f>
        <v>0</v>
      </c>
      <c r="X48" s="47">
        <f>IF(ISERROR(SEARCH("BPCO",Tabella2[[#This Row],[Patologia respiratoria nota]],1)),0,1)</f>
        <v>0</v>
      </c>
      <c r="Y48" s="47">
        <f>IF(ISERROR(SEARCH("ASMA",Tabella2[[#This Row],[Patologia respiratoria nota]],1)),0,1)</f>
        <v>0</v>
      </c>
      <c r="Z48" s="47">
        <f>IF(ISERROR(SEARCH("ASMA, OSAS",Tabella2[[#This Row],[Patologia respiratoria nota]],1)),0,1)</f>
        <v>0</v>
      </c>
      <c r="AA48" s="47">
        <f>IF(ISERROR(SEARCH("BPCO, OSAS",Tabella2[[#This Row],[Patologia respiratoria nota]],1)),0,1)</f>
        <v>0</v>
      </c>
      <c r="AB48" s="47">
        <f>IF(ISERROR(SEARCH("ASMA, BPCO, OSAS",Tabella2[[#This Row],[Patologia respiratoria nota]],1)),0,1)</f>
        <v>0</v>
      </c>
      <c r="AC48" s="33" t="s">
        <v>381</v>
      </c>
      <c r="AD48" s="47">
        <f>IF(ISERROR(SEARCH("NDD",Tabella2[[#This Row],[Tosse]],1)),0,1)</f>
        <v>0</v>
      </c>
      <c r="AE48" s="47">
        <f>IF(ISERROR(SEARCH("NEGA",Tabella2[[#This Row],[Tosse]],1)),0,1)</f>
        <v>0</v>
      </c>
      <c r="AF48" s="47">
        <f>IF(ISERROR(SEARCH("OCCASIONALMENTE",Tabella2[[#This Row],[Tosse]],1)),0,1)</f>
        <v>0</v>
      </c>
      <c r="AG48" s="47">
        <f>IF(ISERROR(SEARCH("RARAMENTE",Tabella2[[#This Row],[Tosse]],1)),0,1)</f>
        <v>0</v>
      </c>
      <c r="AH48" s="17">
        <v>1</v>
      </c>
      <c r="AI48" s="33" t="s">
        <v>5504</v>
      </c>
      <c r="AJ48" s="47">
        <f>IF(ISERROR(SEARCH("SI",Tabella2[[#This Row],[Espettorazione]],1)),0,1)</f>
        <v>1</v>
      </c>
      <c r="AK48" s="17">
        <v>0</v>
      </c>
      <c r="AL48" s="47">
        <f>IF(ISERROR(SEARCH("NDD",Tabella2[[#This Row],[Espettorazione]],1)),0,1)</f>
        <v>0</v>
      </c>
      <c r="AM48" s="33" t="s">
        <v>657</v>
      </c>
      <c r="AN48" s="47">
        <v>0</v>
      </c>
      <c r="AO48" s="33" t="s">
        <v>5528</v>
      </c>
      <c r="AP48" s="47">
        <f>IF(ISERROR(SEARCH("NEGA",Tabella2[[#This Row],[Dispnea da sforzo]],1)),0,1)</f>
        <v>0</v>
      </c>
      <c r="AQ48" s="47">
        <f>IF(ISERROR(SEARCH("NEGA",Tabella2[[#This Row],[Dispnea da sforzo]],1)),1,0)</f>
        <v>1</v>
      </c>
      <c r="AR48" s="47">
        <f>IF(ISERROR(SEARCH("LIEVI",Tabella2[[#This Row],[Dispnea da sforzo]],1)),0,1)</f>
        <v>1</v>
      </c>
      <c r="AS48" s="47">
        <f>IF(ISERROR(SEARCH("MODERATI",Tabella2[[#This Row],[Dispnea da sforzo]],1)),0,1)</f>
        <v>0</v>
      </c>
      <c r="AT48" s="47">
        <f>IF(ISERROR(SEARCH("INTENSI",Tabella2[[#This Row],[Dispnea da sforzo]],1)),0,1)</f>
        <v>0</v>
      </c>
      <c r="AU48" s="33" t="s">
        <v>657</v>
      </c>
      <c r="AV48" s="47">
        <f>IF(ISERROR(SEARCH("NEGA",Tabella2[[#This Row],[Dispnea a riposo]],1)),0,1)</f>
        <v>1</v>
      </c>
      <c r="AW48" s="47">
        <f>IF(ISERROR(SEARCH("NDD",Tabella2[[#This Row],[Dispnea a riposo]],1)),0,1)</f>
        <v>0</v>
      </c>
      <c r="AX48" s="33" t="s">
        <v>476</v>
      </c>
      <c r="AY48" s="46">
        <v>1</v>
      </c>
      <c r="AZ48" s="33" t="s">
        <v>4542</v>
      </c>
      <c r="BA48" s="17">
        <v>1</v>
      </c>
      <c r="BB48" s="33" t="s">
        <v>4543</v>
      </c>
      <c r="BC48" s="17">
        <v>1</v>
      </c>
      <c r="BD48" s="33" t="s">
        <v>7</v>
      </c>
      <c r="BE48" s="17">
        <v>1</v>
      </c>
      <c r="BF48" s="33" t="s">
        <v>4544</v>
      </c>
      <c r="BG48" s="17">
        <v>1</v>
      </c>
      <c r="BH48" s="33" t="s">
        <v>657</v>
      </c>
      <c r="BI48" s="17">
        <v>0</v>
      </c>
      <c r="BJ48" s="33">
        <v>16</v>
      </c>
      <c r="BK48" s="33" t="s">
        <v>4545</v>
      </c>
      <c r="BL48" s="47"/>
      <c r="BM48" s="47"/>
      <c r="BN48" s="47"/>
      <c r="BO48" s="47"/>
      <c r="BP48" s="47"/>
      <c r="BQ48" s="47">
        <v>1</v>
      </c>
      <c r="BR48" s="47"/>
      <c r="BS48" s="47"/>
      <c r="BT48" s="47"/>
      <c r="BU48" s="47"/>
      <c r="BV48" s="47"/>
      <c r="BW48" s="47"/>
      <c r="BX48" s="47"/>
      <c r="BY48" s="47">
        <v>1</v>
      </c>
      <c r="BZ48" s="47">
        <v>1</v>
      </c>
      <c r="CA48" s="47"/>
      <c r="CB48" s="47"/>
      <c r="CC48" s="47"/>
      <c r="CD48" s="47"/>
      <c r="CE48" s="47"/>
      <c r="CF48" s="47"/>
      <c r="CG48" s="33">
        <v>25</v>
      </c>
      <c r="CH48" s="33"/>
      <c r="CI48" s="33">
        <v>96</v>
      </c>
      <c r="CJ48" s="33">
        <v>81</v>
      </c>
      <c r="CK48" s="33" t="s">
        <v>4546</v>
      </c>
      <c r="CL48" s="33" t="s">
        <v>4547</v>
      </c>
      <c r="CM48" s="33" t="s">
        <v>4548</v>
      </c>
      <c r="CN48" s="17">
        <v>0</v>
      </c>
      <c r="CO48" s="17">
        <v>0</v>
      </c>
      <c r="CP48" s="17">
        <v>0</v>
      </c>
      <c r="CQ48" s="17">
        <v>1</v>
      </c>
      <c r="CR48" s="33" t="s">
        <v>4549</v>
      </c>
      <c r="CS48" s="33" t="s">
        <v>4550</v>
      </c>
      <c r="CT48" s="66">
        <v>0.93300000000000005</v>
      </c>
      <c r="CU48" s="33" t="s">
        <v>4551</v>
      </c>
      <c r="CV48" s="33"/>
      <c r="CW48" s="33"/>
      <c r="CX48" s="33" t="s">
        <v>4552</v>
      </c>
      <c r="CY48" s="17">
        <v>1</v>
      </c>
      <c r="CZ48" s="33" t="s">
        <v>4553</v>
      </c>
      <c r="DA48" s="34" t="s">
        <v>4554</v>
      </c>
    </row>
    <row r="49" spans="1:105" customFormat="1" ht="85.5">
      <c r="A49" s="35">
        <v>833</v>
      </c>
      <c r="B49" s="36">
        <v>44637</v>
      </c>
      <c r="C49" s="11" t="s">
        <v>3872</v>
      </c>
      <c r="D49" s="36">
        <v>18205</v>
      </c>
      <c r="E49" s="44">
        <f ca="1">_xlfn.DAYS(NOW(),Tabella2[[#This Row],[Data Nascita]])/365.25</f>
        <v>75.750855578370974</v>
      </c>
      <c r="F49" s="37" t="s">
        <v>3873</v>
      </c>
      <c r="G49" s="37" t="s">
        <v>3874</v>
      </c>
      <c r="H49" s="37" t="s">
        <v>4555</v>
      </c>
      <c r="I49" s="37" t="s">
        <v>3948</v>
      </c>
      <c r="J49" s="37" t="s">
        <v>4556</v>
      </c>
      <c r="K49" s="37"/>
      <c r="L49" s="37"/>
      <c r="M49" s="37"/>
      <c r="N49" s="37"/>
      <c r="O49" s="47" t="s">
        <v>5412</v>
      </c>
      <c r="P49" s="47">
        <v>0</v>
      </c>
      <c r="Q49" s="37" t="s">
        <v>25</v>
      </c>
      <c r="R49" s="37" t="s">
        <v>8</v>
      </c>
      <c r="S49" s="37" t="s">
        <v>4557</v>
      </c>
      <c r="T49" s="37" t="s">
        <v>5419</v>
      </c>
      <c r="U49" s="46">
        <f>IF(ISERROR(SEARCH("null",Tabella2[[#This Row],[Patologia respiratoria nota]],1)),0,1)</f>
        <v>0</v>
      </c>
      <c r="V49" s="47">
        <f>IF(ISERROR(SEARCH("MUTA",Tabella2[[#This Row],[Patologia respiratoria nota]],1)),0,1)</f>
        <v>0</v>
      </c>
      <c r="W49" s="46">
        <f>IF(ISERROR(SEARCH("OSAS",Tabella2[[#This Row],[Patologia respiratoria nota]],1)),0,1)</f>
        <v>0</v>
      </c>
      <c r="X49" s="47">
        <f>IF(ISERROR(SEARCH("BPCO",Tabella2[[#This Row],[Patologia respiratoria nota]],1)),0,1)</f>
        <v>0</v>
      </c>
      <c r="Y49" s="47">
        <f>IF(ISERROR(SEARCH("ASMA",Tabella2[[#This Row],[Patologia respiratoria nota]],1)),0,1)</f>
        <v>1</v>
      </c>
      <c r="Z49" s="47">
        <f>IF(ISERROR(SEARCH("ASMA, OSAS",Tabella2[[#This Row],[Patologia respiratoria nota]],1)),0,1)</f>
        <v>0</v>
      </c>
      <c r="AA49" s="47">
        <f>IF(ISERROR(SEARCH("BPCO, OSAS",Tabella2[[#This Row],[Patologia respiratoria nota]],1)),0,1)</f>
        <v>0</v>
      </c>
      <c r="AB49" s="47">
        <f>IF(ISERROR(SEARCH("ASMA, BPCO, OSAS",Tabella2[[#This Row],[Patologia respiratoria nota]],1)),0,1)</f>
        <v>0</v>
      </c>
      <c r="AC49" s="37" t="s">
        <v>5467</v>
      </c>
      <c r="AD49" s="46">
        <f>IF(ISERROR(SEARCH("NDD",Tabella2[[#This Row],[Tosse]],1)),0,1)</f>
        <v>0</v>
      </c>
      <c r="AE49" s="46">
        <f>IF(ISERROR(SEARCH("NEGA",Tabella2[[#This Row],[Tosse]],1)),0,1)</f>
        <v>0</v>
      </c>
      <c r="AF49" s="46">
        <f>IF(ISERROR(SEARCH("OCCASIONALMENTE",Tabella2[[#This Row],[Tosse]],1)),0,1)</f>
        <v>1</v>
      </c>
      <c r="AG49" s="46">
        <f>IF(ISERROR(SEARCH("RARAMENTE",Tabella2[[#This Row],[Tosse]],1)),0,1)</f>
        <v>0</v>
      </c>
      <c r="AH49" s="17">
        <v>1</v>
      </c>
      <c r="AI49" s="37" t="s">
        <v>657</v>
      </c>
      <c r="AJ49" s="46">
        <f>IF(ISERROR(SEARCH("SI",Tabella2[[#This Row],[Espettorazione]],1)),0,1)</f>
        <v>0</v>
      </c>
      <c r="AK49" s="46">
        <f>IF(ISERROR(SEARCH("NEGA",Tabella2[[#This Row],[Espettorazione]],1)),0,1)</f>
        <v>1</v>
      </c>
      <c r="AL49" s="46">
        <f>IF(ISERROR(SEARCH("NDD",Tabella2[[#This Row],[Espettorazione]],1)),0,1)</f>
        <v>0</v>
      </c>
      <c r="AM49" s="37" t="s">
        <v>657</v>
      </c>
      <c r="AN49" s="47">
        <v>0</v>
      </c>
      <c r="AO49" s="37" t="s">
        <v>5554</v>
      </c>
      <c r="AP49" s="47">
        <f>IF(ISERROR(SEARCH("NEGA",Tabella2[[#This Row],[Dispnea da sforzo]],1)),0,1)</f>
        <v>0</v>
      </c>
      <c r="AQ49" s="47">
        <f>IF(ISERROR(SEARCH("NEGA",Tabella2[[#This Row],[Dispnea da sforzo]],1)),1,0)</f>
        <v>1</v>
      </c>
      <c r="AR49" s="47">
        <f>IF(ISERROR(SEARCH("LIEVI",Tabella2[[#This Row],[Dispnea da sforzo]],1)),0,1)</f>
        <v>1</v>
      </c>
      <c r="AS49" s="47">
        <f>IF(ISERROR(SEARCH("MODERATI",Tabella2[[#This Row],[Dispnea da sforzo]],1)),0,1)</f>
        <v>1</v>
      </c>
      <c r="AT49" s="47">
        <f>IF(ISERROR(SEARCH("INTENSI",Tabella2[[#This Row],[Dispnea da sforzo]],1)),0,1)</f>
        <v>0</v>
      </c>
      <c r="AU49" s="37" t="s">
        <v>657</v>
      </c>
      <c r="AV49" s="46">
        <f>IF(ISERROR(SEARCH("NEGA",Tabella2[[#This Row],[Dispnea a riposo]],1)),0,1)</f>
        <v>1</v>
      </c>
      <c r="AW49" s="46">
        <f>IF(ISERROR(SEARCH("NDD",Tabella2[[#This Row],[Dispnea a riposo]],1)),0,1)</f>
        <v>0</v>
      </c>
      <c r="AX49" s="37" t="s">
        <v>4558</v>
      </c>
      <c r="AY49" s="46">
        <v>1</v>
      </c>
      <c r="AZ49" s="37" t="s">
        <v>4559</v>
      </c>
      <c r="BA49" s="17">
        <v>1</v>
      </c>
      <c r="BB49" s="37" t="s">
        <v>134</v>
      </c>
      <c r="BC49" s="17">
        <v>1</v>
      </c>
      <c r="BD49" s="37" t="s">
        <v>47</v>
      </c>
      <c r="BE49" s="17">
        <v>1</v>
      </c>
      <c r="BF49" s="37" t="s">
        <v>4560</v>
      </c>
      <c r="BG49" s="17">
        <v>1</v>
      </c>
      <c r="BH49" s="37" t="s">
        <v>4561</v>
      </c>
      <c r="BI49" s="18">
        <v>1</v>
      </c>
      <c r="BJ49" s="37">
        <v>15</v>
      </c>
      <c r="BK49" s="37" t="s">
        <v>4562</v>
      </c>
      <c r="BL49" s="46"/>
      <c r="BM49" s="46"/>
      <c r="BN49" s="46"/>
      <c r="BO49" s="46"/>
      <c r="BP49" s="46"/>
      <c r="BQ49" s="46"/>
      <c r="BR49" s="46"/>
      <c r="BS49" s="46">
        <v>1</v>
      </c>
      <c r="BT49" s="46"/>
      <c r="BU49" s="46"/>
      <c r="BV49" s="46">
        <v>1</v>
      </c>
      <c r="BW49" s="46"/>
      <c r="BX49" s="46"/>
      <c r="BY49" s="46"/>
      <c r="BZ49" s="46">
        <v>1</v>
      </c>
      <c r="CA49" s="46"/>
      <c r="CB49" s="46"/>
      <c r="CC49" s="46"/>
      <c r="CD49" s="46"/>
      <c r="CE49" s="46"/>
      <c r="CF49" s="46"/>
      <c r="CG49" s="37">
        <v>27</v>
      </c>
      <c r="CH49" s="37"/>
      <c r="CI49" s="37">
        <v>95</v>
      </c>
      <c r="CJ49" s="37">
        <v>80</v>
      </c>
      <c r="CK49" s="37" t="s">
        <v>2158</v>
      </c>
      <c r="CL49" s="37" t="s">
        <v>4563</v>
      </c>
      <c r="CM49" s="37" t="s">
        <v>4273</v>
      </c>
      <c r="CN49" s="17">
        <v>0</v>
      </c>
      <c r="CO49" s="17">
        <v>0</v>
      </c>
      <c r="CP49" s="17">
        <v>0</v>
      </c>
      <c r="CQ49" s="17">
        <v>1</v>
      </c>
      <c r="CR49" s="37" t="s">
        <v>4549</v>
      </c>
      <c r="CS49" s="37" t="s">
        <v>4298</v>
      </c>
      <c r="CT49" s="63">
        <v>1</v>
      </c>
      <c r="CU49" s="37" t="s">
        <v>4551</v>
      </c>
      <c r="CV49" s="37"/>
      <c r="CW49" s="37"/>
      <c r="CX49" s="37" t="s">
        <v>461</v>
      </c>
      <c r="CY49" s="17">
        <v>1</v>
      </c>
      <c r="CZ49" s="37" t="s">
        <v>4564</v>
      </c>
      <c r="DA49" s="38" t="s">
        <v>4565</v>
      </c>
    </row>
    <row r="50" spans="1:105" ht="128.25">
      <c r="A50" s="5">
        <v>864</v>
      </c>
      <c r="B50" s="6">
        <v>44651</v>
      </c>
      <c r="C50" s="7" t="s">
        <v>4566</v>
      </c>
      <c r="D50" s="6">
        <v>22656</v>
      </c>
      <c r="E50" s="51">
        <f ca="1">_xlfn.DAYS(NOW(),Tabella2[[#This Row],[Data Nascita]])/365.25</f>
        <v>63.564681724845997</v>
      </c>
      <c r="F50" s="7" t="s">
        <v>4567</v>
      </c>
      <c r="G50" s="7" t="s">
        <v>4568</v>
      </c>
      <c r="H50" s="7" t="s">
        <v>4569</v>
      </c>
      <c r="I50" s="7" t="s">
        <v>473</v>
      </c>
      <c r="J50" s="7" t="s">
        <v>4570</v>
      </c>
      <c r="K50" s="7"/>
      <c r="L50" s="7"/>
      <c r="M50" s="7"/>
      <c r="N50" s="7"/>
      <c r="O50" s="17" t="s">
        <v>5412</v>
      </c>
      <c r="P50" s="17">
        <v>0</v>
      </c>
      <c r="Q50" s="7" t="s">
        <v>8</v>
      </c>
      <c r="R50" s="7" t="s">
        <v>8</v>
      </c>
      <c r="S50" s="7" t="s">
        <v>4571</v>
      </c>
      <c r="T50" s="7" t="s">
        <v>5431</v>
      </c>
      <c r="U50" s="17">
        <f>IF(ISERROR(SEARCH("null",Tabella2[[#This Row],[Patologia respiratoria nota]],1)),0,1)</f>
        <v>0</v>
      </c>
      <c r="V50" s="17">
        <f>IF(ISERROR(SEARCH("MUTA",Tabella2[[#This Row],[Patologia respiratoria nota]],1)),0,1)</f>
        <v>0</v>
      </c>
      <c r="W50" s="17">
        <f>IF(ISERROR(SEARCH("OSAS",Tabella2[[#This Row],[Patologia respiratoria nota]],1)),0,1)</f>
        <v>1</v>
      </c>
      <c r="X50" s="17">
        <f>IF(ISERROR(SEARCH("BPCO",Tabella2[[#This Row],[Patologia respiratoria nota]],1)),0,1)</f>
        <v>1</v>
      </c>
      <c r="Y50" s="17">
        <f>IF(ISERROR(SEARCH("ASMA",Tabella2[[#This Row],[Patologia respiratoria nota]],1)),0,1)</f>
        <v>0</v>
      </c>
      <c r="Z50" s="17">
        <f>IF(ISERROR(SEARCH("ASMA, OSAS",Tabella2[[#This Row],[Patologia respiratoria nota]],1)),0,1)</f>
        <v>0</v>
      </c>
      <c r="AA50" s="17">
        <f>IF(ISERROR(SEARCH("BPCO, OSAS",Tabella2[[#This Row],[Patologia respiratoria nota]],1)),0,1)</f>
        <v>1</v>
      </c>
      <c r="AB50" s="17">
        <f>IF(ISERROR(SEARCH("ASMA, BPCO, OSAS",Tabella2[[#This Row],[Patologia respiratoria nota]],1)),0,1)</f>
        <v>0</v>
      </c>
      <c r="AC50" s="7" t="s">
        <v>5478</v>
      </c>
      <c r="AD50" s="17">
        <f>IF(ISERROR(SEARCH("NDD",Tabella2[[#This Row],[Tosse]],1)),0,1)</f>
        <v>0</v>
      </c>
      <c r="AE50" s="17">
        <f>IF(ISERROR(SEARCH("NEGA",Tabella2[[#This Row],[Tosse]],1)),0,1)</f>
        <v>0</v>
      </c>
      <c r="AF50" s="17">
        <f>IF(ISERROR(SEARCH("OCCASIONALMENTE",Tabella2[[#This Row],[Tosse]],1)),0,1)</f>
        <v>1</v>
      </c>
      <c r="AG50" s="17">
        <f>IF(ISERROR(SEARCH("RARAMENTE",Tabella2[[#This Row],[Tosse]],1)),0,1)</f>
        <v>0</v>
      </c>
      <c r="AH50" s="17">
        <v>1</v>
      </c>
      <c r="AI50" s="7" t="s">
        <v>657</v>
      </c>
      <c r="AJ50" s="17">
        <f>IF(ISERROR(SEARCH("SI",Tabella2[[#This Row],[Espettorazione]],1)),0,1)</f>
        <v>0</v>
      </c>
      <c r="AK50" s="17">
        <f>IF(ISERROR(SEARCH("NEGA",Tabella2[[#This Row],[Espettorazione]],1)),0,1)</f>
        <v>1</v>
      </c>
      <c r="AL50" s="17">
        <f>IF(ISERROR(SEARCH("NDD",Tabella2[[#This Row],[Espettorazione]],1)),0,1)</f>
        <v>0</v>
      </c>
      <c r="AM50" s="7" t="s">
        <v>657</v>
      </c>
      <c r="AN50" s="17">
        <v>0</v>
      </c>
      <c r="AO50" s="7" t="s">
        <v>7</v>
      </c>
      <c r="AP50" s="17">
        <f>IF(ISERROR(SEARCH("NEGA",Tabella2[[#This Row],[Dispnea da sforzo]],1)),0,1)</f>
        <v>0</v>
      </c>
      <c r="AQ50" s="17">
        <f>IF(ISERROR(SEARCH("NEGA",Tabella2[[#This Row],[Dispnea da sforzo]],1)),1,0)</f>
        <v>1</v>
      </c>
      <c r="AR50" s="17">
        <f>IF(ISERROR(SEARCH("LIEVI",Tabella2[[#This Row],[Dispnea da sforzo]],1)),0,1)</f>
        <v>0</v>
      </c>
      <c r="AS50" s="17">
        <f>IF(ISERROR(SEARCH("MODERATI",Tabella2[[#This Row],[Dispnea da sforzo]],1)),0,1)</f>
        <v>0</v>
      </c>
      <c r="AT50" s="17">
        <f>IF(ISERROR(SEARCH("INTENSI",Tabella2[[#This Row],[Dispnea da sforzo]],1)),0,1)</f>
        <v>0</v>
      </c>
      <c r="AU50" s="7" t="s">
        <v>657</v>
      </c>
      <c r="AV50" s="17">
        <f>IF(ISERROR(SEARCH("NEGA",Tabella2[[#This Row],[Dispnea a riposo]],1)),0,1)</f>
        <v>1</v>
      </c>
      <c r="AW50" s="17">
        <f>IF(ISERROR(SEARCH("NDD",Tabella2[[#This Row],[Dispnea a riposo]],1)),0,1)</f>
        <v>0</v>
      </c>
      <c r="AX50" s="7" t="s">
        <v>5583</v>
      </c>
      <c r="AY50" s="17">
        <v>0</v>
      </c>
      <c r="AZ50" s="7" t="s">
        <v>657</v>
      </c>
      <c r="BA50" s="18">
        <v>0</v>
      </c>
      <c r="BB50" s="7" t="s">
        <v>657</v>
      </c>
      <c r="BC50" s="17">
        <v>0</v>
      </c>
      <c r="BD50" s="7" t="s">
        <v>461</v>
      </c>
      <c r="BE50" s="17">
        <v>1</v>
      </c>
      <c r="BF50" s="7" t="s">
        <v>824</v>
      </c>
      <c r="BG50" s="17">
        <v>1</v>
      </c>
      <c r="BH50" s="7" t="s">
        <v>657</v>
      </c>
      <c r="BI50" s="17">
        <v>0</v>
      </c>
      <c r="BJ50" s="7">
        <v>13</v>
      </c>
      <c r="BK50" s="7" t="s">
        <v>4572</v>
      </c>
      <c r="BL50" s="17"/>
      <c r="BM50" s="17"/>
      <c r="BN50" s="17"/>
      <c r="BO50" s="17"/>
      <c r="BP50" s="17"/>
      <c r="BQ50" s="17"/>
      <c r="BR50" s="17"/>
      <c r="BS50" s="17"/>
      <c r="BT50" s="17"/>
      <c r="BU50" s="17"/>
      <c r="BV50" s="17"/>
      <c r="BW50" s="17"/>
      <c r="BX50" s="17"/>
      <c r="BY50" s="17"/>
      <c r="BZ50" s="17">
        <v>1</v>
      </c>
      <c r="CA50" s="17"/>
      <c r="CB50" s="17"/>
      <c r="CC50" s="17"/>
      <c r="CD50" s="17"/>
      <c r="CE50" s="17"/>
      <c r="CF50" s="17"/>
      <c r="CG50" s="7">
        <v>33</v>
      </c>
      <c r="CH50" s="7"/>
      <c r="CI50" s="7">
        <v>97</v>
      </c>
      <c r="CJ50" s="7">
        <v>72</v>
      </c>
      <c r="CK50" s="7" t="s">
        <v>2097</v>
      </c>
      <c r="CL50" s="7" t="s">
        <v>4573</v>
      </c>
      <c r="CM50" s="33" t="s">
        <v>5477</v>
      </c>
      <c r="CN50" s="47">
        <v>1</v>
      </c>
      <c r="CO50" s="17">
        <v>0</v>
      </c>
      <c r="CP50" s="17">
        <v>0</v>
      </c>
      <c r="CQ50" s="17">
        <v>0</v>
      </c>
      <c r="CR50" s="7"/>
      <c r="CS50" s="33" t="s">
        <v>5477</v>
      </c>
      <c r="CT50" s="64"/>
      <c r="CU50" s="7"/>
      <c r="CV50" s="7"/>
      <c r="CW50" s="7"/>
      <c r="CX50" s="7" t="s">
        <v>5477</v>
      </c>
      <c r="CY50" s="17">
        <v>0</v>
      </c>
      <c r="CZ50" s="7"/>
      <c r="DA50" s="8" t="s">
        <v>4574</v>
      </c>
    </row>
    <row r="51" spans="1:105" customFormat="1" ht="99.75">
      <c r="A51" s="35">
        <v>899</v>
      </c>
      <c r="B51" s="36">
        <v>44670</v>
      </c>
      <c r="C51" s="11" t="s">
        <v>4575</v>
      </c>
      <c r="D51" s="36">
        <v>24846</v>
      </c>
      <c r="E51" s="44">
        <f ca="1">_xlfn.DAYS(NOW(),Tabella2[[#This Row],[Data Nascita]])/365.25</f>
        <v>57.568788501026695</v>
      </c>
      <c r="F51" s="37" t="s">
        <v>3982</v>
      </c>
      <c r="G51" s="37" t="s">
        <v>3983</v>
      </c>
      <c r="H51" s="37" t="s">
        <v>4555</v>
      </c>
      <c r="I51" s="37" t="s">
        <v>3948</v>
      </c>
      <c r="J51" s="37" t="s">
        <v>4180</v>
      </c>
      <c r="K51" s="37"/>
      <c r="L51" s="37"/>
      <c r="M51" s="37"/>
      <c r="N51" s="37"/>
      <c r="O51" s="47" t="s">
        <v>5412</v>
      </c>
      <c r="P51" s="47">
        <v>0</v>
      </c>
      <c r="Q51" s="37" t="s">
        <v>8</v>
      </c>
      <c r="R51" s="37"/>
      <c r="S51" s="37" t="s">
        <v>4576</v>
      </c>
      <c r="T51" s="37" t="s">
        <v>3804</v>
      </c>
      <c r="U51" s="46">
        <f>IF(ISERROR(SEARCH("null",Tabella2[[#This Row],[Patologia respiratoria nota]],1)),0,1)</f>
        <v>0</v>
      </c>
      <c r="V51" s="47">
        <f>IF(ISERROR(SEARCH("MUTA",Tabella2[[#This Row],[Patologia respiratoria nota]],1)),0,1)</f>
        <v>0</v>
      </c>
      <c r="W51" s="46">
        <f>IF(ISERROR(SEARCH("OSAS",Tabella2[[#This Row],[Patologia respiratoria nota]],1)),0,1)</f>
        <v>1</v>
      </c>
      <c r="X51" s="47">
        <f>IF(ISERROR(SEARCH("BPCO",Tabella2[[#This Row],[Patologia respiratoria nota]],1)),0,1)</f>
        <v>0</v>
      </c>
      <c r="Y51" s="47">
        <f>IF(ISERROR(SEARCH("ASMA",Tabella2[[#This Row],[Patologia respiratoria nota]],1)),0,1)</f>
        <v>1</v>
      </c>
      <c r="Z51" s="47">
        <f>IF(ISERROR(SEARCH("ASMA, OSAS",Tabella2[[#This Row],[Patologia respiratoria nota]],1)),0,1)</f>
        <v>1</v>
      </c>
      <c r="AA51" s="47">
        <f>IF(ISERROR(SEARCH("BPCO, OSAS",Tabella2[[#This Row],[Patologia respiratoria nota]],1)),0,1)</f>
        <v>0</v>
      </c>
      <c r="AB51" s="47">
        <f>IF(ISERROR(SEARCH("ASMA, BPCO, OSAS",Tabella2[[#This Row],[Patologia respiratoria nota]],1)),0,1)</f>
        <v>0</v>
      </c>
      <c r="AC51" s="37" t="s">
        <v>5448</v>
      </c>
      <c r="AD51" s="46">
        <f>IF(ISERROR(SEARCH("NDD",Tabella2[[#This Row],[Tosse]],1)),0,1)</f>
        <v>0</v>
      </c>
      <c r="AE51" s="46">
        <f>IF(ISERROR(SEARCH("NEGA",Tabella2[[#This Row],[Tosse]],1)),0,1)</f>
        <v>0</v>
      </c>
      <c r="AF51" s="46">
        <f>IF(ISERROR(SEARCH("OCCASIONALMENTE",Tabella2[[#This Row],[Tosse]],1)),0,1)</f>
        <v>0</v>
      </c>
      <c r="AG51" s="46">
        <f>IF(ISERROR(SEARCH("RARAMENTE",Tabella2[[#This Row],[Tosse]],1)),0,1)</f>
        <v>0</v>
      </c>
      <c r="AH51" s="17">
        <v>1</v>
      </c>
      <c r="AI51" s="37" t="s">
        <v>657</v>
      </c>
      <c r="AJ51" s="46">
        <f>IF(ISERROR(SEARCH("SI",Tabella2[[#This Row],[Espettorazione]],1)),0,1)</f>
        <v>0</v>
      </c>
      <c r="AK51" s="46">
        <f>IF(ISERROR(SEARCH("NEGA",Tabella2[[#This Row],[Espettorazione]],1)),0,1)</f>
        <v>1</v>
      </c>
      <c r="AL51" s="46">
        <f>IF(ISERROR(SEARCH("NDD",Tabella2[[#This Row],[Espettorazione]],1)),0,1)</f>
        <v>0</v>
      </c>
      <c r="AM51" s="37" t="s">
        <v>5516</v>
      </c>
      <c r="AN51" s="47">
        <v>0</v>
      </c>
      <c r="AO51" s="37" t="s">
        <v>5534</v>
      </c>
      <c r="AP51" s="47">
        <f>IF(ISERROR(SEARCH("NEGA",Tabella2[[#This Row],[Dispnea da sforzo]],1)),0,1)</f>
        <v>0</v>
      </c>
      <c r="AQ51" s="47">
        <f>IF(ISERROR(SEARCH("NEGA",Tabella2[[#This Row],[Dispnea da sforzo]],1)),1,0)</f>
        <v>1</v>
      </c>
      <c r="AR51" s="47">
        <f>IF(ISERROR(SEARCH("LIEVI",Tabella2[[#This Row],[Dispnea da sforzo]],1)),0,1)</f>
        <v>0</v>
      </c>
      <c r="AS51" s="47">
        <f>IF(ISERROR(SEARCH("MODERATI",Tabella2[[#This Row],[Dispnea da sforzo]],1)),0,1)</f>
        <v>1</v>
      </c>
      <c r="AT51" s="47">
        <f>IF(ISERROR(SEARCH("INTENSI",Tabella2[[#This Row],[Dispnea da sforzo]],1)),0,1)</f>
        <v>0</v>
      </c>
      <c r="AU51" s="37" t="s">
        <v>657</v>
      </c>
      <c r="AV51" s="46">
        <f>IF(ISERROR(SEARCH("NEGA",Tabella2[[#This Row],[Dispnea a riposo]],1)),0,1)</f>
        <v>1</v>
      </c>
      <c r="AW51" s="46">
        <f>IF(ISERROR(SEARCH("NDD",Tabella2[[#This Row],[Dispnea a riposo]],1)),0,1)</f>
        <v>0</v>
      </c>
      <c r="AX51" s="37" t="s">
        <v>4577</v>
      </c>
      <c r="AY51" s="46">
        <v>1</v>
      </c>
      <c r="AZ51" s="37" t="s">
        <v>894</v>
      </c>
      <c r="BA51" s="17">
        <v>1</v>
      </c>
      <c r="BB51" s="7" t="s">
        <v>657</v>
      </c>
      <c r="BC51" s="17">
        <v>0</v>
      </c>
      <c r="BD51" s="37" t="s">
        <v>4578</v>
      </c>
      <c r="BE51" s="17">
        <v>1</v>
      </c>
      <c r="BF51" s="37" t="s">
        <v>824</v>
      </c>
      <c r="BG51" s="17">
        <v>1</v>
      </c>
      <c r="BH51" s="37" t="s">
        <v>4579</v>
      </c>
      <c r="BI51" s="18">
        <v>1</v>
      </c>
      <c r="BJ51" s="37">
        <v>12</v>
      </c>
      <c r="BK51" s="37" t="s">
        <v>4580</v>
      </c>
      <c r="BL51" s="46"/>
      <c r="BM51" s="46"/>
      <c r="BN51" s="46"/>
      <c r="BO51" s="46"/>
      <c r="BP51" s="46"/>
      <c r="BQ51" s="46"/>
      <c r="BR51" s="46"/>
      <c r="BS51" s="46"/>
      <c r="BT51" s="46"/>
      <c r="BU51" s="46"/>
      <c r="BV51" s="46"/>
      <c r="BW51" s="46"/>
      <c r="BX51" s="46"/>
      <c r="BY51" s="46"/>
      <c r="BZ51" s="46">
        <v>1</v>
      </c>
      <c r="CA51" s="46"/>
      <c r="CB51" s="46"/>
      <c r="CC51" s="46"/>
      <c r="CD51" s="46">
        <v>1</v>
      </c>
      <c r="CE51" s="46"/>
      <c r="CF51" s="46"/>
      <c r="CG51" s="37">
        <v>31</v>
      </c>
      <c r="CH51" s="37"/>
      <c r="CI51" s="37">
        <v>97</v>
      </c>
      <c r="CJ51" s="37">
        <v>63</v>
      </c>
      <c r="CK51" s="37" t="s">
        <v>4581</v>
      </c>
      <c r="CL51" s="37" t="s">
        <v>4582</v>
      </c>
      <c r="CM51" s="37" t="s">
        <v>4273</v>
      </c>
      <c r="CN51" s="17">
        <v>0</v>
      </c>
      <c r="CO51" s="17">
        <v>0</v>
      </c>
      <c r="CP51" s="17">
        <v>0</v>
      </c>
      <c r="CQ51" s="17">
        <v>1</v>
      </c>
      <c r="CR51" s="37" t="s">
        <v>4549</v>
      </c>
      <c r="CS51" s="37" t="s">
        <v>4583</v>
      </c>
      <c r="CT51" s="63">
        <v>0.90900000000000003</v>
      </c>
      <c r="CU51" s="37" t="s">
        <v>4584</v>
      </c>
      <c r="CV51" s="37"/>
      <c r="CW51" s="37"/>
      <c r="CX51" s="37" t="s">
        <v>4585</v>
      </c>
      <c r="CY51" s="17">
        <v>1</v>
      </c>
      <c r="CZ51" s="37" t="s">
        <v>4586</v>
      </c>
      <c r="DA51" s="38"/>
    </row>
    <row r="52" spans="1:105" customFormat="1" ht="126" customHeight="1">
      <c r="A52" s="31">
        <v>906</v>
      </c>
      <c r="B52" s="32">
        <v>44672</v>
      </c>
      <c r="C52" s="7" t="s">
        <v>4587</v>
      </c>
      <c r="D52" s="32">
        <v>22871</v>
      </c>
      <c r="E52" s="43">
        <f ca="1">_xlfn.DAYS(NOW(),Tabella2[[#This Row],[Data Nascita]])/365.25</f>
        <v>62.976043805612591</v>
      </c>
      <c r="F52" s="33" t="s">
        <v>4588</v>
      </c>
      <c r="G52" s="33" t="s">
        <v>4589</v>
      </c>
      <c r="H52" s="33" t="s">
        <v>4555</v>
      </c>
      <c r="I52" s="33" t="s">
        <v>3948</v>
      </c>
      <c r="J52" s="33" t="s">
        <v>4590</v>
      </c>
      <c r="K52" s="33"/>
      <c r="L52" s="33"/>
      <c r="M52" s="33"/>
      <c r="N52" s="33"/>
      <c r="O52" s="47" t="s">
        <v>5412</v>
      </c>
      <c r="P52" s="47">
        <v>0</v>
      </c>
      <c r="Q52" s="33" t="s">
        <v>8</v>
      </c>
      <c r="R52" s="33" t="s">
        <v>8</v>
      </c>
      <c r="S52" s="33" t="s">
        <v>4591</v>
      </c>
      <c r="T52" s="33" t="s">
        <v>4592</v>
      </c>
      <c r="U52" s="47">
        <f>IF(ISERROR(SEARCH("null",Tabella2[[#This Row],[Patologia respiratoria nota]],1)),0,1)</f>
        <v>0</v>
      </c>
      <c r="V52" s="47">
        <f>IF(ISERROR(SEARCH("MUTA",Tabella2[[#This Row],[Patologia respiratoria nota]],1)),0,1)</f>
        <v>0</v>
      </c>
      <c r="W52" s="47">
        <f>IF(ISERROR(SEARCH("OSAS",Tabella2[[#This Row],[Patologia respiratoria nota]],1)),0,1)</f>
        <v>1</v>
      </c>
      <c r="X52" s="47">
        <f>IF(ISERROR(SEARCH("BPCO",Tabella2[[#This Row],[Patologia respiratoria nota]],1)),0,1)</f>
        <v>0</v>
      </c>
      <c r="Y52" s="47">
        <f>IF(ISERROR(SEARCH("ASMA",Tabella2[[#This Row],[Patologia respiratoria nota]],1)),0,1)</f>
        <v>0</v>
      </c>
      <c r="Z52" s="47">
        <f>IF(ISERROR(SEARCH("ASMA, OSAS",Tabella2[[#This Row],[Patologia respiratoria nota]],1)),0,1)</f>
        <v>0</v>
      </c>
      <c r="AA52" s="47">
        <f>IF(ISERROR(SEARCH("BPCO, OSAS",Tabella2[[#This Row],[Patologia respiratoria nota]],1)),0,1)</f>
        <v>0</v>
      </c>
      <c r="AB52" s="47">
        <f>IF(ISERROR(SEARCH("ASMA, BPCO, OSAS",Tabella2[[#This Row],[Patologia respiratoria nota]],1)),0,1)</f>
        <v>0</v>
      </c>
      <c r="AC52" s="33" t="s">
        <v>5449</v>
      </c>
      <c r="AD52" s="47">
        <f>IF(ISERROR(SEARCH("NDD",Tabella2[[#This Row],[Tosse]],1)),0,1)</f>
        <v>0</v>
      </c>
      <c r="AE52" s="47">
        <f>IF(ISERROR(SEARCH("NEGA",Tabella2[[#This Row],[Tosse]],1)),0,1)</f>
        <v>0</v>
      </c>
      <c r="AF52" s="47">
        <f>IF(ISERROR(SEARCH("OCCASIONALMENTE",Tabella2[[#This Row],[Tosse]],1)),0,1)</f>
        <v>0</v>
      </c>
      <c r="AG52" s="47">
        <f>IF(ISERROR(SEARCH("RARAMENTE",Tabella2[[#This Row],[Tosse]],1)),0,1)</f>
        <v>0</v>
      </c>
      <c r="AH52" s="17">
        <v>1</v>
      </c>
      <c r="AI52" s="33" t="s">
        <v>5488</v>
      </c>
      <c r="AJ52" s="47">
        <f>IF(ISERROR(SEARCH("SI",Tabella2[[#This Row],[Espettorazione]],1)),0,1)</f>
        <v>1</v>
      </c>
      <c r="AK52" s="17">
        <v>0</v>
      </c>
      <c r="AL52" s="47">
        <f>IF(ISERROR(SEARCH("NDD",Tabella2[[#This Row],[Espettorazione]],1)),0,1)</f>
        <v>0</v>
      </c>
      <c r="AM52" s="33" t="s">
        <v>272</v>
      </c>
      <c r="AN52" s="47">
        <v>1</v>
      </c>
      <c r="AO52" s="33" t="s">
        <v>5535</v>
      </c>
      <c r="AP52" s="47">
        <f>IF(ISERROR(SEARCH("NEGA",Tabella2[[#This Row],[Dispnea da sforzo]],1)),0,1)</f>
        <v>0</v>
      </c>
      <c r="AQ52" s="47">
        <f>IF(ISERROR(SEARCH("NEGA",Tabella2[[#This Row],[Dispnea da sforzo]],1)),1,0)</f>
        <v>1</v>
      </c>
      <c r="AR52" s="47">
        <f>IF(ISERROR(SEARCH("LIEVI",Tabella2[[#This Row],[Dispnea da sforzo]],1)),0,1)</f>
        <v>0</v>
      </c>
      <c r="AS52" s="47">
        <f>IF(ISERROR(SEARCH("MODERATI",Tabella2[[#This Row],[Dispnea da sforzo]],1)),0,1)</f>
        <v>1</v>
      </c>
      <c r="AT52" s="47">
        <f>IF(ISERROR(SEARCH("INTENSI",Tabella2[[#This Row],[Dispnea da sforzo]],1)),0,1)</f>
        <v>0</v>
      </c>
      <c r="AU52" s="33" t="s">
        <v>657</v>
      </c>
      <c r="AV52" s="47">
        <f>IF(ISERROR(SEARCH("NEGA",Tabella2[[#This Row],[Dispnea a riposo]],1)),0,1)</f>
        <v>1</v>
      </c>
      <c r="AW52" s="47">
        <f>IF(ISERROR(SEARCH("NDD",Tabella2[[#This Row],[Dispnea a riposo]],1)),0,1)</f>
        <v>0</v>
      </c>
      <c r="AX52" s="33" t="s">
        <v>4593</v>
      </c>
      <c r="AY52" s="46">
        <v>1</v>
      </c>
      <c r="AZ52" s="33" t="s">
        <v>4594</v>
      </c>
      <c r="BA52" s="17">
        <v>1</v>
      </c>
      <c r="BB52" s="33" t="s">
        <v>4595</v>
      </c>
      <c r="BC52" s="17">
        <v>1</v>
      </c>
      <c r="BD52" s="33" t="s">
        <v>7</v>
      </c>
      <c r="BE52" s="17">
        <v>1</v>
      </c>
      <c r="BF52" s="33" t="s">
        <v>4544</v>
      </c>
      <c r="BG52" s="17">
        <v>1</v>
      </c>
      <c r="BH52" s="33" t="s">
        <v>272</v>
      </c>
      <c r="BI52" s="18">
        <v>1</v>
      </c>
      <c r="BJ52" s="33">
        <v>16</v>
      </c>
      <c r="BK52" s="37" t="s">
        <v>7663</v>
      </c>
      <c r="BL52" s="47"/>
      <c r="BM52" s="47"/>
      <c r="BN52" s="47"/>
      <c r="BO52" s="47"/>
      <c r="BP52" s="47"/>
      <c r="BQ52" s="47">
        <v>1</v>
      </c>
      <c r="BR52" s="47"/>
      <c r="BS52" s="47"/>
      <c r="BT52" s="47"/>
      <c r="BU52" s="47"/>
      <c r="BV52" s="47">
        <v>1</v>
      </c>
      <c r="BW52" s="47"/>
      <c r="BX52" s="47">
        <v>1</v>
      </c>
      <c r="BY52" s="47"/>
      <c r="BZ52" s="47"/>
      <c r="CA52" s="47"/>
      <c r="CB52" s="47"/>
      <c r="CC52" s="47"/>
      <c r="CD52" s="47"/>
      <c r="CE52" s="47"/>
      <c r="CF52" s="47"/>
      <c r="CG52" s="33">
        <v>29</v>
      </c>
      <c r="CH52" s="33"/>
      <c r="CI52" s="33">
        <v>98</v>
      </c>
      <c r="CJ52" s="33">
        <v>70</v>
      </c>
      <c r="CK52" s="33" t="s">
        <v>2158</v>
      </c>
      <c r="CL52" s="33" t="s">
        <v>4596</v>
      </c>
      <c r="CM52" s="33" t="s">
        <v>4548</v>
      </c>
      <c r="CN52" s="17">
        <v>0</v>
      </c>
      <c r="CO52" s="17">
        <v>0</v>
      </c>
      <c r="CP52" s="17">
        <v>0</v>
      </c>
      <c r="CQ52" s="17">
        <v>1</v>
      </c>
      <c r="CR52" s="33" t="s">
        <v>4451</v>
      </c>
      <c r="CS52" s="33" t="s">
        <v>4298</v>
      </c>
      <c r="CT52" s="66">
        <v>1</v>
      </c>
      <c r="CU52" s="33" t="s">
        <v>4597</v>
      </c>
      <c r="CV52" s="33"/>
      <c r="CW52" s="33"/>
      <c r="CX52" s="33" t="s">
        <v>4552</v>
      </c>
      <c r="CY52" s="17">
        <v>1</v>
      </c>
      <c r="CZ52" s="33" t="s">
        <v>4598</v>
      </c>
      <c r="DA52" s="34" t="s">
        <v>4599</v>
      </c>
    </row>
    <row r="53" spans="1:105" ht="57">
      <c r="A53" s="9">
        <v>924</v>
      </c>
      <c r="B53" s="10">
        <v>44678</v>
      </c>
      <c r="C53" s="11" t="s">
        <v>4428</v>
      </c>
      <c r="D53" s="10">
        <v>17045</v>
      </c>
      <c r="E53" s="52">
        <f ca="1">_xlfn.DAYS(NOW(),Tabella2[[#This Row],[Data Nascita]])/365.25</f>
        <v>78.926762491444222</v>
      </c>
      <c r="F53" s="11" t="s">
        <v>4429</v>
      </c>
      <c r="G53" s="11"/>
      <c r="H53" s="11" t="s">
        <v>4600</v>
      </c>
      <c r="I53" s="11" t="s">
        <v>3948</v>
      </c>
      <c r="J53" s="11" t="s">
        <v>4601</v>
      </c>
      <c r="K53" s="11"/>
      <c r="L53" s="11"/>
      <c r="M53" s="11"/>
      <c r="N53" s="11"/>
      <c r="O53" s="17" t="s">
        <v>5412</v>
      </c>
      <c r="P53" s="17">
        <v>0</v>
      </c>
      <c r="Q53" s="11" t="s">
        <v>8</v>
      </c>
      <c r="R53" s="11" t="s">
        <v>4602</v>
      </c>
      <c r="S53" s="11" t="s">
        <v>4603</v>
      </c>
      <c r="T53" s="11" t="s">
        <v>5414</v>
      </c>
      <c r="U53" s="18">
        <f>IF(ISERROR(SEARCH("null",Tabella2[[#This Row],[Patologia respiratoria nota]],1)),0,1)</f>
        <v>0</v>
      </c>
      <c r="V53" s="17">
        <f>IF(ISERROR(SEARCH("MUTA",Tabella2[[#This Row],[Patologia respiratoria nota]],1)),0,1)</f>
        <v>0</v>
      </c>
      <c r="W53" s="18">
        <f>IF(ISERROR(SEARCH("OSAS",Tabella2[[#This Row],[Patologia respiratoria nota]],1)),0,1)</f>
        <v>1</v>
      </c>
      <c r="X53" s="17">
        <f>IF(ISERROR(SEARCH("BPCO",Tabella2[[#This Row],[Patologia respiratoria nota]],1)),0,1)</f>
        <v>1</v>
      </c>
      <c r="Y53" s="17">
        <f>IF(ISERROR(SEARCH("ASMA",Tabella2[[#This Row],[Patologia respiratoria nota]],1)),0,1)</f>
        <v>0</v>
      </c>
      <c r="Z53" s="17">
        <f>IF(ISERROR(SEARCH("ASMA, OSAS",Tabella2[[#This Row],[Patologia respiratoria nota]],1)),0,1)</f>
        <v>0</v>
      </c>
      <c r="AA53" s="17">
        <f>IF(ISERROR(SEARCH("BPCO, OSAS",Tabella2[[#This Row],[Patologia respiratoria nota]],1)),0,1)</f>
        <v>1</v>
      </c>
      <c r="AB53" s="17">
        <f>IF(ISERROR(SEARCH("ASMA, BPCO, OSAS",Tabella2[[#This Row],[Patologia respiratoria nota]],1)),0,1)</f>
        <v>0</v>
      </c>
      <c r="AC53" s="15" t="s">
        <v>657</v>
      </c>
      <c r="AD53" s="19">
        <f>IF(ISERROR(SEARCH("NDD",Tabella2[[#This Row],[Tosse]],1)),0,1)</f>
        <v>0</v>
      </c>
      <c r="AE53" s="19">
        <f>IF(ISERROR(SEARCH("NEGA",Tabella2[[#This Row],[Tosse]],1)),0,1)</f>
        <v>1</v>
      </c>
      <c r="AF53" s="19">
        <f>IF(ISERROR(SEARCH("OCCASIONALMENTE",Tabella2[[#This Row],[Tosse]],1)),0,1)</f>
        <v>0</v>
      </c>
      <c r="AG53" s="19">
        <f>IF(ISERROR(SEARCH("RARAMENTE",Tabella2[[#This Row],[Tosse]],1)),0,1)</f>
        <v>0</v>
      </c>
      <c r="AH53" s="19">
        <f>IF(ISERROR(SEARCH("SI",Tabella2[[#This Row],[Tosse]],1)),0,1)</f>
        <v>0</v>
      </c>
      <c r="AI53" s="11" t="s">
        <v>657</v>
      </c>
      <c r="AJ53" s="18">
        <f>IF(ISERROR(SEARCH("SI",Tabella2[[#This Row],[Espettorazione]],1)),0,1)</f>
        <v>0</v>
      </c>
      <c r="AK53" s="18">
        <f>IF(ISERROR(SEARCH("NEGA",Tabella2[[#This Row],[Espettorazione]],1)),0,1)</f>
        <v>1</v>
      </c>
      <c r="AL53" s="18">
        <f>IF(ISERROR(SEARCH("NDD",Tabella2[[#This Row],[Espettorazione]],1)),0,1)</f>
        <v>0</v>
      </c>
      <c r="AM53" s="11" t="s">
        <v>7</v>
      </c>
      <c r="AN53" s="17">
        <v>1</v>
      </c>
      <c r="AO53" s="11" t="s">
        <v>5533</v>
      </c>
      <c r="AP53" s="17">
        <f>IF(ISERROR(SEARCH("NEGA",Tabella2[[#This Row],[Dispnea da sforzo]],1)),0,1)</f>
        <v>0</v>
      </c>
      <c r="AQ53" s="17">
        <f>IF(ISERROR(SEARCH("NEGA",Tabella2[[#This Row],[Dispnea da sforzo]],1)),1,0)</f>
        <v>1</v>
      </c>
      <c r="AR53" s="17">
        <f>IF(ISERROR(SEARCH("LIEVI",Tabella2[[#This Row],[Dispnea da sforzo]],1)),0,1)</f>
        <v>1</v>
      </c>
      <c r="AS53" s="17">
        <f>IF(ISERROR(SEARCH("MODERATI",Tabella2[[#This Row],[Dispnea da sforzo]],1)),0,1)</f>
        <v>0</v>
      </c>
      <c r="AT53" s="17">
        <f>IF(ISERROR(SEARCH("INTENSI",Tabella2[[#This Row],[Dispnea da sforzo]],1)),0,1)</f>
        <v>0</v>
      </c>
      <c r="AU53" s="11" t="s">
        <v>657</v>
      </c>
      <c r="AV53" s="18">
        <f>IF(ISERROR(SEARCH("NEGA",Tabella2[[#This Row],[Dispnea a riposo]],1)),0,1)</f>
        <v>1</v>
      </c>
      <c r="AW53" s="18">
        <f>IF(ISERROR(SEARCH("NDD",Tabella2[[#This Row],[Dispnea a riposo]],1)),0,1)</f>
        <v>0</v>
      </c>
      <c r="AX53" s="11" t="s">
        <v>657</v>
      </c>
      <c r="AY53" s="17">
        <v>0</v>
      </c>
      <c r="AZ53" s="11" t="s">
        <v>657</v>
      </c>
      <c r="BA53" s="18">
        <v>0</v>
      </c>
      <c r="BB53" s="7" t="s">
        <v>657</v>
      </c>
      <c r="BC53" s="17">
        <v>0</v>
      </c>
      <c r="BD53" s="11" t="s">
        <v>7</v>
      </c>
      <c r="BE53" s="17">
        <v>1</v>
      </c>
      <c r="BF53" s="11" t="s">
        <v>4604</v>
      </c>
      <c r="BG53" s="17">
        <v>1</v>
      </c>
      <c r="BH53" s="11" t="s">
        <v>657</v>
      </c>
      <c r="BI53" s="17">
        <v>0</v>
      </c>
      <c r="BJ53" s="11">
        <v>16</v>
      </c>
      <c r="BK53" s="11" t="s">
        <v>4435</v>
      </c>
      <c r="BL53" s="18"/>
      <c r="BM53" s="18"/>
      <c r="BN53" s="18"/>
      <c r="BO53" s="18"/>
      <c r="BP53" s="18"/>
      <c r="BQ53" s="18"/>
      <c r="BR53" s="18"/>
      <c r="BS53" s="18"/>
      <c r="BT53" s="18"/>
      <c r="BU53" s="18"/>
      <c r="BV53" s="18"/>
      <c r="BW53" s="18"/>
      <c r="BX53" s="18"/>
      <c r="BY53" s="18"/>
      <c r="BZ53" s="18"/>
      <c r="CA53" s="18"/>
      <c r="CB53" s="18"/>
      <c r="CC53" s="18"/>
      <c r="CD53" s="18"/>
      <c r="CE53" s="18"/>
      <c r="CF53" s="18"/>
      <c r="CG53" s="11">
        <v>34</v>
      </c>
      <c r="CH53" s="11"/>
      <c r="CI53" s="11">
        <v>97</v>
      </c>
      <c r="CJ53" s="11">
        <v>68</v>
      </c>
      <c r="CK53" s="11" t="s">
        <v>2158</v>
      </c>
      <c r="CL53" s="11" t="s">
        <v>4605</v>
      </c>
      <c r="CM53" s="11" t="s">
        <v>4548</v>
      </c>
      <c r="CN53" s="17">
        <v>0</v>
      </c>
      <c r="CO53" s="17">
        <v>0</v>
      </c>
      <c r="CP53" s="17">
        <v>0</v>
      </c>
      <c r="CQ53" s="17">
        <v>1</v>
      </c>
      <c r="CR53" s="11" t="s">
        <v>4549</v>
      </c>
      <c r="CS53" s="11" t="s">
        <v>4606</v>
      </c>
      <c r="CT53" s="65">
        <v>0.95</v>
      </c>
      <c r="CU53" s="11" t="s">
        <v>4607</v>
      </c>
      <c r="CV53" s="11"/>
      <c r="CW53" s="11"/>
      <c r="CX53" s="11" t="s">
        <v>7</v>
      </c>
      <c r="CY53" s="17">
        <v>1</v>
      </c>
      <c r="CZ53" s="11" t="s">
        <v>4608</v>
      </c>
      <c r="DA53" s="12" t="s">
        <v>4609</v>
      </c>
    </row>
    <row r="54" spans="1:105" customFormat="1" ht="71.25">
      <c r="A54" s="31">
        <v>957</v>
      </c>
      <c r="B54" s="32">
        <v>44691</v>
      </c>
      <c r="C54" s="7" t="s">
        <v>4610</v>
      </c>
      <c r="D54" s="32">
        <v>20954</v>
      </c>
      <c r="E54" s="43">
        <f ca="1">_xlfn.DAYS(NOW(),Tabella2[[#This Row],[Data Nascita]])/365.25</f>
        <v>68.224503764544835</v>
      </c>
      <c r="F54" s="33" t="s">
        <v>4611</v>
      </c>
      <c r="G54" s="33" t="s">
        <v>4612</v>
      </c>
      <c r="H54" s="33" t="s">
        <v>4555</v>
      </c>
      <c r="I54" s="33" t="s">
        <v>3948</v>
      </c>
      <c r="J54" s="33" t="s">
        <v>4613</v>
      </c>
      <c r="K54" s="33"/>
      <c r="L54" s="33"/>
      <c r="M54" s="33"/>
      <c r="N54" s="33"/>
      <c r="O54" s="47" t="s">
        <v>5412</v>
      </c>
      <c r="P54" s="47">
        <v>0</v>
      </c>
      <c r="Q54" s="33" t="s">
        <v>8</v>
      </c>
      <c r="R54" s="33" t="s">
        <v>8</v>
      </c>
      <c r="S54" s="33" t="s">
        <v>25</v>
      </c>
      <c r="T54" s="33" t="s">
        <v>439</v>
      </c>
      <c r="U54" s="47">
        <f>IF(ISERROR(SEARCH("null",Tabella2[[#This Row],[Patologia respiratoria nota]],1)),0,1)</f>
        <v>0</v>
      </c>
      <c r="V54" s="47">
        <f>IF(ISERROR(SEARCH("MUTA",Tabella2[[#This Row],[Patologia respiratoria nota]],1)),0,1)</f>
        <v>0</v>
      </c>
      <c r="W54" s="47">
        <f>IF(ISERROR(SEARCH("OSAS",Tabella2[[#This Row],[Patologia respiratoria nota]],1)),0,1)</f>
        <v>1</v>
      </c>
      <c r="X54" s="47">
        <f>IF(ISERROR(SEARCH("BPCO",Tabella2[[#This Row],[Patologia respiratoria nota]],1)),0,1)</f>
        <v>0</v>
      </c>
      <c r="Y54" s="47">
        <f>IF(ISERROR(SEARCH("ASMA",Tabella2[[#This Row],[Patologia respiratoria nota]],1)),0,1)</f>
        <v>0</v>
      </c>
      <c r="Z54" s="47">
        <f>IF(ISERROR(SEARCH("ASMA, OSAS",Tabella2[[#This Row],[Patologia respiratoria nota]],1)),0,1)</f>
        <v>0</v>
      </c>
      <c r="AA54" s="47">
        <f>IF(ISERROR(SEARCH("BPCO, OSAS",Tabella2[[#This Row],[Patologia respiratoria nota]],1)),0,1)</f>
        <v>0</v>
      </c>
      <c r="AB54" s="47">
        <f>IF(ISERROR(SEARCH("ASMA, BPCO, OSAS",Tabella2[[#This Row],[Patologia respiratoria nota]],1)),0,1)</f>
        <v>0</v>
      </c>
      <c r="AC54" s="41" t="s">
        <v>657</v>
      </c>
      <c r="AD54" s="48">
        <f>IF(ISERROR(SEARCH("NDD",Tabella2[[#This Row],[Tosse]],1)),0,1)</f>
        <v>0</v>
      </c>
      <c r="AE54" s="48">
        <f>IF(ISERROR(SEARCH("NEGA",Tabella2[[#This Row],[Tosse]],1)),0,1)</f>
        <v>1</v>
      </c>
      <c r="AF54" s="48">
        <f>IF(ISERROR(SEARCH("OCCASIONALMENTE",Tabella2[[#This Row],[Tosse]],1)),0,1)</f>
        <v>0</v>
      </c>
      <c r="AG54" s="48">
        <f>IF(ISERROR(SEARCH("RARAMENTE",Tabella2[[#This Row],[Tosse]],1)),0,1)</f>
        <v>0</v>
      </c>
      <c r="AH54" s="48">
        <f>IF(ISERROR(SEARCH("SI",Tabella2[[#This Row],[Tosse]],1)),0,1)</f>
        <v>0</v>
      </c>
      <c r="AI54" s="33" t="s">
        <v>657</v>
      </c>
      <c r="AJ54" s="47">
        <f>IF(ISERROR(SEARCH("SI",Tabella2[[#This Row],[Espettorazione]],1)),0,1)</f>
        <v>0</v>
      </c>
      <c r="AK54" s="47">
        <f>IF(ISERROR(SEARCH("NEGA",Tabella2[[#This Row],[Espettorazione]],1)),0,1)</f>
        <v>1</v>
      </c>
      <c r="AL54" s="47">
        <f>IF(ISERROR(SEARCH("NDD",Tabella2[[#This Row],[Espettorazione]],1)),0,1)</f>
        <v>0</v>
      </c>
      <c r="AM54" s="33" t="s">
        <v>272</v>
      </c>
      <c r="AN54" s="47">
        <v>1</v>
      </c>
      <c r="AO54" s="33" t="s">
        <v>5568</v>
      </c>
      <c r="AP54" s="47">
        <f>IF(ISERROR(SEARCH("NEGA",Tabella2[[#This Row],[Dispnea da sforzo]],1)),0,1)</f>
        <v>0</v>
      </c>
      <c r="AQ54" s="47">
        <f>IF(ISERROR(SEARCH("NEGA",Tabella2[[#This Row],[Dispnea da sforzo]],1)),1,0)</f>
        <v>1</v>
      </c>
      <c r="AR54" s="47">
        <f>IF(ISERROR(SEARCH("LIEVI",Tabella2[[#This Row],[Dispnea da sforzo]],1)),0,1)</f>
        <v>1</v>
      </c>
      <c r="AS54" s="47">
        <f>IF(ISERROR(SEARCH("MODERATI",Tabella2[[#This Row],[Dispnea da sforzo]],1)),0,1)</f>
        <v>1</v>
      </c>
      <c r="AT54" s="47">
        <f>IF(ISERROR(SEARCH("INTENSI",Tabella2[[#This Row],[Dispnea da sforzo]],1)),0,1)</f>
        <v>1</v>
      </c>
      <c r="AU54" s="33" t="s">
        <v>657</v>
      </c>
      <c r="AV54" s="47">
        <f>IF(ISERROR(SEARCH("NEGA",Tabella2[[#This Row],[Dispnea a riposo]],1)),0,1)</f>
        <v>1</v>
      </c>
      <c r="AW54" s="47">
        <f>IF(ISERROR(SEARCH("NDD",Tabella2[[#This Row],[Dispnea a riposo]],1)),0,1)</f>
        <v>0</v>
      </c>
      <c r="AX54" s="33" t="s">
        <v>4614</v>
      </c>
      <c r="AY54" s="46">
        <v>1</v>
      </c>
      <c r="AZ54" s="33" t="s">
        <v>272</v>
      </c>
      <c r="BA54" s="17">
        <v>1</v>
      </c>
      <c r="BB54" s="7" t="s">
        <v>657</v>
      </c>
      <c r="BC54" s="17">
        <v>0</v>
      </c>
      <c r="BD54" s="33" t="s">
        <v>47</v>
      </c>
      <c r="BE54" s="17">
        <v>1</v>
      </c>
      <c r="BF54" s="33" t="s">
        <v>4604</v>
      </c>
      <c r="BG54" s="17">
        <v>1</v>
      </c>
      <c r="BH54" s="33" t="s">
        <v>657</v>
      </c>
      <c r="BI54" s="17">
        <v>0</v>
      </c>
      <c r="BJ54" s="33">
        <v>13</v>
      </c>
      <c r="BK54" s="33" t="s">
        <v>4615</v>
      </c>
      <c r="BL54" s="47"/>
      <c r="BM54" s="47"/>
      <c r="BN54" s="47"/>
      <c r="BO54" s="47"/>
      <c r="BP54" s="47"/>
      <c r="BQ54" s="47"/>
      <c r="BR54" s="47"/>
      <c r="BS54" s="47"/>
      <c r="BT54" s="47"/>
      <c r="BU54" s="47"/>
      <c r="BV54" s="47"/>
      <c r="BW54" s="47"/>
      <c r="BX54" s="47">
        <v>1</v>
      </c>
      <c r="BY54" s="47"/>
      <c r="BZ54" s="47"/>
      <c r="CA54" s="47"/>
      <c r="CB54" s="47"/>
      <c r="CC54" s="47"/>
      <c r="CD54" s="47">
        <v>1</v>
      </c>
      <c r="CE54" s="47"/>
      <c r="CF54" s="47"/>
      <c r="CG54" s="33">
        <v>25</v>
      </c>
      <c r="CH54" s="33"/>
      <c r="CI54" s="33">
        <v>96</v>
      </c>
      <c r="CJ54" s="33">
        <v>68</v>
      </c>
      <c r="CK54" s="33" t="s">
        <v>2097</v>
      </c>
      <c r="CL54" s="33" t="s">
        <v>4616</v>
      </c>
      <c r="CM54" s="33" t="s">
        <v>4548</v>
      </c>
      <c r="CN54" s="17">
        <v>0</v>
      </c>
      <c r="CO54" s="17">
        <v>0</v>
      </c>
      <c r="CP54" s="17">
        <v>0</v>
      </c>
      <c r="CQ54" s="17">
        <v>1</v>
      </c>
      <c r="CR54" s="33" t="s">
        <v>4549</v>
      </c>
      <c r="CS54" s="33" t="s">
        <v>4298</v>
      </c>
      <c r="CT54" s="66">
        <v>1</v>
      </c>
      <c r="CU54" s="33" t="s">
        <v>4617</v>
      </c>
      <c r="CV54" s="33"/>
      <c r="CW54" s="33"/>
      <c r="CX54" s="33" t="s">
        <v>7</v>
      </c>
      <c r="CY54" s="17">
        <v>1</v>
      </c>
      <c r="CZ54" s="33" t="s">
        <v>4618</v>
      </c>
      <c r="DA54" s="34" t="s">
        <v>4619</v>
      </c>
    </row>
    <row r="55" spans="1:105" customFormat="1" ht="71.25">
      <c r="A55" s="35">
        <v>975</v>
      </c>
      <c r="B55" s="36">
        <v>44698</v>
      </c>
      <c r="C55" s="11" t="s">
        <v>4620</v>
      </c>
      <c r="D55" s="36">
        <v>15094</v>
      </c>
      <c r="E55" s="44">
        <f ca="1">_xlfn.DAYS(NOW(),Tabella2[[#This Row],[Data Nascita]])/365.25</f>
        <v>84.268309377138948</v>
      </c>
      <c r="F55" s="37" t="s">
        <v>4621</v>
      </c>
      <c r="G55" s="37" t="s">
        <v>4622</v>
      </c>
      <c r="H55" s="37" t="s">
        <v>4201</v>
      </c>
      <c r="I55" s="37" t="s">
        <v>618</v>
      </c>
      <c r="J55" s="37" t="s">
        <v>4623</v>
      </c>
      <c r="K55" s="37"/>
      <c r="L55" s="37"/>
      <c r="M55" s="37"/>
      <c r="N55" s="37"/>
      <c r="O55" s="47" t="s">
        <v>5412</v>
      </c>
      <c r="P55" s="47">
        <v>0</v>
      </c>
      <c r="Q55" s="37" t="s">
        <v>8</v>
      </c>
      <c r="R55" s="37" t="s">
        <v>4267</v>
      </c>
      <c r="S55" s="37" t="s">
        <v>4624</v>
      </c>
      <c r="T55" s="37" t="s">
        <v>1331</v>
      </c>
      <c r="U55" s="46">
        <f>IF(ISERROR(SEARCH("null",Tabella2[[#This Row],[Patologia respiratoria nota]],1)),0,1)</f>
        <v>0</v>
      </c>
      <c r="V55" s="47">
        <f>IF(ISERROR(SEARCH("MUTA",Tabella2[[#This Row],[Patologia respiratoria nota]],1)),0,1)</f>
        <v>0</v>
      </c>
      <c r="W55" s="46">
        <f>IF(ISERROR(SEARCH("OSAS",Tabella2[[#This Row],[Patologia respiratoria nota]],1)),0,1)</f>
        <v>1</v>
      </c>
      <c r="X55" s="47">
        <f>IF(ISERROR(SEARCH("BPCO",Tabella2[[#This Row],[Patologia respiratoria nota]],1)),0,1)</f>
        <v>0</v>
      </c>
      <c r="Y55" s="47">
        <f>IF(ISERROR(SEARCH("ASMA",Tabella2[[#This Row],[Patologia respiratoria nota]],1)),0,1)</f>
        <v>0</v>
      </c>
      <c r="Z55" s="47">
        <f>IF(ISERROR(SEARCH("ASMA, OSAS",Tabella2[[#This Row],[Patologia respiratoria nota]],1)),0,1)</f>
        <v>0</v>
      </c>
      <c r="AA55" s="47">
        <f>IF(ISERROR(SEARCH("BPCO, OSAS",Tabella2[[#This Row],[Patologia respiratoria nota]],1)),0,1)</f>
        <v>0</v>
      </c>
      <c r="AB55" s="47">
        <f>IF(ISERROR(SEARCH("ASMA, BPCO, OSAS",Tabella2[[#This Row],[Patologia respiratoria nota]],1)),0,1)</f>
        <v>0</v>
      </c>
      <c r="AC55" s="41" t="s">
        <v>657</v>
      </c>
      <c r="AD55" s="48">
        <f>IF(ISERROR(SEARCH("NDD",Tabella2[[#This Row],[Tosse]],1)),0,1)</f>
        <v>0</v>
      </c>
      <c r="AE55" s="48">
        <f>IF(ISERROR(SEARCH("NEGA",Tabella2[[#This Row],[Tosse]],1)),0,1)</f>
        <v>1</v>
      </c>
      <c r="AF55" s="48">
        <f>IF(ISERROR(SEARCH("OCCASIONALMENTE",Tabella2[[#This Row],[Tosse]],1)),0,1)</f>
        <v>0</v>
      </c>
      <c r="AG55" s="48">
        <f>IF(ISERROR(SEARCH("RARAMENTE",Tabella2[[#This Row],[Tosse]],1)),0,1)</f>
        <v>0</v>
      </c>
      <c r="AH55" s="48">
        <f>IF(ISERROR(SEARCH("SI",Tabella2[[#This Row],[Tosse]],1)),0,1)</f>
        <v>0</v>
      </c>
      <c r="AI55" s="37" t="s">
        <v>657</v>
      </c>
      <c r="AJ55" s="46">
        <f>IF(ISERROR(SEARCH("SI",Tabella2[[#This Row],[Espettorazione]],1)),0,1)</f>
        <v>0</v>
      </c>
      <c r="AK55" s="46">
        <f>IF(ISERROR(SEARCH("NEGA",Tabella2[[#This Row],[Espettorazione]],1)),0,1)</f>
        <v>1</v>
      </c>
      <c r="AL55" s="46">
        <f>IF(ISERROR(SEARCH("NDD",Tabella2[[#This Row],[Espettorazione]],1)),0,1)</f>
        <v>0</v>
      </c>
      <c r="AM55" s="37" t="s">
        <v>657</v>
      </c>
      <c r="AN55" s="47">
        <v>0</v>
      </c>
      <c r="AO55" s="37" t="s">
        <v>657</v>
      </c>
      <c r="AP55" s="47">
        <f>IF(ISERROR(SEARCH("NEGA",Tabella2[[#This Row],[Dispnea da sforzo]],1)),0,1)</f>
        <v>1</v>
      </c>
      <c r="AQ55" s="47">
        <f>IF(ISERROR(SEARCH("NEGA",Tabella2[[#This Row],[Dispnea da sforzo]],1)),1,0)</f>
        <v>0</v>
      </c>
      <c r="AR55" s="47">
        <f>IF(ISERROR(SEARCH("LIEVI",Tabella2[[#This Row],[Dispnea da sforzo]],1)),0,1)</f>
        <v>0</v>
      </c>
      <c r="AS55" s="47">
        <f>IF(ISERROR(SEARCH("MODERATI",Tabella2[[#This Row],[Dispnea da sforzo]],1)),0,1)</f>
        <v>0</v>
      </c>
      <c r="AT55" s="47">
        <f>IF(ISERROR(SEARCH("INTENSI",Tabella2[[#This Row],[Dispnea da sforzo]],1)),0,1)</f>
        <v>0</v>
      </c>
      <c r="AU55" s="37" t="s">
        <v>657</v>
      </c>
      <c r="AV55" s="46">
        <f>IF(ISERROR(SEARCH("NEGA",Tabella2[[#This Row],[Dispnea a riposo]],1)),0,1)</f>
        <v>1</v>
      </c>
      <c r="AW55" s="46">
        <f>IF(ISERROR(SEARCH("NDD",Tabella2[[#This Row],[Dispnea a riposo]],1)),0,1)</f>
        <v>0</v>
      </c>
      <c r="AX55" s="37" t="s">
        <v>4625</v>
      </c>
      <c r="AY55" s="46">
        <v>1</v>
      </c>
      <c r="AZ55" s="37" t="s">
        <v>354</v>
      </c>
      <c r="BA55" s="17">
        <v>1</v>
      </c>
      <c r="BB55" s="7" t="s">
        <v>657</v>
      </c>
      <c r="BC55" s="17">
        <v>0</v>
      </c>
      <c r="BD55" s="37" t="s">
        <v>657</v>
      </c>
      <c r="BE55" s="18">
        <v>0</v>
      </c>
      <c r="BF55" s="37" t="s">
        <v>824</v>
      </c>
      <c r="BG55" s="17">
        <v>1</v>
      </c>
      <c r="BH55" s="37" t="s">
        <v>657</v>
      </c>
      <c r="BI55" s="17">
        <v>0</v>
      </c>
      <c r="BJ55" s="37">
        <v>12</v>
      </c>
      <c r="BK55" s="37" t="s">
        <v>4626</v>
      </c>
      <c r="BL55" s="46"/>
      <c r="BM55" s="46"/>
      <c r="BN55" s="46"/>
      <c r="BO55" s="46"/>
      <c r="BP55" s="46"/>
      <c r="BQ55" s="46"/>
      <c r="BR55" s="46"/>
      <c r="BS55" s="46"/>
      <c r="BT55" s="46"/>
      <c r="BU55" s="46"/>
      <c r="BV55" s="46">
        <v>1</v>
      </c>
      <c r="BW55" s="46"/>
      <c r="BX55" s="46"/>
      <c r="BY55" s="46"/>
      <c r="BZ55" s="46"/>
      <c r="CA55" s="46"/>
      <c r="CB55" s="46"/>
      <c r="CC55" s="46"/>
      <c r="CD55" s="46"/>
      <c r="CE55" s="46"/>
      <c r="CF55" s="46">
        <v>1</v>
      </c>
      <c r="CG55" s="37">
        <v>27</v>
      </c>
      <c r="CH55" s="37"/>
      <c r="CI55" s="37">
        <v>99</v>
      </c>
      <c r="CJ55" s="37">
        <v>65</v>
      </c>
      <c r="CK55" s="37" t="s">
        <v>2097</v>
      </c>
      <c r="CL55" s="37" t="s">
        <v>4627</v>
      </c>
      <c r="CM55" s="37" t="s">
        <v>3914</v>
      </c>
      <c r="CN55" s="17">
        <v>0</v>
      </c>
      <c r="CO55" s="17">
        <v>1</v>
      </c>
      <c r="CP55" s="17">
        <v>0</v>
      </c>
      <c r="CQ55" s="17">
        <v>0</v>
      </c>
      <c r="CR55" s="37" t="s">
        <v>4628</v>
      </c>
      <c r="CS55" s="37" t="s">
        <v>4629</v>
      </c>
      <c r="CT55" s="63">
        <v>0.69</v>
      </c>
      <c r="CU55" s="37" t="s">
        <v>4630</v>
      </c>
      <c r="CV55" s="37"/>
      <c r="CW55" s="37"/>
      <c r="CX55" s="37" t="s">
        <v>8</v>
      </c>
      <c r="CY55" s="17">
        <v>0</v>
      </c>
      <c r="CZ55" s="37" t="s">
        <v>4631</v>
      </c>
      <c r="DA55" s="38" t="s">
        <v>4632</v>
      </c>
    </row>
    <row r="56" spans="1:105" customFormat="1" ht="71.25">
      <c r="A56" s="31">
        <v>989</v>
      </c>
      <c r="B56" s="32">
        <v>44704</v>
      </c>
      <c r="C56" s="7" t="s">
        <v>4633</v>
      </c>
      <c r="D56" s="32">
        <v>23909</v>
      </c>
      <c r="E56" s="43">
        <f ca="1">_xlfn.DAYS(NOW(),Tabella2[[#This Row],[Data Nascita]])/365.25</f>
        <v>60.134154688569474</v>
      </c>
      <c r="F56" s="33" t="s">
        <v>4634</v>
      </c>
      <c r="G56" s="33" t="s">
        <v>4635</v>
      </c>
      <c r="H56" s="33" t="s">
        <v>4600</v>
      </c>
      <c r="I56" s="33" t="s">
        <v>3948</v>
      </c>
      <c r="J56" s="33" t="s">
        <v>4636</v>
      </c>
      <c r="K56" s="33"/>
      <c r="L56" s="33"/>
      <c r="M56" s="33"/>
      <c r="N56" s="33"/>
      <c r="O56" s="47" t="s">
        <v>5412</v>
      </c>
      <c r="P56" s="47">
        <v>0</v>
      </c>
      <c r="Q56" s="33" t="s">
        <v>25</v>
      </c>
      <c r="R56" s="33" t="s">
        <v>4637</v>
      </c>
      <c r="S56" s="33" t="s">
        <v>25</v>
      </c>
      <c r="T56" s="33" t="s">
        <v>5420</v>
      </c>
      <c r="U56" s="47">
        <f>IF(ISERROR(SEARCH("null",Tabella2[[#This Row],[Patologia respiratoria nota]],1)),0,1)</f>
        <v>0</v>
      </c>
      <c r="V56" s="47">
        <f>IF(ISERROR(SEARCH("MUTA",Tabella2[[#This Row],[Patologia respiratoria nota]],1)),0,1)</f>
        <v>0</v>
      </c>
      <c r="W56" s="47">
        <f>IF(ISERROR(SEARCH("OSAS",Tabella2[[#This Row],[Patologia respiratoria nota]],1)),0,1)</f>
        <v>0</v>
      </c>
      <c r="X56" s="47">
        <f>IF(ISERROR(SEARCH("BPCO",Tabella2[[#This Row],[Patologia respiratoria nota]],1)),0,1)</f>
        <v>0</v>
      </c>
      <c r="Y56" s="47">
        <f>IF(ISERROR(SEARCH("ASMA",Tabella2[[#This Row],[Patologia respiratoria nota]],1)),0,1)</f>
        <v>1</v>
      </c>
      <c r="Z56" s="47">
        <f>IF(ISERROR(SEARCH("ASMA, OSAS",Tabella2[[#This Row],[Patologia respiratoria nota]],1)),0,1)</f>
        <v>0</v>
      </c>
      <c r="AA56" s="47">
        <f>IF(ISERROR(SEARCH("BPCO, OSAS",Tabella2[[#This Row],[Patologia respiratoria nota]],1)),0,1)</f>
        <v>0</v>
      </c>
      <c r="AB56" s="47">
        <f>IF(ISERROR(SEARCH("ASMA, BPCO, OSAS",Tabella2[[#This Row],[Patologia respiratoria nota]],1)),0,1)</f>
        <v>0</v>
      </c>
      <c r="AC56" s="33" t="s">
        <v>5450</v>
      </c>
      <c r="AD56" s="47">
        <f>IF(ISERROR(SEARCH("NDD",Tabella2[[#This Row],[Tosse]],1)),0,1)</f>
        <v>0</v>
      </c>
      <c r="AE56" s="47">
        <f>IF(ISERROR(SEARCH("NEGA",Tabella2[[#This Row],[Tosse]],1)),0,1)</f>
        <v>0</v>
      </c>
      <c r="AF56" s="47">
        <f>IF(ISERROR(SEARCH("OCCASIONALMENTE",Tabella2[[#This Row],[Tosse]],1)),0,1)</f>
        <v>0</v>
      </c>
      <c r="AG56" s="47">
        <f>IF(ISERROR(SEARCH("RARAMENTE",Tabella2[[#This Row],[Tosse]],1)),0,1)</f>
        <v>0</v>
      </c>
      <c r="AH56" s="17">
        <v>1</v>
      </c>
      <c r="AI56" s="33" t="s">
        <v>657</v>
      </c>
      <c r="AJ56" s="47">
        <f>IF(ISERROR(SEARCH("SI",Tabella2[[#This Row],[Espettorazione]],1)),0,1)</f>
        <v>0</v>
      </c>
      <c r="AK56" s="47">
        <f>IF(ISERROR(SEARCH("NEGA",Tabella2[[#This Row],[Espettorazione]],1)),0,1)</f>
        <v>1</v>
      </c>
      <c r="AL56" s="47">
        <f>IF(ISERROR(SEARCH("NDD",Tabella2[[#This Row],[Espettorazione]],1)),0,1)</f>
        <v>0</v>
      </c>
      <c r="AM56" s="33" t="s">
        <v>28</v>
      </c>
      <c r="AN56" s="47">
        <v>1</v>
      </c>
      <c r="AO56" s="33" t="s">
        <v>5555</v>
      </c>
      <c r="AP56" s="47">
        <f>IF(ISERROR(SEARCH("NEGA",Tabella2[[#This Row],[Dispnea da sforzo]],1)),0,1)</f>
        <v>0</v>
      </c>
      <c r="AQ56" s="47">
        <f>IF(ISERROR(SEARCH("NEGA",Tabella2[[#This Row],[Dispnea da sforzo]],1)),1,0)</f>
        <v>1</v>
      </c>
      <c r="AR56" s="47">
        <f>IF(ISERROR(SEARCH("LIEVI",Tabella2[[#This Row],[Dispnea da sforzo]],1)),0,1)</f>
        <v>0</v>
      </c>
      <c r="AS56" s="47">
        <f>IF(ISERROR(SEARCH("MODERATI",Tabella2[[#This Row],[Dispnea da sforzo]],1)),0,1)</f>
        <v>1</v>
      </c>
      <c r="AT56" s="47">
        <f>IF(ISERROR(SEARCH("INTENSI",Tabella2[[#This Row],[Dispnea da sforzo]],1)),0,1)</f>
        <v>0</v>
      </c>
      <c r="AU56" s="33" t="s">
        <v>657</v>
      </c>
      <c r="AV56" s="47">
        <f>IF(ISERROR(SEARCH("NEGA",Tabella2[[#This Row],[Dispnea a riposo]],1)),0,1)</f>
        <v>1</v>
      </c>
      <c r="AW56" s="47">
        <f>IF(ISERROR(SEARCH("NDD",Tabella2[[#This Row],[Dispnea a riposo]],1)),0,1)</f>
        <v>0</v>
      </c>
      <c r="AX56" s="33" t="s">
        <v>28</v>
      </c>
      <c r="AY56" s="46">
        <v>1</v>
      </c>
      <c r="AZ56" s="33" t="s">
        <v>4638</v>
      </c>
      <c r="BA56" s="17">
        <v>1</v>
      </c>
      <c r="BB56" s="33" t="s">
        <v>26</v>
      </c>
      <c r="BC56" s="17">
        <v>1</v>
      </c>
      <c r="BD56" s="33" t="s">
        <v>28</v>
      </c>
      <c r="BE56" s="17">
        <v>1</v>
      </c>
      <c r="BF56" s="33" t="s">
        <v>28</v>
      </c>
      <c r="BG56" s="17">
        <v>1</v>
      </c>
      <c r="BH56" s="33" t="s">
        <v>28</v>
      </c>
      <c r="BI56" s="18">
        <v>1</v>
      </c>
      <c r="BJ56" s="33">
        <v>12</v>
      </c>
      <c r="BK56" s="33" t="s">
        <v>4639</v>
      </c>
      <c r="BL56" s="47"/>
      <c r="BM56" s="47"/>
      <c r="BN56" s="47"/>
      <c r="BO56" s="47"/>
      <c r="BP56" s="47"/>
      <c r="BQ56" s="47"/>
      <c r="BR56" s="47"/>
      <c r="BS56" s="47"/>
      <c r="BT56" s="47"/>
      <c r="BU56" s="47"/>
      <c r="BV56" s="47"/>
      <c r="BW56" s="47"/>
      <c r="BX56" s="47"/>
      <c r="BY56" s="47"/>
      <c r="BZ56" s="47"/>
      <c r="CA56" s="47"/>
      <c r="CB56" s="47"/>
      <c r="CC56" s="47"/>
      <c r="CD56" s="47"/>
      <c r="CE56" s="47"/>
      <c r="CF56" s="47"/>
      <c r="CG56" s="33">
        <v>28</v>
      </c>
      <c r="CH56" s="33"/>
      <c r="CI56" s="33">
        <v>98</v>
      </c>
      <c r="CJ56" s="33">
        <v>52</v>
      </c>
      <c r="CK56" s="33"/>
      <c r="CL56" s="33"/>
      <c r="CM56" s="33" t="s">
        <v>4640</v>
      </c>
      <c r="CN56" s="17">
        <v>0</v>
      </c>
      <c r="CO56" s="17">
        <v>0</v>
      </c>
      <c r="CP56" s="17">
        <v>0</v>
      </c>
      <c r="CQ56" s="17">
        <v>0</v>
      </c>
      <c r="CR56" s="33" t="s">
        <v>4549</v>
      </c>
      <c r="CS56" s="33" t="s">
        <v>4298</v>
      </c>
      <c r="CT56" s="66">
        <v>1</v>
      </c>
      <c r="CU56" s="33" t="s">
        <v>4641</v>
      </c>
      <c r="CV56" s="33"/>
      <c r="CW56" s="33"/>
      <c r="CX56" s="33" t="s">
        <v>4642</v>
      </c>
      <c r="CY56" s="17">
        <v>1</v>
      </c>
      <c r="CZ56" s="33" t="s">
        <v>4643</v>
      </c>
      <c r="DA56" s="34" t="s">
        <v>4644</v>
      </c>
    </row>
    <row r="57" spans="1:105" ht="57">
      <c r="A57" s="9">
        <v>991</v>
      </c>
      <c r="B57" s="10">
        <v>44704</v>
      </c>
      <c r="C57" s="11" t="s">
        <v>4036</v>
      </c>
      <c r="D57" s="10">
        <v>15095</v>
      </c>
      <c r="E57" s="52">
        <f ca="1">_xlfn.DAYS(NOW(),Tabella2[[#This Row],[Data Nascita]])/365.25</f>
        <v>84.26557152635182</v>
      </c>
      <c r="F57" s="11"/>
      <c r="G57" s="11"/>
      <c r="H57" s="11" t="s">
        <v>4645</v>
      </c>
      <c r="I57" s="11" t="s">
        <v>3948</v>
      </c>
      <c r="J57" s="11" t="s">
        <v>4646</v>
      </c>
      <c r="K57" s="11"/>
      <c r="L57" s="11"/>
      <c r="M57" s="11"/>
      <c r="N57" s="11"/>
      <c r="O57" s="17" t="s">
        <v>5412</v>
      </c>
      <c r="P57" s="17">
        <v>0</v>
      </c>
      <c r="Q57" s="11" t="s">
        <v>25</v>
      </c>
      <c r="R57" s="11" t="s">
        <v>25</v>
      </c>
      <c r="S57" s="11" t="s">
        <v>25</v>
      </c>
      <c r="T57" s="7" t="s">
        <v>5443</v>
      </c>
      <c r="U57" s="18">
        <f>IF(ISERROR(SEARCH("null",Tabella2[[#This Row],[Patologia respiratoria nota]],1)),0,1)</f>
        <v>0</v>
      </c>
      <c r="V57" s="17">
        <f>IF(ISERROR(SEARCH("MUTA",Tabella2[[#This Row],[Patologia respiratoria nota]],1)),0,1)</f>
        <v>1</v>
      </c>
      <c r="W57" s="18">
        <f>IF(ISERROR(SEARCH("OSAS",Tabella2[[#This Row],[Patologia respiratoria nota]],1)),0,1)</f>
        <v>0</v>
      </c>
      <c r="X57" s="17">
        <f>IF(ISERROR(SEARCH("BPCO",Tabella2[[#This Row],[Patologia respiratoria nota]],1)),0,1)</f>
        <v>0</v>
      </c>
      <c r="Y57" s="17">
        <f>IF(ISERROR(SEARCH("ASMA",Tabella2[[#This Row],[Patologia respiratoria nota]],1)),0,1)</f>
        <v>0</v>
      </c>
      <c r="Z57" s="17">
        <f>IF(ISERROR(SEARCH("ASMA, OSAS",Tabella2[[#This Row],[Patologia respiratoria nota]],1)),0,1)</f>
        <v>0</v>
      </c>
      <c r="AA57" s="17">
        <f>IF(ISERROR(SEARCH("BPCO, OSAS",Tabella2[[#This Row],[Patologia respiratoria nota]],1)),0,1)</f>
        <v>0</v>
      </c>
      <c r="AB57" s="17">
        <f>IF(ISERROR(SEARCH("ASMA, BPCO, OSAS",Tabella2[[#This Row],[Patologia respiratoria nota]],1)),0,1)</f>
        <v>0</v>
      </c>
      <c r="AC57" s="15" t="s">
        <v>657</v>
      </c>
      <c r="AD57" s="19">
        <f>IF(ISERROR(SEARCH("NDD",Tabella2[[#This Row],[Tosse]],1)),0,1)</f>
        <v>0</v>
      </c>
      <c r="AE57" s="19">
        <f>IF(ISERROR(SEARCH("NEGA",Tabella2[[#This Row],[Tosse]],1)),0,1)</f>
        <v>1</v>
      </c>
      <c r="AF57" s="19">
        <f>IF(ISERROR(SEARCH("OCCASIONALMENTE",Tabella2[[#This Row],[Tosse]],1)),0,1)</f>
        <v>0</v>
      </c>
      <c r="AG57" s="19">
        <f>IF(ISERROR(SEARCH("RARAMENTE",Tabella2[[#This Row],[Tosse]],1)),0,1)</f>
        <v>0</v>
      </c>
      <c r="AH57" s="19">
        <f>IF(ISERROR(SEARCH("SI",Tabella2[[#This Row],[Tosse]],1)),0,1)</f>
        <v>0</v>
      </c>
      <c r="AI57" s="11" t="s">
        <v>657</v>
      </c>
      <c r="AJ57" s="18">
        <f>IF(ISERROR(SEARCH("SI",Tabella2[[#This Row],[Espettorazione]],1)),0,1)</f>
        <v>0</v>
      </c>
      <c r="AK57" s="18">
        <f>IF(ISERROR(SEARCH("NEGA",Tabella2[[#This Row],[Espettorazione]],1)),0,1)</f>
        <v>1</v>
      </c>
      <c r="AL57" s="18">
        <f>IF(ISERROR(SEARCH("NDD",Tabella2[[#This Row],[Espettorazione]],1)),0,1)</f>
        <v>0</v>
      </c>
      <c r="AM57" s="11" t="s">
        <v>657</v>
      </c>
      <c r="AN57" s="17">
        <v>0</v>
      </c>
      <c r="AO57" s="11" t="s">
        <v>28</v>
      </c>
      <c r="AP57" s="17">
        <f>IF(ISERROR(SEARCH("NEGA",Tabella2[[#This Row],[Dispnea da sforzo]],1)),0,1)</f>
        <v>0</v>
      </c>
      <c r="AQ57" s="17">
        <f>IF(ISERROR(SEARCH("NEGA",Tabella2[[#This Row],[Dispnea da sforzo]],1)),1,0)</f>
        <v>1</v>
      </c>
      <c r="AR57" s="17">
        <f>IF(ISERROR(SEARCH("LIEVI",Tabella2[[#This Row],[Dispnea da sforzo]],1)),0,1)</f>
        <v>0</v>
      </c>
      <c r="AS57" s="17">
        <f>IF(ISERROR(SEARCH("MODERATI",Tabella2[[#This Row],[Dispnea da sforzo]],1)),0,1)</f>
        <v>0</v>
      </c>
      <c r="AT57" s="17">
        <f>IF(ISERROR(SEARCH("INTENSI",Tabella2[[#This Row],[Dispnea da sforzo]],1)),0,1)</f>
        <v>0</v>
      </c>
      <c r="AU57" s="11" t="s">
        <v>657</v>
      </c>
      <c r="AV57" s="18">
        <f>IF(ISERROR(SEARCH("NEGA",Tabella2[[#This Row],[Dispnea a riposo]],1)),0,1)</f>
        <v>1</v>
      </c>
      <c r="AW57" s="18">
        <f>IF(ISERROR(SEARCH("NDD",Tabella2[[#This Row],[Dispnea a riposo]],1)),0,1)</f>
        <v>0</v>
      </c>
      <c r="AX57" s="11" t="s">
        <v>657</v>
      </c>
      <c r="AY57" s="17">
        <v>0</v>
      </c>
      <c r="AZ57" s="11" t="s">
        <v>1036</v>
      </c>
      <c r="BA57" s="17">
        <v>1</v>
      </c>
      <c r="BB57" s="11" t="s">
        <v>4647</v>
      </c>
      <c r="BC57" s="17">
        <v>1</v>
      </c>
      <c r="BD57" s="11" t="s">
        <v>28</v>
      </c>
      <c r="BE57" s="17">
        <v>1</v>
      </c>
      <c r="BF57" s="11" t="s">
        <v>4648</v>
      </c>
      <c r="BG57" s="17">
        <v>1</v>
      </c>
      <c r="BH57" s="11" t="s">
        <v>657</v>
      </c>
      <c r="BI57" s="17">
        <v>0</v>
      </c>
      <c r="BJ57" s="11">
        <v>14</v>
      </c>
      <c r="BK57" s="7" t="s">
        <v>7655</v>
      </c>
      <c r="BL57" s="17"/>
      <c r="BM57" s="17"/>
      <c r="BN57" s="17"/>
      <c r="BO57" s="17"/>
      <c r="BP57" s="17">
        <v>1</v>
      </c>
      <c r="BQ57" s="17"/>
      <c r="BR57" s="17"/>
      <c r="BS57" s="17"/>
      <c r="BT57" s="17"/>
      <c r="BU57" s="17"/>
      <c r="BV57" s="17"/>
      <c r="BW57" s="17"/>
      <c r="BX57" s="17"/>
      <c r="BY57" s="17"/>
      <c r="BZ57" s="17">
        <v>1</v>
      </c>
      <c r="CA57" s="17"/>
      <c r="CB57" s="17"/>
      <c r="CC57" s="17"/>
      <c r="CD57" s="17"/>
      <c r="CE57" s="17"/>
      <c r="CF57" s="17">
        <v>1</v>
      </c>
      <c r="CG57" s="11">
        <v>35</v>
      </c>
      <c r="CH57" s="11"/>
      <c r="CI57" s="11">
        <v>92</v>
      </c>
      <c r="CJ57" s="11">
        <v>60</v>
      </c>
      <c r="CK57" s="11"/>
      <c r="CL57" s="11"/>
      <c r="CM57" s="11" t="s">
        <v>3914</v>
      </c>
      <c r="CN57" s="17">
        <v>0</v>
      </c>
      <c r="CO57" s="17">
        <v>1</v>
      </c>
      <c r="CP57" s="17">
        <v>0</v>
      </c>
      <c r="CQ57" s="17">
        <v>0</v>
      </c>
      <c r="CR57" s="11" t="s">
        <v>4549</v>
      </c>
      <c r="CS57" s="11" t="s">
        <v>963</v>
      </c>
      <c r="CT57" s="65">
        <v>0.95</v>
      </c>
      <c r="CU57" s="11" t="s">
        <v>4649</v>
      </c>
      <c r="CV57" s="11"/>
      <c r="CW57" s="11"/>
      <c r="CX57" s="11" t="s">
        <v>4536</v>
      </c>
      <c r="CY57" s="17">
        <v>1</v>
      </c>
      <c r="CZ57" s="11" t="s">
        <v>4650</v>
      </c>
      <c r="DA57" s="12" t="s">
        <v>924</v>
      </c>
    </row>
    <row r="58" spans="1:105" ht="213.75">
      <c r="A58" s="5">
        <v>1003</v>
      </c>
      <c r="B58" s="7"/>
      <c r="C58" s="7" t="s">
        <v>4651</v>
      </c>
      <c r="D58" s="6">
        <v>20411</v>
      </c>
      <c r="E58" s="51">
        <f ca="1">_xlfn.DAYS(NOW(),Tabella2[[#This Row],[Data Nascita]])/365.25</f>
        <v>69.711156741957566</v>
      </c>
      <c r="F58" s="7" t="s">
        <v>4652</v>
      </c>
      <c r="G58" s="7" t="s">
        <v>4653</v>
      </c>
      <c r="H58" s="7" t="s">
        <v>1276</v>
      </c>
      <c r="I58" s="7" t="s">
        <v>3948</v>
      </c>
      <c r="J58" s="7" t="s">
        <v>4654</v>
      </c>
      <c r="K58" s="7"/>
      <c r="L58" s="7"/>
      <c r="M58" s="7"/>
      <c r="N58" s="7"/>
      <c r="O58" s="17" t="s">
        <v>5412</v>
      </c>
      <c r="P58" s="17">
        <v>0</v>
      </c>
      <c r="Q58" s="7" t="s">
        <v>25</v>
      </c>
      <c r="R58" s="7" t="s">
        <v>25</v>
      </c>
      <c r="S58" s="7" t="s">
        <v>4655</v>
      </c>
      <c r="T58" s="7" t="s">
        <v>1063</v>
      </c>
      <c r="U58" s="17">
        <f>IF(ISERROR(SEARCH("null",Tabella2[[#This Row],[Patologia respiratoria nota]],1)),0,1)</f>
        <v>0</v>
      </c>
      <c r="V58" s="17">
        <f>IF(ISERROR(SEARCH("MUTA",Tabella2[[#This Row],[Patologia respiratoria nota]],1)),0,1)</f>
        <v>0</v>
      </c>
      <c r="W58" s="17">
        <f>IF(ISERROR(SEARCH("OSAS",Tabella2[[#This Row],[Patologia respiratoria nota]],1)),0,1)</f>
        <v>0</v>
      </c>
      <c r="X58" s="17">
        <f>IF(ISERROR(SEARCH("BPCO",Tabella2[[#This Row],[Patologia respiratoria nota]],1)),0,1)</f>
        <v>1</v>
      </c>
      <c r="Y58" s="17">
        <f>IF(ISERROR(SEARCH("ASMA",Tabella2[[#This Row],[Patologia respiratoria nota]],1)),0,1)</f>
        <v>0</v>
      </c>
      <c r="Z58" s="17">
        <f>IF(ISERROR(SEARCH("ASMA, OSAS",Tabella2[[#This Row],[Patologia respiratoria nota]],1)),0,1)</f>
        <v>0</v>
      </c>
      <c r="AA58" s="17">
        <f>IF(ISERROR(SEARCH("BPCO, OSAS",Tabella2[[#This Row],[Patologia respiratoria nota]],1)),0,1)</f>
        <v>0</v>
      </c>
      <c r="AB58" s="17">
        <f>IF(ISERROR(SEARCH("ASMA, BPCO, OSAS",Tabella2[[#This Row],[Patologia respiratoria nota]],1)),0,1)</f>
        <v>0</v>
      </c>
      <c r="AC58" s="7" t="s">
        <v>381</v>
      </c>
      <c r="AD58" s="17">
        <f>IF(ISERROR(SEARCH("NDD",Tabella2[[#This Row],[Tosse]],1)),0,1)</f>
        <v>0</v>
      </c>
      <c r="AE58" s="17">
        <f>IF(ISERROR(SEARCH("NEGA",Tabella2[[#This Row],[Tosse]],1)),0,1)</f>
        <v>0</v>
      </c>
      <c r="AF58" s="17">
        <f>IF(ISERROR(SEARCH("OCCASIONALMENTE",Tabella2[[#This Row],[Tosse]],1)),0,1)</f>
        <v>0</v>
      </c>
      <c r="AG58" s="17">
        <f>IF(ISERROR(SEARCH("RARAMENTE",Tabella2[[#This Row],[Tosse]],1)),0,1)</f>
        <v>0</v>
      </c>
      <c r="AH58" s="17">
        <v>1</v>
      </c>
      <c r="AI58" s="7" t="s">
        <v>381</v>
      </c>
      <c r="AJ58" s="17">
        <f>IF(ISERROR(SEARCH("SI",Tabella2[[#This Row],[Espettorazione]],1)),0,1)</f>
        <v>1</v>
      </c>
      <c r="AK58" s="17">
        <v>0</v>
      </c>
      <c r="AL58" s="17">
        <f>IF(ISERROR(SEARCH("NDD",Tabella2[[#This Row],[Espettorazione]],1)),0,1)</f>
        <v>0</v>
      </c>
      <c r="AM58" s="7" t="s">
        <v>657</v>
      </c>
      <c r="AN58" s="17">
        <v>0</v>
      </c>
      <c r="AO58" s="7" t="s">
        <v>4656</v>
      </c>
      <c r="AP58" s="17">
        <f>IF(ISERROR(SEARCH("NEGA",Tabella2[[#This Row],[Dispnea da sforzo]],1)),0,1)</f>
        <v>0</v>
      </c>
      <c r="AQ58" s="17">
        <f>IF(ISERROR(SEARCH("NEGA",Tabella2[[#This Row],[Dispnea da sforzo]],1)),1,0)</f>
        <v>1</v>
      </c>
      <c r="AR58" s="17">
        <f>IF(ISERROR(SEARCH("LIEVI",Tabella2[[#This Row],[Dispnea da sforzo]],1)),0,1)</f>
        <v>0</v>
      </c>
      <c r="AS58" s="17">
        <f>IF(ISERROR(SEARCH("MODERATI",Tabella2[[#This Row],[Dispnea da sforzo]],1)),0,1)</f>
        <v>0</v>
      </c>
      <c r="AT58" s="17">
        <f>IF(ISERROR(SEARCH("INTENSI",Tabella2[[#This Row],[Dispnea da sforzo]],1)),0,1)</f>
        <v>0</v>
      </c>
      <c r="AU58" s="7" t="s">
        <v>657</v>
      </c>
      <c r="AV58" s="17">
        <f>IF(ISERROR(SEARCH("NEGA",Tabella2[[#This Row],[Dispnea a riposo]],1)),0,1)</f>
        <v>1</v>
      </c>
      <c r="AW58" s="17">
        <f>IF(ISERROR(SEARCH("NDD",Tabella2[[#This Row],[Dispnea a riposo]],1)),0,1)</f>
        <v>0</v>
      </c>
      <c r="AX58" s="7" t="s">
        <v>657</v>
      </c>
      <c r="AY58" s="17">
        <v>0</v>
      </c>
      <c r="AZ58" s="7" t="s">
        <v>28</v>
      </c>
      <c r="BA58" s="17">
        <v>1</v>
      </c>
      <c r="BB58" s="7" t="s">
        <v>4657</v>
      </c>
      <c r="BC58" s="17">
        <v>1</v>
      </c>
      <c r="BD58" s="7" t="s">
        <v>28</v>
      </c>
      <c r="BE58" s="17">
        <v>1</v>
      </c>
      <c r="BF58" s="7" t="s">
        <v>28</v>
      </c>
      <c r="BG58" s="17">
        <v>1</v>
      </c>
      <c r="BH58" s="7" t="s">
        <v>657</v>
      </c>
      <c r="BI58" s="17">
        <v>0</v>
      </c>
      <c r="BJ58" s="7">
        <v>12</v>
      </c>
      <c r="BK58" s="7" t="s">
        <v>7664</v>
      </c>
      <c r="BL58" s="17"/>
      <c r="BM58" s="17"/>
      <c r="BN58" s="17"/>
      <c r="BO58" s="17"/>
      <c r="BP58" s="17">
        <v>1</v>
      </c>
      <c r="BQ58" s="17"/>
      <c r="BR58" s="17"/>
      <c r="BS58" s="17">
        <v>1</v>
      </c>
      <c r="BT58" s="17"/>
      <c r="BU58" s="17"/>
      <c r="BV58" s="17"/>
      <c r="BW58" s="17"/>
      <c r="BX58" s="17"/>
      <c r="BY58" s="17"/>
      <c r="BZ58" s="17"/>
      <c r="CA58" s="17"/>
      <c r="CB58" s="17">
        <v>1</v>
      </c>
      <c r="CC58" s="17"/>
      <c r="CD58" s="17">
        <v>1</v>
      </c>
      <c r="CE58" s="17"/>
      <c r="CF58" s="17"/>
      <c r="CG58" s="7">
        <v>31</v>
      </c>
      <c r="CH58" s="7"/>
      <c r="CI58" s="7">
        <v>95</v>
      </c>
      <c r="CJ58" s="7">
        <v>67</v>
      </c>
      <c r="CK58" s="7"/>
      <c r="CL58" s="7"/>
      <c r="CM58" s="7" t="s">
        <v>3914</v>
      </c>
      <c r="CN58" s="17">
        <v>0</v>
      </c>
      <c r="CO58" s="17">
        <v>1</v>
      </c>
      <c r="CP58" s="17">
        <v>0</v>
      </c>
      <c r="CQ58" s="17">
        <v>0</v>
      </c>
      <c r="CR58" s="7" t="s">
        <v>4549</v>
      </c>
      <c r="CS58" s="7" t="s">
        <v>4658</v>
      </c>
      <c r="CT58" s="64">
        <v>0.86599999999999999</v>
      </c>
      <c r="CU58" s="7" t="s">
        <v>4659</v>
      </c>
      <c r="CV58" s="7"/>
      <c r="CW58" s="7"/>
      <c r="CX58" s="7" t="s">
        <v>4660</v>
      </c>
      <c r="CY58" s="17">
        <v>1</v>
      </c>
      <c r="CZ58" s="7" t="s">
        <v>4661</v>
      </c>
      <c r="DA58" s="8"/>
    </row>
    <row r="59" spans="1:105" ht="42.75">
      <c r="A59" s="9">
        <v>1008</v>
      </c>
      <c r="B59" s="10">
        <v>44718</v>
      </c>
      <c r="C59" s="11" t="s">
        <v>4277</v>
      </c>
      <c r="D59" s="10">
        <v>19611</v>
      </c>
      <c r="E59" s="52">
        <f ca="1">_xlfn.DAYS(NOW(),Tabella2[[#This Row],[Data Nascita]])/365.25</f>
        <v>71.901437371663249</v>
      </c>
      <c r="F59" s="11" t="s">
        <v>4278</v>
      </c>
      <c r="G59" s="11"/>
      <c r="H59" s="11" t="s">
        <v>4645</v>
      </c>
      <c r="I59" s="11" t="s">
        <v>3948</v>
      </c>
      <c r="J59" s="11" t="s">
        <v>4662</v>
      </c>
      <c r="K59" s="11"/>
      <c r="L59" s="11"/>
      <c r="M59" s="11"/>
      <c r="N59" s="11"/>
      <c r="O59" s="17" t="s">
        <v>5412</v>
      </c>
      <c r="P59" s="17">
        <v>0</v>
      </c>
      <c r="Q59" s="11" t="s">
        <v>25</v>
      </c>
      <c r="R59" s="11" t="s">
        <v>25</v>
      </c>
      <c r="S59" s="11" t="s">
        <v>4663</v>
      </c>
      <c r="T59" s="7" t="s">
        <v>5412</v>
      </c>
      <c r="U59" s="18">
        <f>IF(ISERROR(SEARCH("null",Tabella2[[#This Row],[Patologia respiratoria nota]],1)),0,1)</f>
        <v>1</v>
      </c>
      <c r="V59" s="17">
        <f>IF(ISERROR(SEARCH("MUTA",Tabella2[[#This Row],[Patologia respiratoria nota]],1)),0,1)</f>
        <v>0</v>
      </c>
      <c r="W59" s="18">
        <f>IF(ISERROR(SEARCH("OSAS",Tabella2[[#This Row],[Patologia respiratoria nota]],1)),0,1)</f>
        <v>0</v>
      </c>
      <c r="X59" s="17">
        <f>IF(ISERROR(SEARCH("BPCO",Tabella2[[#This Row],[Patologia respiratoria nota]],1)),0,1)</f>
        <v>0</v>
      </c>
      <c r="Y59" s="17">
        <f>IF(ISERROR(SEARCH("ASMA",Tabella2[[#This Row],[Patologia respiratoria nota]],1)),0,1)</f>
        <v>0</v>
      </c>
      <c r="Z59" s="17">
        <f>IF(ISERROR(SEARCH("ASMA, OSAS",Tabella2[[#This Row],[Patologia respiratoria nota]],1)),0,1)</f>
        <v>0</v>
      </c>
      <c r="AA59" s="17">
        <f>IF(ISERROR(SEARCH("BPCO, OSAS",Tabella2[[#This Row],[Patologia respiratoria nota]],1)),0,1)</f>
        <v>0</v>
      </c>
      <c r="AB59" s="17">
        <f>IF(ISERROR(SEARCH("ASMA, BPCO, OSAS",Tabella2[[#This Row],[Patologia respiratoria nota]],1)),0,1)</f>
        <v>0</v>
      </c>
      <c r="AC59" s="11" t="s">
        <v>5466</v>
      </c>
      <c r="AD59" s="18">
        <f>IF(ISERROR(SEARCH("NDD",Tabella2[[#This Row],[Tosse]],1)),0,1)</f>
        <v>0</v>
      </c>
      <c r="AE59" s="18">
        <f>IF(ISERROR(SEARCH("NEGA",Tabella2[[#This Row],[Tosse]],1)),0,1)</f>
        <v>0</v>
      </c>
      <c r="AF59" s="18">
        <f>IF(ISERROR(SEARCH("OCCASIONALMENTE",Tabella2[[#This Row],[Tosse]],1)),0,1)</f>
        <v>1</v>
      </c>
      <c r="AG59" s="18">
        <f>IF(ISERROR(SEARCH("RARAMENTE",Tabella2[[#This Row],[Tosse]],1)),0,1)</f>
        <v>0</v>
      </c>
      <c r="AH59" s="17">
        <v>1</v>
      </c>
      <c r="AI59" s="11" t="s">
        <v>657</v>
      </c>
      <c r="AJ59" s="18">
        <f>IF(ISERROR(SEARCH("SI",Tabella2[[#This Row],[Espettorazione]],1)),0,1)</f>
        <v>0</v>
      </c>
      <c r="AK59" s="18">
        <f>IF(ISERROR(SEARCH("NEGA",Tabella2[[#This Row],[Espettorazione]],1)),0,1)</f>
        <v>1</v>
      </c>
      <c r="AL59" s="18">
        <f>IF(ISERROR(SEARCH("NDD",Tabella2[[#This Row],[Espettorazione]],1)),0,1)</f>
        <v>0</v>
      </c>
      <c r="AM59" s="11" t="s">
        <v>28</v>
      </c>
      <c r="AN59" s="17">
        <v>1</v>
      </c>
      <c r="AO59" s="11" t="s">
        <v>4664</v>
      </c>
      <c r="AP59" s="17">
        <f>IF(ISERROR(SEARCH("NEGA",Tabella2[[#This Row],[Dispnea da sforzo]],1)),0,1)</f>
        <v>0</v>
      </c>
      <c r="AQ59" s="17">
        <f>IF(ISERROR(SEARCH("NEGA",Tabella2[[#This Row],[Dispnea da sforzo]],1)),1,0)</f>
        <v>1</v>
      </c>
      <c r="AR59" s="17">
        <f>IF(ISERROR(SEARCH("LIEVI",Tabella2[[#This Row],[Dispnea da sforzo]],1)),0,1)</f>
        <v>0</v>
      </c>
      <c r="AS59" s="17">
        <f>IF(ISERROR(SEARCH("MODERATI",Tabella2[[#This Row],[Dispnea da sforzo]],1)),0,1)</f>
        <v>0</v>
      </c>
      <c r="AT59" s="17">
        <f>IF(ISERROR(SEARCH("INTENSI",Tabella2[[#This Row],[Dispnea da sforzo]],1)),0,1)</f>
        <v>0</v>
      </c>
      <c r="AU59" s="11" t="s">
        <v>657</v>
      </c>
      <c r="AV59" s="18">
        <f>IF(ISERROR(SEARCH("NEGA",Tabella2[[#This Row],[Dispnea a riposo]],1)),0,1)</f>
        <v>1</v>
      </c>
      <c r="AW59" s="18">
        <f>IF(ISERROR(SEARCH("NDD",Tabella2[[#This Row],[Dispnea a riposo]],1)),0,1)</f>
        <v>0</v>
      </c>
      <c r="AX59" s="11" t="s">
        <v>657</v>
      </c>
      <c r="AY59" s="17">
        <v>0</v>
      </c>
      <c r="AZ59" s="11" t="s">
        <v>657</v>
      </c>
      <c r="BA59" s="18">
        <v>0</v>
      </c>
      <c r="BB59" s="7" t="s">
        <v>657</v>
      </c>
      <c r="BC59" s="17">
        <v>0</v>
      </c>
      <c r="BD59" s="11" t="s">
        <v>28</v>
      </c>
      <c r="BE59" s="17">
        <v>1</v>
      </c>
      <c r="BF59" s="11" t="s">
        <v>28</v>
      </c>
      <c r="BG59" s="17">
        <v>1</v>
      </c>
      <c r="BH59" s="11" t="s">
        <v>28</v>
      </c>
      <c r="BI59" s="18">
        <v>1</v>
      </c>
      <c r="BJ59" s="11">
        <v>14</v>
      </c>
      <c r="BK59" s="11" t="s">
        <v>7665</v>
      </c>
      <c r="BL59" s="18"/>
      <c r="BM59" s="18"/>
      <c r="BN59" s="18"/>
      <c r="BO59" s="18"/>
      <c r="BP59" s="18">
        <v>1</v>
      </c>
      <c r="BQ59" s="18"/>
      <c r="BR59" s="18"/>
      <c r="BS59" s="18"/>
      <c r="BT59" s="18"/>
      <c r="BU59" s="18"/>
      <c r="BV59" s="18"/>
      <c r="BW59" s="18"/>
      <c r="BX59" s="18"/>
      <c r="BY59" s="18"/>
      <c r="BZ59" s="18">
        <v>1</v>
      </c>
      <c r="CA59" s="18"/>
      <c r="CB59" s="18"/>
      <c r="CC59" s="18"/>
      <c r="CD59" s="18"/>
      <c r="CE59" s="18"/>
      <c r="CF59" s="18"/>
      <c r="CG59" s="11">
        <v>28</v>
      </c>
      <c r="CH59" s="11"/>
      <c r="CI59" s="11">
        <v>98</v>
      </c>
      <c r="CJ59" s="11">
        <v>92</v>
      </c>
      <c r="CK59" s="11"/>
      <c r="CL59" s="11"/>
      <c r="CM59" s="11" t="s">
        <v>4640</v>
      </c>
      <c r="CN59" s="17">
        <v>0</v>
      </c>
      <c r="CO59" s="17">
        <v>0</v>
      </c>
      <c r="CP59" s="17">
        <v>0</v>
      </c>
      <c r="CQ59" s="17">
        <v>0</v>
      </c>
      <c r="CR59" s="11" t="s">
        <v>4549</v>
      </c>
      <c r="CS59" s="11" t="s">
        <v>4665</v>
      </c>
      <c r="CT59" s="65">
        <v>0.86599999999999999</v>
      </c>
      <c r="CU59" s="11" t="s">
        <v>4666</v>
      </c>
      <c r="CV59" s="11"/>
      <c r="CW59" s="11"/>
      <c r="CX59" s="11" t="s">
        <v>461</v>
      </c>
      <c r="CY59" s="17">
        <v>1</v>
      </c>
      <c r="CZ59" s="11" t="s">
        <v>4643</v>
      </c>
      <c r="DA59" s="12"/>
    </row>
    <row r="60" spans="1:105" ht="42.75">
      <c r="A60" s="5">
        <v>1016</v>
      </c>
      <c r="B60" s="6">
        <v>44720</v>
      </c>
      <c r="C60" s="7" t="s">
        <v>4667</v>
      </c>
      <c r="D60" s="6">
        <v>15659</v>
      </c>
      <c r="E60" s="51">
        <f ca="1">_xlfn.DAYS(NOW(),Tabella2[[#This Row],[Data Nascita]])/365.25</f>
        <v>82.721423682409309</v>
      </c>
      <c r="F60" s="7" t="s">
        <v>3906</v>
      </c>
      <c r="G60" s="7" t="s">
        <v>4668</v>
      </c>
      <c r="H60" s="7" t="s">
        <v>1276</v>
      </c>
      <c r="I60" s="7" t="s">
        <v>3948</v>
      </c>
      <c r="J60" s="7" t="s">
        <v>4669</v>
      </c>
      <c r="K60" s="7"/>
      <c r="L60" s="7"/>
      <c r="M60" s="7"/>
      <c r="N60" s="7"/>
      <c r="O60" s="17" t="s">
        <v>5412</v>
      </c>
      <c r="P60" s="17">
        <v>0</v>
      </c>
      <c r="Q60" s="7" t="s">
        <v>8</v>
      </c>
      <c r="R60" s="7" t="s">
        <v>4670</v>
      </c>
      <c r="S60" s="7"/>
      <c r="T60" s="7" t="s">
        <v>5425</v>
      </c>
      <c r="U60" s="17">
        <f>IF(ISERROR(SEARCH("null",Tabella2[[#This Row],[Patologia respiratoria nota]],1)),0,1)</f>
        <v>0</v>
      </c>
      <c r="V60" s="17">
        <f>IF(ISERROR(SEARCH("MUTA",Tabella2[[#This Row],[Patologia respiratoria nota]],1)),0,1)</f>
        <v>0</v>
      </c>
      <c r="W60" s="17">
        <f>IF(ISERROR(SEARCH("OSAS",Tabella2[[#This Row],[Patologia respiratoria nota]],1)),0,1)</f>
        <v>1</v>
      </c>
      <c r="X60" s="17">
        <f>IF(ISERROR(SEARCH("BPCO",Tabella2[[#This Row],[Patologia respiratoria nota]],1)),0,1)</f>
        <v>0</v>
      </c>
      <c r="Y60" s="17">
        <f>IF(ISERROR(SEARCH("ASMA",Tabella2[[#This Row],[Patologia respiratoria nota]],1)),0,1)</f>
        <v>0</v>
      </c>
      <c r="Z60" s="17">
        <f>IF(ISERROR(SEARCH("ASMA, OSAS",Tabella2[[#This Row],[Patologia respiratoria nota]],1)),0,1)</f>
        <v>0</v>
      </c>
      <c r="AA60" s="17">
        <f>IF(ISERROR(SEARCH("BPCO, OSAS",Tabella2[[#This Row],[Patologia respiratoria nota]],1)),0,1)</f>
        <v>0</v>
      </c>
      <c r="AB60" s="17">
        <f>IF(ISERROR(SEARCH("ASMA, BPCO, OSAS",Tabella2[[#This Row],[Patologia respiratoria nota]],1)),0,1)</f>
        <v>0</v>
      </c>
      <c r="AC60" s="15" t="s">
        <v>657</v>
      </c>
      <c r="AD60" s="19">
        <f>IF(ISERROR(SEARCH("NDD",Tabella2[[#This Row],[Tosse]],1)),0,1)</f>
        <v>0</v>
      </c>
      <c r="AE60" s="19">
        <f>IF(ISERROR(SEARCH("NEGA",Tabella2[[#This Row],[Tosse]],1)),0,1)</f>
        <v>1</v>
      </c>
      <c r="AF60" s="19">
        <f>IF(ISERROR(SEARCH("OCCASIONALMENTE",Tabella2[[#This Row],[Tosse]],1)),0,1)</f>
        <v>0</v>
      </c>
      <c r="AG60" s="19">
        <f>IF(ISERROR(SEARCH("RARAMENTE",Tabella2[[#This Row],[Tosse]],1)),0,1)</f>
        <v>0</v>
      </c>
      <c r="AH60" s="19">
        <f>IF(ISERROR(SEARCH("SI",Tabella2[[#This Row],[Tosse]],1)),0,1)</f>
        <v>0</v>
      </c>
      <c r="AI60" s="7" t="s">
        <v>657</v>
      </c>
      <c r="AJ60" s="17">
        <f>IF(ISERROR(SEARCH("SI",Tabella2[[#This Row],[Espettorazione]],1)),0,1)</f>
        <v>0</v>
      </c>
      <c r="AK60" s="17">
        <f>IF(ISERROR(SEARCH("NEGA",Tabella2[[#This Row],[Espettorazione]],1)),0,1)</f>
        <v>1</v>
      </c>
      <c r="AL60" s="17">
        <f>IF(ISERROR(SEARCH("NDD",Tabella2[[#This Row],[Espettorazione]],1)),0,1)</f>
        <v>0</v>
      </c>
      <c r="AM60" s="7" t="s">
        <v>657</v>
      </c>
      <c r="AN60" s="17">
        <v>0</v>
      </c>
      <c r="AO60" s="7" t="s">
        <v>5528</v>
      </c>
      <c r="AP60" s="17">
        <f>IF(ISERROR(SEARCH("NEGA",Tabella2[[#This Row],[Dispnea da sforzo]],1)),0,1)</f>
        <v>0</v>
      </c>
      <c r="AQ60" s="17">
        <f>IF(ISERROR(SEARCH("NEGA",Tabella2[[#This Row],[Dispnea da sforzo]],1)),1,0)</f>
        <v>1</v>
      </c>
      <c r="AR60" s="17">
        <f>IF(ISERROR(SEARCH("LIEVI",Tabella2[[#This Row],[Dispnea da sforzo]],1)),0,1)</f>
        <v>1</v>
      </c>
      <c r="AS60" s="17">
        <f>IF(ISERROR(SEARCH("MODERATI",Tabella2[[#This Row],[Dispnea da sforzo]],1)),0,1)</f>
        <v>0</v>
      </c>
      <c r="AT60" s="17">
        <f>IF(ISERROR(SEARCH("INTENSI",Tabella2[[#This Row],[Dispnea da sforzo]],1)),0,1)</f>
        <v>0</v>
      </c>
      <c r="AU60" s="7" t="s">
        <v>657</v>
      </c>
      <c r="AV60" s="17">
        <f>IF(ISERROR(SEARCH("NEGA",Tabella2[[#This Row],[Dispnea a riposo]],1)),0,1)</f>
        <v>1</v>
      </c>
      <c r="AW60" s="17">
        <f>IF(ISERROR(SEARCH("NDD",Tabella2[[#This Row],[Dispnea a riposo]],1)),0,1)</f>
        <v>0</v>
      </c>
      <c r="AX60" s="7" t="s">
        <v>657</v>
      </c>
      <c r="AY60" s="17">
        <v>0</v>
      </c>
      <c r="AZ60" s="7" t="s">
        <v>931</v>
      </c>
      <c r="BA60" s="17">
        <v>1</v>
      </c>
      <c r="BB60" s="7" t="s">
        <v>657</v>
      </c>
      <c r="BC60" s="17">
        <v>0</v>
      </c>
      <c r="BD60" s="7" t="s">
        <v>4671</v>
      </c>
      <c r="BE60" s="17">
        <v>1</v>
      </c>
      <c r="BF60" s="7" t="s">
        <v>28</v>
      </c>
      <c r="BG60" s="17">
        <v>1</v>
      </c>
      <c r="BH60" s="7" t="s">
        <v>657</v>
      </c>
      <c r="BI60" s="17">
        <v>0</v>
      </c>
      <c r="BJ60" s="7">
        <v>13</v>
      </c>
      <c r="BK60" s="7" t="s">
        <v>4672</v>
      </c>
      <c r="BL60" s="17"/>
      <c r="BM60" s="17"/>
      <c r="BN60" s="17"/>
      <c r="BO60" s="17"/>
      <c r="BP60" s="17"/>
      <c r="BQ60" s="17"/>
      <c r="BR60" s="17"/>
      <c r="BS60" s="17"/>
      <c r="BT60" s="17"/>
      <c r="BU60" s="17"/>
      <c r="BV60" s="17"/>
      <c r="BW60" s="17"/>
      <c r="BX60" s="17"/>
      <c r="BY60" s="17"/>
      <c r="BZ60" s="17">
        <v>1</v>
      </c>
      <c r="CA60" s="17"/>
      <c r="CB60" s="17"/>
      <c r="CC60" s="17"/>
      <c r="CD60" s="17"/>
      <c r="CE60" s="17"/>
      <c r="CF60" s="17"/>
      <c r="CG60" s="7">
        <v>37</v>
      </c>
      <c r="CH60" s="7"/>
      <c r="CI60" s="7">
        <v>85</v>
      </c>
      <c r="CJ60" s="7">
        <v>85</v>
      </c>
      <c r="CK60" s="7" t="s">
        <v>4673</v>
      </c>
      <c r="CL60" s="7" t="s">
        <v>4674</v>
      </c>
      <c r="CM60" s="7" t="s">
        <v>3997</v>
      </c>
      <c r="CN60" s="17">
        <v>0</v>
      </c>
      <c r="CO60" s="17">
        <v>1</v>
      </c>
      <c r="CP60" s="17">
        <v>0</v>
      </c>
      <c r="CQ60" s="17">
        <v>0</v>
      </c>
      <c r="CR60" s="7" t="s">
        <v>4534</v>
      </c>
      <c r="CS60" s="7" t="s">
        <v>3220</v>
      </c>
      <c r="CT60" s="64">
        <v>0.99</v>
      </c>
      <c r="CU60" s="7" t="s">
        <v>4675</v>
      </c>
      <c r="CV60" s="7"/>
      <c r="CW60" s="7"/>
      <c r="CX60" s="7" t="s">
        <v>4676</v>
      </c>
      <c r="CY60" s="17">
        <v>1</v>
      </c>
      <c r="CZ60" s="7" t="s">
        <v>4677</v>
      </c>
      <c r="DA60" s="8"/>
    </row>
    <row r="61" spans="1:105" ht="57">
      <c r="A61" s="9">
        <v>1022</v>
      </c>
      <c r="B61" s="10">
        <v>44725</v>
      </c>
      <c r="C61" s="11" t="s">
        <v>4364</v>
      </c>
      <c r="D61" s="10">
        <v>17088</v>
      </c>
      <c r="E61" s="52">
        <f ca="1">_xlfn.DAYS(NOW(),Tabella2[[#This Row],[Data Nascita]])/365.25</f>
        <v>78.809034907597535</v>
      </c>
      <c r="F61" s="11" t="s">
        <v>4365</v>
      </c>
      <c r="G61" s="11" t="s">
        <v>4366</v>
      </c>
      <c r="H61" s="11" t="s">
        <v>1276</v>
      </c>
      <c r="I61" s="11" t="s">
        <v>3948</v>
      </c>
      <c r="J61" s="11" t="s">
        <v>4678</v>
      </c>
      <c r="K61" s="11"/>
      <c r="L61" s="11"/>
      <c r="M61" s="11"/>
      <c r="N61" s="11" t="s">
        <v>8</v>
      </c>
      <c r="O61" s="17">
        <v>0</v>
      </c>
      <c r="P61" s="17">
        <v>1</v>
      </c>
      <c r="Q61" s="11" t="s">
        <v>8</v>
      </c>
      <c r="R61" s="11" t="s">
        <v>8</v>
      </c>
      <c r="S61" s="11" t="s">
        <v>4679</v>
      </c>
      <c r="T61" s="11" t="s">
        <v>4680</v>
      </c>
      <c r="U61" s="18">
        <f>IF(ISERROR(SEARCH("null",Tabella2[[#This Row],[Patologia respiratoria nota]],1)),0,1)</f>
        <v>0</v>
      </c>
      <c r="V61" s="17">
        <f>IF(ISERROR(SEARCH("MUTA",Tabella2[[#This Row],[Patologia respiratoria nota]],1)),0,1)</f>
        <v>0</v>
      </c>
      <c r="W61" s="18">
        <f>IF(ISERROR(SEARCH("OSAS",Tabella2[[#This Row],[Patologia respiratoria nota]],1)),0,1)</f>
        <v>0</v>
      </c>
      <c r="X61" s="17">
        <f>IF(ISERROR(SEARCH("BPCO",Tabella2[[#This Row],[Patologia respiratoria nota]],1)),0,1)</f>
        <v>0</v>
      </c>
      <c r="Y61" s="17">
        <f>IF(ISERROR(SEARCH("ASMA",Tabella2[[#This Row],[Patologia respiratoria nota]],1)),0,1)</f>
        <v>0</v>
      </c>
      <c r="Z61" s="17">
        <f>IF(ISERROR(SEARCH("ASMA, OSAS",Tabella2[[#This Row],[Patologia respiratoria nota]],1)),0,1)</f>
        <v>0</v>
      </c>
      <c r="AA61" s="17">
        <f>IF(ISERROR(SEARCH("BPCO, OSAS",Tabella2[[#This Row],[Patologia respiratoria nota]],1)),0,1)</f>
        <v>0</v>
      </c>
      <c r="AB61" s="17">
        <f>IF(ISERROR(SEARCH("ASMA, BPCO, OSAS",Tabella2[[#This Row],[Patologia respiratoria nota]],1)),0,1)</f>
        <v>0</v>
      </c>
      <c r="AC61" s="15" t="s">
        <v>657</v>
      </c>
      <c r="AD61" s="19">
        <f>IF(ISERROR(SEARCH("NDD",Tabella2[[#This Row],[Tosse]],1)),0,1)</f>
        <v>0</v>
      </c>
      <c r="AE61" s="19">
        <f>IF(ISERROR(SEARCH("NEGA",Tabella2[[#This Row],[Tosse]],1)),0,1)</f>
        <v>1</v>
      </c>
      <c r="AF61" s="19">
        <f>IF(ISERROR(SEARCH("OCCASIONALMENTE",Tabella2[[#This Row],[Tosse]],1)),0,1)</f>
        <v>0</v>
      </c>
      <c r="AG61" s="19">
        <f>IF(ISERROR(SEARCH("RARAMENTE",Tabella2[[#This Row],[Tosse]],1)),0,1)</f>
        <v>0</v>
      </c>
      <c r="AH61" s="19">
        <f>IF(ISERROR(SEARCH("SI",Tabella2[[#This Row],[Tosse]],1)),0,1)</f>
        <v>0</v>
      </c>
      <c r="AI61" s="11" t="s">
        <v>657</v>
      </c>
      <c r="AJ61" s="18">
        <f>IF(ISERROR(SEARCH("SI",Tabella2[[#This Row],[Espettorazione]],1)),0,1)</f>
        <v>0</v>
      </c>
      <c r="AK61" s="18">
        <f>IF(ISERROR(SEARCH("NEGA",Tabella2[[#This Row],[Espettorazione]],1)),0,1)</f>
        <v>1</v>
      </c>
      <c r="AL61" s="18">
        <f>IF(ISERROR(SEARCH("NDD",Tabella2[[#This Row],[Espettorazione]],1)),0,1)</f>
        <v>0</v>
      </c>
      <c r="AM61" s="11" t="s">
        <v>657</v>
      </c>
      <c r="AN61" s="17">
        <v>0</v>
      </c>
      <c r="AO61" s="11" t="s">
        <v>5555</v>
      </c>
      <c r="AP61" s="17">
        <f>IF(ISERROR(SEARCH("NEGA",Tabella2[[#This Row],[Dispnea da sforzo]],1)),0,1)</f>
        <v>0</v>
      </c>
      <c r="AQ61" s="17">
        <f>IF(ISERROR(SEARCH("NEGA",Tabella2[[#This Row],[Dispnea da sforzo]],1)),1,0)</f>
        <v>1</v>
      </c>
      <c r="AR61" s="17">
        <f>IF(ISERROR(SEARCH("LIEVI",Tabella2[[#This Row],[Dispnea da sforzo]],1)),0,1)</f>
        <v>0</v>
      </c>
      <c r="AS61" s="17">
        <f>IF(ISERROR(SEARCH("MODERATI",Tabella2[[#This Row],[Dispnea da sforzo]],1)),0,1)</f>
        <v>1</v>
      </c>
      <c r="AT61" s="17">
        <f>IF(ISERROR(SEARCH("INTENSI",Tabella2[[#This Row],[Dispnea da sforzo]],1)),0,1)</f>
        <v>0</v>
      </c>
      <c r="AU61" s="11" t="s">
        <v>657</v>
      </c>
      <c r="AV61" s="18">
        <f>IF(ISERROR(SEARCH("NEGA",Tabella2[[#This Row],[Dispnea a riposo]],1)),0,1)</f>
        <v>1</v>
      </c>
      <c r="AW61" s="18">
        <f>IF(ISERROR(SEARCH("NDD",Tabella2[[#This Row],[Dispnea a riposo]],1)),0,1)</f>
        <v>0</v>
      </c>
      <c r="AX61" s="11" t="s">
        <v>657</v>
      </c>
      <c r="AY61" s="17">
        <v>0</v>
      </c>
      <c r="AZ61" s="11" t="s">
        <v>26</v>
      </c>
      <c r="BA61" s="17">
        <v>1</v>
      </c>
      <c r="BB61" s="11" t="s">
        <v>4660</v>
      </c>
      <c r="BC61" s="17">
        <v>1</v>
      </c>
      <c r="BD61" s="11" t="s">
        <v>28</v>
      </c>
      <c r="BE61" s="17">
        <v>1</v>
      </c>
      <c r="BF61" s="11" t="s">
        <v>28</v>
      </c>
      <c r="BG61" s="17">
        <v>1</v>
      </c>
      <c r="BH61" s="11" t="s">
        <v>4681</v>
      </c>
      <c r="BI61" s="18">
        <v>1</v>
      </c>
      <c r="BJ61" s="11">
        <v>12</v>
      </c>
      <c r="BK61" s="11" t="s">
        <v>7666</v>
      </c>
      <c r="BL61" s="18"/>
      <c r="BM61" s="18"/>
      <c r="BN61" s="18"/>
      <c r="BO61" s="18"/>
      <c r="BP61" s="18"/>
      <c r="BQ61" s="18"/>
      <c r="BR61" s="18"/>
      <c r="BS61" s="18"/>
      <c r="BT61" s="18"/>
      <c r="BU61" s="18">
        <v>1</v>
      </c>
      <c r="BV61" s="18"/>
      <c r="BW61" s="18"/>
      <c r="BX61" s="18"/>
      <c r="BY61" s="18"/>
      <c r="BZ61" s="18"/>
      <c r="CA61" s="18"/>
      <c r="CB61" s="18">
        <v>1</v>
      </c>
      <c r="CC61" s="18"/>
      <c r="CD61" s="18"/>
      <c r="CE61" s="18"/>
      <c r="CF61" s="18"/>
      <c r="CG61" s="11">
        <v>30</v>
      </c>
      <c r="CH61" s="11"/>
      <c r="CI61" s="11">
        <v>93</v>
      </c>
      <c r="CJ61" s="11">
        <v>64</v>
      </c>
      <c r="CK61" s="11"/>
      <c r="CL61" s="11"/>
      <c r="CM61" s="11" t="s">
        <v>3914</v>
      </c>
      <c r="CN61" s="17">
        <v>0</v>
      </c>
      <c r="CO61" s="17">
        <v>1</v>
      </c>
      <c r="CP61" s="17">
        <v>0</v>
      </c>
      <c r="CQ61" s="17">
        <v>0</v>
      </c>
      <c r="CR61" s="11" t="s">
        <v>4549</v>
      </c>
      <c r="CS61" s="11" t="s">
        <v>4298</v>
      </c>
      <c r="CT61" s="65">
        <v>1</v>
      </c>
      <c r="CU61" s="11" t="s">
        <v>4682</v>
      </c>
      <c r="CV61" s="11"/>
      <c r="CW61" s="11"/>
      <c r="CX61" s="11" t="s">
        <v>4660</v>
      </c>
      <c r="CY61" s="17">
        <v>1</v>
      </c>
      <c r="CZ61" s="11" t="s">
        <v>4683</v>
      </c>
      <c r="DA61" s="12" t="s">
        <v>4684</v>
      </c>
    </row>
    <row r="62" spans="1:105" customFormat="1" ht="73.5" customHeight="1">
      <c r="A62" s="31">
        <v>1035</v>
      </c>
      <c r="B62" s="32">
        <v>44733</v>
      </c>
      <c r="C62" s="7" t="s">
        <v>4685</v>
      </c>
      <c r="D62" s="32">
        <v>20105</v>
      </c>
      <c r="E62" s="43">
        <f ca="1">_xlfn.DAYS(NOW(),Tabella2[[#This Row],[Data Nascita]])/365.25</f>
        <v>70.548939082819984</v>
      </c>
      <c r="F62" s="33" t="s">
        <v>4686</v>
      </c>
      <c r="G62" s="33" t="s">
        <v>4687</v>
      </c>
      <c r="H62" s="33" t="s">
        <v>4201</v>
      </c>
      <c r="I62" s="33" t="s">
        <v>618</v>
      </c>
      <c r="J62" s="33" t="s">
        <v>4688</v>
      </c>
      <c r="K62" s="33"/>
      <c r="L62" s="33"/>
      <c r="M62" s="33"/>
      <c r="N62" s="33"/>
      <c r="O62" s="47" t="s">
        <v>5412</v>
      </c>
      <c r="P62" s="47">
        <v>0</v>
      </c>
      <c r="Q62" s="33" t="s">
        <v>8</v>
      </c>
      <c r="R62" s="33" t="s">
        <v>4689</v>
      </c>
      <c r="S62" s="33" t="s">
        <v>4690</v>
      </c>
      <c r="T62" s="33" t="s">
        <v>5414</v>
      </c>
      <c r="U62" s="47">
        <f>IF(ISERROR(SEARCH("null",Tabella2[[#This Row],[Patologia respiratoria nota]],1)),0,1)</f>
        <v>0</v>
      </c>
      <c r="V62" s="47">
        <f>IF(ISERROR(SEARCH("MUTA",Tabella2[[#This Row],[Patologia respiratoria nota]],1)),0,1)</f>
        <v>0</v>
      </c>
      <c r="W62" s="47">
        <f>IF(ISERROR(SEARCH("OSAS",Tabella2[[#This Row],[Patologia respiratoria nota]],1)),0,1)</f>
        <v>1</v>
      </c>
      <c r="X62" s="47">
        <f>IF(ISERROR(SEARCH("BPCO",Tabella2[[#This Row],[Patologia respiratoria nota]],1)),0,1)</f>
        <v>1</v>
      </c>
      <c r="Y62" s="47">
        <f>IF(ISERROR(SEARCH("ASMA",Tabella2[[#This Row],[Patologia respiratoria nota]],1)),0,1)</f>
        <v>0</v>
      </c>
      <c r="Z62" s="47">
        <f>IF(ISERROR(SEARCH("ASMA, OSAS",Tabella2[[#This Row],[Patologia respiratoria nota]],1)),0,1)</f>
        <v>0</v>
      </c>
      <c r="AA62" s="47">
        <f>IF(ISERROR(SEARCH("BPCO, OSAS",Tabella2[[#This Row],[Patologia respiratoria nota]],1)),0,1)</f>
        <v>1</v>
      </c>
      <c r="AB62" s="47">
        <f>IF(ISERROR(SEARCH("ASMA, BPCO, OSAS",Tabella2[[#This Row],[Patologia respiratoria nota]],1)),0,1)</f>
        <v>0</v>
      </c>
      <c r="AC62" s="33" t="s">
        <v>5468</v>
      </c>
      <c r="AD62" s="47">
        <f>IF(ISERROR(SEARCH("NDD",Tabella2[[#This Row],[Tosse]],1)),0,1)</f>
        <v>0</v>
      </c>
      <c r="AE62" s="47">
        <f>IF(ISERROR(SEARCH("NEGA",Tabella2[[#This Row],[Tosse]],1)),0,1)</f>
        <v>0</v>
      </c>
      <c r="AF62" s="47">
        <f>IF(ISERROR(SEARCH("OCCASIONALMENTE",Tabella2[[#This Row],[Tosse]],1)),0,1)</f>
        <v>1</v>
      </c>
      <c r="AG62" s="47">
        <f>IF(ISERROR(SEARCH("RARAMENTE",Tabella2[[#This Row],[Tosse]],1)),0,1)</f>
        <v>0</v>
      </c>
      <c r="AH62" s="17">
        <v>1</v>
      </c>
      <c r="AI62" s="33" t="s">
        <v>657</v>
      </c>
      <c r="AJ62" s="47">
        <f>IF(ISERROR(SEARCH("SI",Tabella2[[#This Row],[Espettorazione]],1)),0,1)</f>
        <v>0</v>
      </c>
      <c r="AK62" s="47">
        <f>IF(ISERROR(SEARCH("NEGA",Tabella2[[#This Row],[Espettorazione]],1)),0,1)</f>
        <v>1</v>
      </c>
      <c r="AL62" s="47">
        <f>IF(ISERROR(SEARCH("NDD",Tabella2[[#This Row],[Espettorazione]],1)),0,1)</f>
        <v>0</v>
      </c>
      <c r="AM62" s="33" t="s">
        <v>26</v>
      </c>
      <c r="AN62" s="47">
        <v>1</v>
      </c>
      <c r="AO62" s="33" t="s">
        <v>5556</v>
      </c>
      <c r="AP62" s="47">
        <f>IF(ISERROR(SEARCH("NEGA",Tabella2[[#This Row],[Dispnea da sforzo]],1)),0,1)</f>
        <v>0</v>
      </c>
      <c r="AQ62" s="47">
        <f>IF(ISERROR(SEARCH("NEGA",Tabella2[[#This Row],[Dispnea da sforzo]],1)),1,0)</f>
        <v>1</v>
      </c>
      <c r="AR62" s="47">
        <f>IF(ISERROR(SEARCH("LIEVI",Tabella2[[#This Row],[Dispnea da sforzo]],1)),0,1)</f>
        <v>0</v>
      </c>
      <c r="AS62" s="47">
        <f>IF(ISERROR(SEARCH("MODERATI",Tabella2[[#This Row],[Dispnea da sforzo]],1)),0,1)</f>
        <v>1</v>
      </c>
      <c r="AT62" s="47">
        <f>IF(ISERROR(SEARCH("INTENSI",Tabella2[[#This Row],[Dispnea da sforzo]],1)),0,1)</f>
        <v>0</v>
      </c>
      <c r="AU62" s="33" t="s">
        <v>657</v>
      </c>
      <c r="AV62" s="47">
        <f>IF(ISERROR(SEARCH("NEGA",Tabella2[[#This Row],[Dispnea a riposo]],1)),0,1)</f>
        <v>1</v>
      </c>
      <c r="AW62" s="47">
        <f>IF(ISERROR(SEARCH("NDD",Tabella2[[#This Row],[Dispnea a riposo]],1)),0,1)</f>
        <v>0</v>
      </c>
      <c r="AX62" s="33" t="s">
        <v>4691</v>
      </c>
      <c r="AY62" s="46">
        <v>1</v>
      </c>
      <c r="AZ62" s="33" t="s">
        <v>4692</v>
      </c>
      <c r="BA62" s="17">
        <v>1</v>
      </c>
      <c r="BB62" s="7" t="s">
        <v>657</v>
      </c>
      <c r="BC62" s="17">
        <v>0</v>
      </c>
      <c r="BD62" s="33" t="s">
        <v>28</v>
      </c>
      <c r="BE62" s="17">
        <v>1</v>
      </c>
      <c r="BF62" s="33" t="s">
        <v>476</v>
      </c>
      <c r="BG62" s="17">
        <v>1</v>
      </c>
      <c r="BH62" s="33" t="s">
        <v>28</v>
      </c>
      <c r="BI62" s="18">
        <v>1</v>
      </c>
      <c r="BJ62" s="33">
        <v>13</v>
      </c>
      <c r="BK62" s="33" t="s">
        <v>4693</v>
      </c>
      <c r="BL62" s="47"/>
      <c r="BM62" s="47"/>
      <c r="BN62" s="47"/>
      <c r="BO62" s="47"/>
      <c r="BP62" s="47"/>
      <c r="BQ62" s="47">
        <v>1</v>
      </c>
      <c r="BR62" s="47"/>
      <c r="BS62" s="47">
        <v>1</v>
      </c>
      <c r="BT62" s="47"/>
      <c r="BU62" s="47"/>
      <c r="BV62" s="47"/>
      <c r="BW62" s="47"/>
      <c r="BX62" s="47"/>
      <c r="BY62" s="47"/>
      <c r="BZ62" s="47">
        <v>1</v>
      </c>
      <c r="CA62" s="47"/>
      <c r="CB62" s="47"/>
      <c r="CC62" s="47"/>
      <c r="CD62" s="47"/>
      <c r="CE62" s="47"/>
      <c r="CF62" s="47"/>
      <c r="CG62" s="33">
        <v>27</v>
      </c>
      <c r="CH62" s="33"/>
      <c r="CI62" s="33">
        <v>96</v>
      </c>
      <c r="CJ62" s="33">
        <v>52</v>
      </c>
      <c r="CK62" s="33" t="s">
        <v>4694</v>
      </c>
      <c r="CL62" s="33" t="s">
        <v>4695</v>
      </c>
      <c r="CM62" s="33" t="s">
        <v>4696</v>
      </c>
      <c r="CN62" s="17">
        <v>0</v>
      </c>
      <c r="CO62" s="17">
        <v>0</v>
      </c>
      <c r="CP62" s="17">
        <v>0</v>
      </c>
      <c r="CQ62" s="17">
        <v>0</v>
      </c>
      <c r="CR62" s="33" t="s">
        <v>4534</v>
      </c>
      <c r="CS62" s="33" t="s">
        <v>4697</v>
      </c>
      <c r="CT62" s="66">
        <v>0.78600000000000003</v>
      </c>
      <c r="CU62" s="33" t="s">
        <v>4698</v>
      </c>
      <c r="CV62" s="33"/>
      <c r="CW62" s="33"/>
      <c r="CX62" s="33" t="s">
        <v>4699</v>
      </c>
      <c r="CY62" s="17">
        <v>1</v>
      </c>
      <c r="CZ62" s="33" t="s">
        <v>4700</v>
      </c>
      <c r="DA62" s="34"/>
    </row>
    <row r="63" spans="1:105" ht="370.5">
      <c r="A63" s="9">
        <v>1036</v>
      </c>
      <c r="B63" s="10">
        <v>44733</v>
      </c>
      <c r="C63" s="11" t="s">
        <v>4701</v>
      </c>
      <c r="D63" s="10">
        <v>18104</v>
      </c>
      <c r="E63" s="52">
        <f ca="1">_xlfn.DAYS(NOW(),Tabella2[[#This Row],[Data Nascita]])/365.25</f>
        <v>76.027378507871319</v>
      </c>
      <c r="F63" s="11" t="s">
        <v>4702</v>
      </c>
      <c r="G63" s="11" t="s">
        <v>4703</v>
      </c>
      <c r="H63" s="11" t="s">
        <v>4555</v>
      </c>
      <c r="I63" s="11" t="s">
        <v>3948</v>
      </c>
      <c r="J63" s="11" t="s">
        <v>4704</v>
      </c>
      <c r="K63" s="11"/>
      <c r="L63" s="11"/>
      <c r="M63" s="11"/>
      <c r="N63" s="11"/>
      <c r="O63" s="17" t="s">
        <v>5412</v>
      </c>
      <c r="P63" s="17">
        <v>0</v>
      </c>
      <c r="Q63" s="11" t="s">
        <v>25</v>
      </c>
      <c r="R63" s="11" t="s">
        <v>4705</v>
      </c>
      <c r="S63" s="11" t="s">
        <v>4706</v>
      </c>
      <c r="T63" s="11" t="s">
        <v>4707</v>
      </c>
      <c r="U63" s="18">
        <f>IF(ISERROR(SEARCH("null",Tabella2[[#This Row],[Patologia respiratoria nota]],1)),0,1)</f>
        <v>0</v>
      </c>
      <c r="V63" s="17">
        <f>IF(ISERROR(SEARCH("MUTA",Tabella2[[#This Row],[Patologia respiratoria nota]],1)),0,1)</f>
        <v>0</v>
      </c>
      <c r="W63" s="18">
        <f>IF(ISERROR(SEARCH("OSAS",Tabella2[[#This Row],[Patologia respiratoria nota]],1)),0,1)</f>
        <v>1</v>
      </c>
      <c r="X63" s="17">
        <f>IF(ISERROR(SEARCH("BPCO",Tabella2[[#This Row],[Patologia respiratoria nota]],1)),0,1)</f>
        <v>0</v>
      </c>
      <c r="Y63" s="17">
        <f>IF(ISERROR(SEARCH("ASMA",Tabella2[[#This Row],[Patologia respiratoria nota]],1)),0,1)</f>
        <v>0</v>
      </c>
      <c r="Z63" s="17">
        <f>IF(ISERROR(SEARCH("ASMA, OSAS",Tabella2[[#This Row],[Patologia respiratoria nota]],1)),0,1)</f>
        <v>0</v>
      </c>
      <c r="AA63" s="17">
        <f>IF(ISERROR(SEARCH("BPCO, OSAS",Tabella2[[#This Row],[Patologia respiratoria nota]],1)),0,1)</f>
        <v>0</v>
      </c>
      <c r="AB63" s="17">
        <f>IF(ISERROR(SEARCH("ASMA, BPCO, OSAS",Tabella2[[#This Row],[Patologia respiratoria nota]],1)),0,1)</f>
        <v>0</v>
      </c>
      <c r="AC63" s="15" t="s">
        <v>657</v>
      </c>
      <c r="AD63" s="19">
        <f>IF(ISERROR(SEARCH("NDD",Tabella2[[#This Row],[Tosse]],1)),0,1)</f>
        <v>0</v>
      </c>
      <c r="AE63" s="19">
        <f>IF(ISERROR(SEARCH("NEGA",Tabella2[[#This Row],[Tosse]],1)),0,1)</f>
        <v>1</v>
      </c>
      <c r="AF63" s="19">
        <f>IF(ISERROR(SEARCH("OCCASIONALMENTE",Tabella2[[#This Row],[Tosse]],1)),0,1)</f>
        <v>0</v>
      </c>
      <c r="AG63" s="19">
        <f>IF(ISERROR(SEARCH("RARAMENTE",Tabella2[[#This Row],[Tosse]],1)),0,1)</f>
        <v>0</v>
      </c>
      <c r="AH63" s="19">
        <f>IF(ISERROR(SEARCH("SI",Tabella2[[#This Row],[Tosse]],1)),0,1)</f>
        <v>0</v>
      </c>
      <c r="AI63" s="11" t="s">
        <v>657</v>
      </c>
      <c r="AJ63" s="18">
        <f>IF(ISERROR(SEARCH("SI",Tabella2[[#This Row],[Espettorazione]],1)),0,1)</f>
        <v>0</v>
      </c>
      <c r="AK63" s="18">
        <f>IF(ISERROR(SEARCH("NEGA",Tabella2[[#This Row],[Espettorazione]],1)),0,1)</f>
        <v>1</v>
      </c>
      <c r="AL63" s="18">
        <f>IF(ISERROR(SEARCH("NDD",Tabella2[[#This Row],[Espettorazione]],1)),0,1)</f>
        <v>0</v>
      </c>
      <c r="AM63" s="11" t="s">
        <v>28</v>
      </c>
      <c r="AN63" s="17">
        <v>1</v>
      </c>
      <c r="AO63" s="11" t="s">
        <v>28</v>
      </c>
      <c r="AP63" s="17">
        <f>IF(ISERROR(SEARCH("NEGA",Tabella2[[#This Row],[Dispnea da sforzo]],1)),0,1)</f>
        <v>0</v>
      </c>
      <c r="AQ63" s="17">
        <f>IF(ISERROR(SEARCH("NEGA",Tabella2[[#This Row],[Dispnea da sforzo]],1)),1,0)</f>
        <v>1</v>
      </c>
      <c r="AR63" s="17">
        <f>IF(ISERROR(SEARCH("LIEVI",Tabella2[[#This Row],[Dispnea da sforzo]],1)),0,1)</f>
        <v>0</v>
      </c>
      <c r="AS63" s="17">
        <f>IF(ISERROR(SEARCH("MODERATI",Tabella2[[#This Row],[Dispnea da sforzo]],1)),0,1)</f>
        <v>0</v>
      </c>
      <c r="AT63" s="17">
        <f>IF(ISERROR(SEARCH("INTENSI",Tabella2[[#This Row],[Dispnea da sforzo]],1)),0,1)</f>
        <v>0</v>
      </c>
      <c r="AU63" s="11" t="s">
        <v>657</v>
      </c>
      <c r="AV63" s="18">
        <f>IF(ISERROR(SEARCH("NEGA",Tabella2[[#This Row],[Dispnea a riposo]],1)),0,1)</f>
        <v>1</v>
      </c>
      <c r="AW63" s="18">
        <f>IF(ISERROR(SEARCH("NDD",Tabella2[[#This Row],[Dispnea a riposo]],1)),0,1)</f>
        <v>0</v>
      </c>
      <c r="AX63" s="11" t="s">
        <v>657</v>
      </c>
      <c r="AY63" s="17">
        <v>0</v>
      </c>
      <c r="AZ63" s="11" t="s">
        <v>657</v>
      </c>
      <c r="BA63" s="18">
        <v>0</v>
      </c>
      <c r="BB63" s="7" t="s">
        <v>657</v>
      </c>
      <c r="BC63" s="17">
        <v>0</v>
      </c>
      <c r="BD63" s="11" t="s">
        <v>28</v>
      </c>
      <c r="BE63" s="17">
        <v>1</v>
      </c>
      <c r="BF63" s="11" t="s">
        <v>657</v>
      </c>
      <c r="BG63" s="17">
        <v>0</v>
      </c>
      <c r="BH63" s="11" t="s">
        <v>657</v>
      </c>
      <c r="BI63" s="17">
        <v>0</v>
      </c>
      <c r="BJ63" s="11">
        <v>15</v>
      </c>
      <c r="BK63" s="11" t="s">
        <v>7667</v>
      </c>
      <c r="BL63" s="18"/>
      <c r="BM63" s="18"/>
      <c r="BN63" s="18"/>
      <c r="BO63" s="18"/>
      <c r="BP63" s="18">
        <v>1</v>
      </c>
      <c r="BQ63" s="18">
        <v>1</v>
      </c>
      <c r="BR63" s="18"/>
      <c r="BS63" s="18"/>
      <c r="BT63" s="18"/>
      <c r="BU63" s="18"/>
      <c r="BV63" s="18"/>
      <c r="BW63" s="18"/>
      <c r="BX63" s="18"/>
      <c r="BY63" s="18"/>
      <c r="BZ63" s="18">
        <v>1</v>
      </c>
      <c r="CA63" s="18"/>
      <c r="CB63" s="18"/>
      <c r="CC63" s="18"/>
      <c r="CD63" s="18"/>
      <c r="CE63" s="18"/>
      <c r="CF63" s="18"/>
      <c r="CG63" s="11">
        <v>28</v>
      </c>
      <c r="CH63" s="11"/>
      <c r="CI63" s="11">
        <v>96</v>
      </c>
      <c r="CJ63" s="11">
        <v>63</v>
      </c>
      <c r="CK63" s="11"/>
      <c r="CL63" s="11"/>
      <c r="CM63" s="11" t="s">
        <v>3883</v>
      </c>
      <c r="CN63" s="17">
        <v>0</v>
      </c>
      <c r="CO63" s="17">
        <v>0</v>
      </c>
      <c r="CP63" s="17">
        <v>1</v>
      </c>
      <c r="CQ63" s="17">
        <v>0</v>
      </c>
      <c r="CR63" s="11" t="s">
        <v>4549</v>
      </c>
      <c r="CS63" s="11" t="s">
        <v>4708</v>
      </c>
      <c r="CT63" s="65">
        <v>0.435</v>
      </c>
      <c r="CU63" s="11" t="s">
        <v>4709</v>
      </c>
      <c r="CV63" s="11"/>
      <c r="CW63" s="11"/>
      <c r="CX63" s="11" t="s">
        <v>4710</v>
      </c>
      <c r="CY63" s="17">
        <v>1</v>
      </c>
      <c r="CZ63" s="11"/>
      <c r="DA63" s="12"/>
    </row>
    <row r="64" spans="1:105" customFormat="1" ht="71.25">
      <c r="A64" s="31">
        <v>1145</v>
      </c>
      <c r="B64" s="32">
        <v>44826</v>
      </c>
      <c r="C64" s="7" t="s">
        <v>4711</v>
      </c>
      <c r="D64" s="32">
        <v>22871</v>
      </c>
      <c r="E64" s="43">
        <f ca="1">_xlfn.DAYS(NOW(),Tabella2[[#This Row],[Data Nascita]])/365.25</f>
        <v>62.976043805612591</v>
      </c>
      <c r="F64" s="33" t="s">
        <v>4588</v>
      </c>
      <c r="G64" s="33" t="s">
        <v>4712</v>
      </c>
      <c r="H64" s="33" t="s">
        <v>1276</v>
      </c>
      <c r="I64" s="33" t="s">
        <v>4713</v>
      </c>
      <c r="J64" s="33" t="s">
        <v>4714</v>
      </c>
      <c r="K64" s="33"/>
      <c r="L64" s="33"/>
      <c r="M64" s="33"/>
      <c r="N64" s="33" t="s">
        <v>8</v>
      </c>
      <c r="O64" s="47">
        <v>0</v>
      </c>
      <c r="P64" s="47">
        <v>1</v>
      </c>
      <c r="Q64" s="33" t="s">
        <v>8</v>
      </c>
      <c r="R64" s="33" t="s">
        <v>8</v>
      </c>
      <c r="S64" s="33" t="s">
        <v>4715</v>
      </c>
      <c r="T64" s="33" t="s">
        <v>5443</v>
      </c>
      <c r="U64" s="47">
        <f>IF(ISERROR(SEARCH("null",Tabella2[[#This Row],[Patologia respiratoria nota]],1)),0,1)</f>
        <v>0</v>
      </c>
      <c r="V64" s="47">
        <f>IF(ISERROR(SEARCH("MUTA",Tabella2[[#This Row],[Patologia respiratoria nota]],1)),0,1)</f>
        <v>1</v>
      </c>
      <c r="W64" s="47">
        <f>IF(ISERROR(SEARCH("OSAS",Tabella2[[#This Row],[Patologia respiratoria nota]],1)),0,1)</f>
        <v>0</v>
      </c>
      <c r="X64" s="47">
        <f>IF(ISERROR(SEARCH("BPCO",Tabella2[[#This Row],[Patologia respiratoria nota]],1)),0,1)</f>
        <v>0</v>
      </c>
      <c r="Y64" s="47">
        <f>IF(ISERROR(SEARCH("ASMA",Tabella2[[#This Row],[Patologia respiratoria nota]],1)),0,1)</f>
        <v>0</v>
      </c>
      <c r="Z64" s="47">
        <f>IF(ISERROR(SEARCH("ASMA, OSAS",Tabella2[[#This Row],[Patologia respiratoria nota]],1)),0,1)</f>
        <v>0</v>
      </c>
      <c r="AA64" s="47">
        <f>IF(ISERROR(SEARCH("BPCO, OSAS",Tabella2[[#This Row],[Patologia respiratoria nota]],1)),0,1)</f>
        <v>0</v>
      </c>
      <c r="AB64" s="47">
        <f>IF(ISERROR(SEARCH("ASMA, BPCO, OSAS",Tabella2[[#This Row],[Patologia respiratoria nota]],1)),0,1)</f>
        <v>0</v>
      </c>
      <c r="AC64" s="33" t="s">
        <v>5466</v>
      </c>
      <c r="AD64" s="47">
        <f>IF(ISERROR(SEARCH("NDD",Tabella2[[#This Row],[Tosse]],1)),0,1)</f>
        <v>0</v>
      </c>
      <c r="AE64" s="47">
        <f>IF(ISERROR(SEARCH("NEGA",Tabella2[[#This Row],[Tosse]],1)),0,1)</f>
        <v>0</v>
      </c>
      <c r="AF64" s="47">
        <f>IF(ISERROR(SEARCH("OCCASIONALMENTE",Tabella2[[#This Row],[Tosse]],1)),0,1)</f>
        <v>1</v>
      </c>
      <c r="AG64" s="47">
        <f>IF(ISERROR(SEARCH("RARAMENTE",Tabella2[[#This Row],[Tosse]],1)),0,1)</f>
        <v>0</v>
      </c>
      <c r="AH64" s="17">
        <v>1</v>
      </c>
      <c r="AI64" s="33" t="s">
        <v>657</v>
      </c>
      <c r="AJ64" s="47">
        <f>IF(ISERROR(SEARCH("SI",Tabella2[[#This Row],[Espettorazione]],1)),0,1)</f>
        <v>0</v>
      </c>
      <c r="AK64" s="47">
        <f>IF(ISERROR(SEARCH("NEGA",Tabella2[[#This Row],[Espettorazione]],1)),0,1)</f>
        <v>1</v>
      </c>
      <c r="AL64" s="47">
        <f>IF(ISERROR(SEARCH("NDD",Tabella2[[#This Row],[Espettorazione]],1)),0,1)</f>
        <v>0</v>
      </c>
      <c r="AM64" s="33" t="s">
        <v>4716</v>
      </c>
      <c r="AN64" s="47">
        <v>1</v>
      </c>
      <c r="AO64" s="33" t="s">
        <v>5529</v>
      </c>
      <c r="AP64" s="47">
        <f>IF(ISERROR(SEARCH("NEGA",Tabella2[[#This Row],[Dispnea da sforzo]],1)),0,1)</f>
        <v>0</v>
      </c>
      <c r="AQ64" s="47">
        <f>IF(ISERROR(SEARCH("NEGA",Tabella2[[#This Row],[Dispnea da sforzo]],1)),1,0)</f>
        <v>1</v>
      </c>
      <c r="AR64" s="47">
        <f>IF(ISERROR(SEARCH("LIEVI",Tabella2[[#This Row],[Dispnea da sforzo]],1)),0,1)</f>
        <v>1</v>
      </c>
      <c r="AS64" s="47">
        <f>IF(ISERROR(SEARCH("MODERATI",Tabella2[[#This Row],[Dispnea da sforzo]],1)),0,1)</f>
        <v>0</v>
      </c>
      <c r="AT64" s="47">
        <f>IF(ISERROR(SEARCH("INTENSI",Tabella2[[#This Row],[Dispnea da sforzo]],1)),0,1)</f>
        <v>0</v>
      </c>
      <c r="AU64" s="33" t="s">
        <v>657</v>
      </c>
      <c r="AV64" s="47">
        <f>IF(ISERROR(SEARCH("NEGA",Tabella2[[#This Row],[Dispnea a riposo]],1)),0,1)</f>
        <v>1</v>
      </c>
      <c r="AW64" s="47">
        <f>IF(ISERROR(SEARCH("NDD",Tabella2[[#This Row],[Dispnea a riposo]],1)),0,1)</f>
        <v>0</v>
      </c>
      <c r="AX64" s="33" t="s">
        <v>4717</v>
      </c>
      <c r="AY64" s="46">
        <v>1</v>
      </c>
      <c r="AZ64" s="33" t="s">
        <v>28</v>
      </c>
      <c r="BA64" s="17">
        <v>1</v>
      </c>
      <c r="BB64" s="33" t="s">
        <v>28</v>
      </c>
      <c r="BC64" s="17">
        <v>1</v>
      </c>
      <c r="BD64" s="33" t="s">
        <v>28</v>
      </c>
      <c r="BE64" s="17">
        <v>1</v>
      </c>
      <c r="BF64" s="33" t="s">
        <v>657</v>
      </c>
      <c r="BG64" s="17">
        <v>0</v>
      </c>
      <c r="BH64" s="33" t="s">
        <v>28</v>
      </c>
      <c r="BI64" s="18">
        <v>1</v>
      </c>
      <c r="BJ64" s="33">
        <v>13</v>
      </c>
      <c r="BK64" s="37" t="s">
        <v>7663</v>
      </c>
      <c r="BL64" s="47"/>
      <c r="BM64" s="47"/>
      <c r="BN64" s="47"/>
      <c r="BO64" s="47"/>
      <c r="BP64" s="47"/>
      <c r="BQ64" s="47">
        <v>1</v>
      </c>
      <c r="BR64" s="47"/>
      <c r="BS64" s="47"/>
      <c r="BT64" s="47"/>
      <c r="BU64" s="47"/>
      <c r="BV64" s="47">
        <v>1</v>
      </c>
      <c r="BW64" s="47"/>
      <c r="BX64" s="47">
        <v>1</v>
      </c>
      <c r="BY64" s="47"/>
      <c r="BZ64" s="47"/>
      <c r="CA64" s="47"/>
      <c r="CB64" s="47"/>
      <c r="CC64" s="47"/>
      <c r="CD64" s="47"/>
      <c r="CE64" s="47"/>
      <c r="CF64" s="47"/>
      <c r="CG64" s="33">
        <v>30</v>
      </c>
      <c r="CH64" s="33"/>
      <c r="CI64" s="33"/>
      <c r="CJ64" s="33"/>
      <c r="CK64" s="33" t="s">
        <v>4718</v>
      </c>
      <c r="CL64" s="33"/>
      <c r="CM64" s="33" t="s">
        <v>5477</v>
      </c>
      <c r="CN64" s="47">
        <v>1</v>
      </c>
      <c r="CO64" s="17">
        <v>0</v>
      </c>
      <c r="CP64" s="17">
        <v>0</v>
      </c>
      <c r="CQ64" s="17">
        <v>0</v>
      </c>
      <c r="CR64" s="33"/>
      <c r="CS64" s="33" t="s">
        <v>5477</v>
      </c>
      <c r="CT64" s="66"/>
      <c r="CU64" s="33"/>
      <c r="CV64" s="33"/>
      <c r="CW64" s="33"/>
      <c r="CX64" s="7" t="s">
        <v>5477</v>
      </c>
      <c r="CY64" s="17">
        <v>0</v>
      </c>
      <c r="CZ64" s="33"/>
      <c r="DA64" s="34" t="s">
        <v>4719</v>
      </c>
    </row>
    <row r="65" spans="1:105" ht="42.75">
      <c r="A65" s="9">
        <v>1157</v>
      </c>
      <c r="B65" s="10">
        <v>44832</v>
      </c>
      <c r="C65" s="11" t="s">
        <v>4720</v>
      </c>
      <c r="D65" s="10">
        <v>22395</v>
      </c>
      <c r="E65" s="52">
        <f ca="1">_xlfn.DAYS(NOW(),Tabella2[[#This Row],[Data Nascita]])/365.25</f>
        <v>64.279260780287473</v>
      </c>
      <c r="F65" s="11" t="s">
        <v>4721</v>
      </c>
      <c r="G65" s="11" t="s">
        <v>4722</v>
      </c>
      <c r="H65" s="11" t="s">
        <v>1276</v>
      </c>
      <c r="I65" s="11" t="s">
        <v>3948</v>
      </c>
      <c r="J65" s="11" t="s">
        <v>4723</v>
      </c>
      <c r="K65" s="11"/>
      <c r="L65" s="11"/>
      <c r="M65" s="11"/>
      <c r="N65" s="11"/>
      <c r="O65" s="17" t="s">
        <v>5412</v>
      </c>
      <c r="P65" s="17">
        <v>0</v>
      </c>
      <c r="Q65" s="11" t="s">
        <v>8</v>
      </c>
      <c r="R65" s="11" t="s">
        <v>8</v>
      </c>
      <c r="S65" s="11" t="s">
        <v>4724</v>
      </c>
      <c r="T65" s="11" t="s">
        <v>4725</v>
      </c>
      <c r="U65" s="18">
        <f>IF(ISERROR(SEARCH("null",Tabella2[[#This Row],[Patologia respiratoria nota]],1)),0,1)</f>
        <v>0</v>
      </c>
      <c r="V65" s="17">
        <f>IF(ISERROR(SEARCH("MUTA",Tabella2[[#This Row],[Patologia respiratoria nota]],1)),0,1)</f>
        <v>0</v>
      </c>
      <c r="W65" s="18">
        <f>IF(ISERROR(SEARCH("OSAS",Tabella2[[#This Row],[Patologia respiratoria nota]],1)),0,1)</f>
        <v>0</v>
      </c>
      <c r="X65" s="17">
        <f>IF(ISERROR(SEARCH("BPCO",Tabella2[[#This Row],[Patologia respiratoria nota]],1)),0,1)</f>
        <v>0</v>
      </c>
      <c r="Y65" s="17">
        <f>IF(ISERROR(SEARCH("ASMA",Tabella2[[#This Row],[Patologia respiratoria nota]],1)),0,1)</f>
        <v>0</v>
      </c>
      <c r="Z65" s="17">
        <f>IF(ISERROR(SEARCH("ASMA, OSAS",Tabella2[[#This Row],[Patologia respiratoria nota]],1)),0,1)</f>
        <v>0</v>
      </c>
      <c r="AA65" s="17">
        <f>IF(ISERROR(SEARCH("BPCO, OSAS",Tabella2[[#This Row],[Patologia respiratoria nota]],1)),0,1)</f>
        <v>0</v>
      </c>
      <c r="AB65" s="17">
        <f>IF(ISERROR(SEARCH("ASMA, BPCO, OSAS",Tabella2[[#This Row],[Patologia respiratoria nota]],1)),0,1)</f>
        <v>0</v>
      </c>
      <c r="AC65" s="7" t="s">
        <v>5466</v>
      </c>
      <c r="AD65" s="17">
        <f>IF(ISERROR(SEARCH("NDD",Tabella2[[#This Row],[Tosse]],1)),0,1)</f>
        <v>0</v>
      </c>
      <c r="AE65" s="17">
        <f>IF(ISERROR(SEARCH("NEGA",Tabella2[[#This Row],[Tosse]],1)),0,1)</f>
        <v>0</v>
      </c>
      <c r="AF65" s="17">
        <f>IF(ISERROR(SEARCH("OCCASIONALMENTE",Tabella2[[#This Row],[Tosse]],1)),0,1)</f>
        <v>1</v>
      </c>
      <c r="AG65" s="17">
        <f>IF(ISERROR(SEARCH("RARAMENTE",Tabella2[[#This Row],[Tosse]],1)),0,1)</f>
        <v>0</v>
      </c>
      <c r="AH65" s="17">
        <v>1</v>
      </c>
      <c r="AI65" s="11" t="s">
        <v>657</v>
      </c>
      <c r="AJ65" s="18">
        <f>IF(ISERROR(SEARCH("SI",Tabella2[[#This Row],[Espettorazione]],1)),0,1)</f>
        <v>0</v>
      </c>
      <c r="AK65" s="18">
        <f>IF(ISERROR(SEARCH("NEGA",Tabella2[[#This Row],[Espettorazione]],1)),0,1)</f>
        <v>1</v>
      </c>
      <c r="AL65" s="18">
        <f>IF(ISERROR(SEARCH("NDD",Tabella2[[#This Row],[Espettorazione]],1)),0,1)</f>
        <v>0</v>
      </c>
      <c r="AM65" s="11" t="s">
        <v>657</v>
      </c>
      <c r="AN65" s="17">
        <v>0</v>
      </c>
      <c r="AO65" s="11" t="s">
        <v>28</v>
      </c>
      <c r="AP65" s="17">
        <f>IF(ISERROR(SEARCH("NEGA",Tabella2[[#This Row],[Dispnea da sforzo]],1)),0,1)</f>
        <v>0</v>
      </c>
      <c r="AQ65" s="17">
        <f>IF(ISERROR(SEARCH("NEGA",Tabella2[[#This Row],[Dispnea da sforzo]],1)),1,0)</f>
        <v>1</v>
      </c>
      <c r="AR65" s="17">
        <f>IF(ISERROR(SEARCH("LIEVI",Tabella2[[#This Row],[Dispnea da sforzo]],1)),0,1)</f>
        <v>0</v>
      </c>
      <c r="AS65" s="17">
        <f>IF(ISERROR(SEARCH("MODERATI",Tabella2[[#This Row],[Dispnea da sforzo]],1)),0,1)</f>
        <v>0</v>
      </c>
      <c r="AT65" s="17">
        <f>IF(ISERROR(SEARCH("INTENSI",Tabella2[[#This Row],[Dispnea da sforzo]],1)),0,1)</f>
        <v>0</v>
      </c>
      <c r="AU65" s="11" t="s">
        <v>657</v>
      </c>
      <c r="AV65" s="18">
        <f>IF(ISERROR(SEARCH("NEGA",Tabella2[[#This Row],[Dispnea a riposo]],1)),0,1)</f>
        <v>1</v>
      </c>
      <c r="AW65" s="18">
        <f>IF(ISERROR(SEARCH("NDD",Tabella2[[#This Row],[Dispnea a riposo]],1)),0,1)</f>
        <v>0</v>
      </c>
      <c r="AX65" s="11" t="s">
        <v>657</v>
      </c>
      <c r="AY65" s="17">
        <v>0</v>
      </c>
      <c r="AZ65" s="11" t="s">
        <v>657</v>
      </c>
      <c r="BA65" s="18">
        <v>0</v>
      </c>
      <c r="BB65" s="11" t="s">
        <v>28</v>
      </c>
      <c r="BC65" s="17">
        <v>1</v>
      </c>
      <c r="BD65" s="11" t="s">
        <v>28</v>
      </c>
      <c r="BE65" s="17">
        <v>1</v>
      </c>
      <c r="BF65" s="11" t="s">
        <v>657</v>
      </c>
      <c r="BG65" s="17">
        <v>0</v>
      </c>
      <c r="BH65" s="11" t="s">
        <v>1036</v>
      </c>
      <c r="BI65" s="18">
        <v>1</v>
      </c>
      <c r="BJ65" s="11">
        <v>12</v>
      </c>
      <c r="BK65" s="11" t="s">
        <v>4244</v>
      </c>
      <c r="BL65" s="18"/>
      <c r="BM65" s="18"/>
      <c r="BN65" s="18"/>
      <c r="BO65" s="18"/>
      <c r="BP65" s="18"/>
      <c r="BQ65" s="18"/>
      <c r="BR65" s="18"/>
      <c r="BS65" s="18"/>
      <c r="BT65" s="18"/>
      <c r="BU65" s="18">
        <v>1</v>
      </c>
      <c r="BV65" s="18"/>
      <c r="BW65" s="18"/>
      <c r="BX65" s="18"/>
      <c r="BY65" s="18"/>
      <c r="BZ65" s="18"/>
      <c r="CA65" s="18"/>
      <c r="CB65" s="18"/>
      <c r="CC65" s="18"/>
      <c r="CD65" s="18"/>
      <c r="CE65" s="18"/>
      <c r="CF65" s="18"/>
      <c r="CG65" s="11">
        <v>24</v>
      </c>
      <c r="CH65" s="11"/>
      <c r="CI65" s="11">
        <v>96</v>
      </c>
      <c r="CJ65" s="11">
        <v>76</v>
      </c>
      <c r="CK65" s="11" t="s">
        <v>4726</v>
      </c>
      <c r="CL65" s="11" t="s">
        <v>4727</v>
      </c>
      <c r="CM65" s="11" t="s">
        <v>4728</v>
      </c>
      <c r="CN65" s="17">
        <v>0</v>
      </c>
      <c r="CO65" s="17">
        <v>0</v>
      </c>
      <c r="CP65" s="17">
        <v>1</v>
      </c>
      <c r="CQ65" s="17">
        <v>0</v>
      </c>
      <c r="CR65" s="11" t="s">
        <v>4549</v>
      </c>
      <c r="CS65" s="11" t="s">
        <v>4729</v>
      </c>
      <c r="CT65" s="65">
        <v>0.45</v>
      </c>
      <c r="CU65" s="11" t="s">
        <v>4730</v>
      </c>
      <c r="CV65" s="11"/>
      <c r="CW65" s="11"/>
      <c r="CX65" s="11" t="s">
        <v>4731</v>
      </c>
      <c r="CY65" s="17">
        <v>1</v>
      </c>
      <c r="CZ65" s="11" t="s">
        <v>4677</v>
      </c>
      <c r="DA65" s="12" t="s">
        <v>4732</v>
      </c>
    </row>
    <row r="66" spans="1:105" ht="42.75">
      <c r="A66" s="5">
        <v>1158</v>
      </c>
      <c r="B66" s="6">
        <v>44833</v>
      </c>
      <c r="C66" s="7" t="s">
        <v>4733</v>
      </c>
      <c r="D66" s="6">
        <v>15364</v>
      </c>
      <c r="E66" s="51">
        <f ca="1">_xlfn.DAYS(NOW(),Tabella2[[#This Row],[Data Nascita]])/365.25</f>
        <v>83.529089664613281</v>
      </c>
      <c r="F66" s="7" t="s">
        <v>4734</v>
      </c>
      <c r="G66" s="7" t="s">
        <v>4735</v>
      </c>
      <c r="H66" s="7" t="s">
        <v>1276</v>
      </c>
      <c r="I66" s="7" t="s">
        <v>4736</v>
      </c>
      <c r="J66" s="7" t="s">
        <v>4737</v>
      </c>
      <c r="K66" s="7"/>
      <c r="L66" s="7"/>
      <c r="M66" s="7"/>
      <c r="N66" s="7" t="s">
        <v>8</v>
      </c>
      <c r="O66" s="17">
        <v>0</v>
      </c>
      <c r="P66" s="17">
        <v>1</v>
      </c>
      <c r="Q66" s="7" t="s">
        <v>8</v>
      </c>
      <c r="R66" s="7" t="s">
        <v>8</v>
      </c>
      <c r="S66" s="7"/>
      <c r="T66" s="7" t="s">
        <v>5443</v>
      </c>
      <c r="U66" s="17">
        <f>IF(ISERROR(SEARCH("null",Tabella2[[#This Row],[Patologia respiratoria nota]],1)),0,1)</f>
        <v>0</v>
      </c>
      <c r="V66" s="17">
        <f>IF(ISERROR(SEARCH("MUTA",Tabella2[[#This Row],[Patologia respiratoria nota]],1)),0,1)</f>
        <v>1</v>
      </c>
      <c r="W66" s="17">
        <f>IF(ISERROR(SEARCH("OSAS",Tabella2[[#This Row],[Patologia respiratoria nota]],1)),0,1)</f>
        <v>0</v>
      </c>
      <c r="X66" s="17">
        <f>IF(ISERROR(SEARCH("BPCO",Tabella2[[#This Row],[Patologia respiratoria nota]],1)),0,1)</f>
        <v>0</v>
      </c>
      <c r="Y66" s="17">
        <f>IF(ISERROR(SEARCH("ASMA",Tabella2[[#This Row],[Patologia respiratoria nota]],1)),0,1)</f>
        <v>0</v>
      </c>
      <c r="Z66" s="17">
        <f>IF(ISERROR(SEARCH("ASMA, OSAS",Tabella2[[#This Row],[Patologia respiratoria nota]],1)),0,1)</f>
        <v>0</v>
      </c>
      <c r="AA66" s="17">
        <f>IF(ISERROR(SEARCH("BPCO, OSAS",Tabella2[[#This Row],[Patologia respiratoria nota]],1)),0,1)</f>
        <v>0</v>
      </c>
      <c r="AB66" s="17">
        <f>IF(ISERROR(SEARCH("ASMA, BPCO, OSAS",Tabella2[[#This Row],[Patologia respiratoria nota]],1)),0,1)</f>
        <v>0</v>
      </c>
      <c r="AC66" s="7" t="s">
        <v>5466</v>
      </c>
      <c r="AD66" s="17">
        <f>IF(ISERROR(SEARCH("NDD",Tabella2[[#This Row],[Tosse]],1)),0,1)</f>
        <v>0</v>
      </c>
      <c r="AE66" s="17">
        <f>IF(ISERROR(SEARCH("NEGA",Tabella2[[#This Row],[Tosse]],1)),0,1)</f>
        <v>0</v>
      </c>
      <c r="AF66" s="17">
        <f>IF(ISERROR(SEARCH("OCCASIONALMENTE",Tabella2[[#This Row],[Tosse]],1)),0,1)</f>
        <v>1</v>
      </c>
      <c r="AG66" s="17">
        <f>IF(ISERROR(SEARCH("RARAMENTE",Tabella2[[#This Row],[Tosse]],1)),0,1)</f>
        <v>0</v>
      </c>
      <c r="AH66" s="17">
        <v>1</v>
      </c>
      <c r="AI66" s="7" t="s">
        <v>5501</v>
      </c>
      <c r="AJ66" s="17">
        <f>IF(ISERROR(SEARCH("SI",Tabella2[[#This Row],[Espettorazione]],1)),0,1)</f>
        <v>1</v>
      </c>
      <c r="AK66" s="17">
        <v>0</v>
      </c>
      <c r="AL66" s="17">
        <f>IF(ISERROR(SEARCH("NDD",Tabella2[[#This Row],[Espettorazione]],1)),0,1)</f>
        <v>0</v>
      </c>
      <c r="AM66" s="7" t="s">
        <v>4738</v>
      </c>
      <c r="AN66" s="17">
        <v>1</v>
      </c>
      <c r="AO66" s="7" t="s">
        <v>5555</v>
      </c>
      <c r="AP66" s="17">
        <f>IF(ISERROR(SEARCH("NEGA",Tabella2[[#This Row],[Dispnea da sforzo]],1)),0,1)</f>
        <v>0</v>
      </c>
      <c r="AQ66" s="17">
        <f>IF(ISERROR(SEARCH("NEGA",Tabella2[[#This Row],[Dispnea da sforzo]],1)),1,0)</f>
        <v>1</v>
      </c>
      <c r="AR66" s="17">
        <f>IF(ISERROR(SEARCH("LIEVI",Tabella2[[#This Row],[Dispnea da sforzo]],1)),0,1)</f>
        <v>0</v>
      </c>
      <c r="AS66" s="17">
        <f>IF(ISERROR(SEARCH("MODERATI",Tabella2[[#This Row],[Dispnea da sforzo]],1)),0,1)</f>
        <v>1</v>
      </c>
      <c r="AT66" s="17">
        <f>IF(ISERROR(SEARCH("INTENSI",Tabella2[[#This Row],[Dispnea da sforzo]],1)),0,1)</f>
        <v>0</v>
      </c>
      <c r="AU66" s="7" t="s">
        <v>657</v>
      </c>
      <c r="AV66" s="17">
        <f>IF(ISERROR(SEARCH("NEGA",Tabella2[[#This Row],[Dispnea a riposo]],1)),0,1)</f>
        <v>1</v>
      </c>
      <c r="AW66" s="17">
        <f>IF(ISERROR(SEARCH("NDD",Tabella2[[#This Row],[Dispnea a riposo]],1)),0,1)</f>
        <v>0</v>
      </c>
      <c r="AX66" s="7" t="s">
        <v>657</v>
      </c>
      <c r="AY66" s="17">
        <v>0</v>
      </c>
      <c r="AZ66" s="7" t="s">
        <v>657</v>
      </c>
      <c r="BA66" s="18">
        <v>0</v>
      </c>
      <c r="BB66" s="7" t="s">
        <v>657</v>
      </c>
      <c r="BC66" s="17">
        <v>0</v>
      </c>
      <c r="BD66" s="33" t="s">
        <v>657</v>
      </c>
      <c r="BE66" s="18">
        <v>0</v>
      </c>
      <c r="BF66" s="7" t="s">
        <v>28</v>
      </c>
      <c r="BG66" s="17">
        <v>1</v>
      </c>
      <c r="BH66" s="7" t="s">
        <v>657</v>
      </c>
      <c r="BI66" s="17">
        <v>0</v>
      </c>
      <c r="BJ66" s="7">
        <v>16</v>
      </c>
      <c r="BK66" s="7" t="s">
        <v>7668</v>
      </c>
      <c r="BL66" s="17"/>
      <c r="BM66" s="17"/>
      <c r="BN66" s="17"/>
      <c r="BO66" s="17"/>
      <c r="BP66" s="17">
        <v>1</v>
      </c>
      <c r="BQ66" s="17"/>
      <c r="BR66" s="17"/>
      <c r="BS66" s="17"/>
      <c r="BT66" s="17"/>
      <c r="BU66" s="17"/>
      <c r="BV66" s="17"/>
      <c r="BW66" s="17"/>
      <c r="BX66" s="17"/>
      <c r="BY66" s="17"/>
      <c r="BZ66" s="17"/>
      <c r="CA66" s="17"/>
      <c r="CB66" s="17"/>
      <c r="CC66" s="17"/>
      <c r="CD66" s="17"/>
      <c r="CE66" s="17"/>
      <c r="CF66" s="17"/>
      <c r="CG66" s="7">
        <v>34</v>
      </c>
      <c r="CH66" s="7"/>
      <c r="CI66" s="7">
        <v>98</v>
      </c>
      <c r="CJ66" s="7">
        <v>70</v>
      </c>
      <c r="CK66" s="7" t="s">
        <v>4739</v>
      </c>
      <c r="CL66" s="7" t="s">
        <v>4740</v>
      </c>
      <c r="CM66" s="7" t="s">
        <v>3997</v>
      </c>
      <c r="CN66" s="17">
        <v>0</v>
      </c>
      <c r="CO66" s="17">
        <v>1</v>
      </c>
      <c r="CP66" s="17">
        <v>0</v>
      </c>
      <c r="CQ66" s="17">
        <v>0</v>
      </c>
      <c r="CR66" s="7" t="s">
        <v>4549</v>
      </c>
      <c r="CS66" s="7" t="s">
        <v>4298</v>
      </c>
      <c r="CT66" s="64">
        <v>1</v>
      </c>
      <c r="CU66" s="7" t="s">
        <v>4741</v>
      </c>
      <c r="CV66" s="7"/>
      <c r="CW66" s="7"/>
      <c r="CX66" s="7" t="s">
        <v>4676</v>
      </c>
      <c r="CY66" s="17">
        <v>1</v>
      </c>
      <c r="CZ66" s="7" t="s">
        <v>4677</v>
      </c>
      <c r="DA66" s="8"/>
    </row>
    <row r="67" spans="1:105" s="54" customFormat="1" ht="57">
      <c r="A67" s="9">
        <v>1177</v>
      </c>
      <c r="B67" s="10">
        <v>44844</v>
      </c>
      <c r="C67" s="11" t="s">
        <v>4742</v>
      </c>
      <c r="D67" s="11"/>
      <c r="E67" s="52">
        <f ca="1">_xlfn.DAYS(NOW(),Tabella2[[#This Row],[Data Nascita]])/365.25</f>
        <v>125.59342915811088</v>
      </c>
      <c r="F67" s="11" t="s">
        <v>4743</v>
      </c>
      <c r="G67" s="11" t="s">
        <v>4744</v>
      </c>
      <c r="H67" s="11" t="s">
        <v>4745</v>
      </c>
      <c r="I67" s="11" t="s">
        <v>1346</v>
      </c>
      <c r="J67" s="11" t="s">
        <v>4746</v>
      </c>
      <c r="K67" s="11"/>
      <c r="L67" s="11"/>
      <c r="M67" s="11"/>
      <c r="N67" s="11"/>
      <c r="O67" s="17" t="s">
        <v>5412</v>
      </c>
      <c r="P67" s="17">
        <v>0</v>
      </c>
      <c r="Q67" s="11" t="s">
        <v>382</v>
      </c>
      <c r="R67" s="11" t="s">
        <v>382</v>
      </c>
      <c r="S67" s="11" t="s">
        <v>4747</v>
      </c>
      <c r="T67" s="11" t="s">
        <v>439</v>
      </c>
      <c r="U67" s="18">
        <f>IF(ISERROR(SEARCH("null",Tabella2[[#This Row],[Patologia respiratoria nota]],1)),0,1)</f>
        <v>0</v>
      </c>
      <c r="V67" s="17">
        <f>IF(ISERROR(SEARCH("MUTA",Tabella2[[#This Row],[Patologia respiratoria nota]],1)),0,1)</f>
        <v>0</v>
      </c>
      <c r="W67" s="18">
        <f>IF(ISERROR(SEARCH("OSAS",Tabella2[[#This Row],[Patologia respiratoria nota]],1)),0,1)</f>
        <v>1</v>
      </c>
      <c r="X67" s="17">
        <f>IF(ISERROR(SEARCH("BPCO",Tabella2[[#This Row],[Patologia respiratoria nota]],1)),0,1)</f>
        <v>0</v>
      </c>
      <c r="Y67" s="17">
        <f>IF(ISERROR(SEARCH("ASMA",Tabella2[[#This Row],[Patologia respiratoria nota]],1)),0,1)</f>
        <v>0</v>
      </c>
      <c r="Z67" s="17">
        <f>IF(ISERROR(SEARCH("ASMA, OSAS",Tabella2[[#This Row],[Patologia respiratoria nota]],1)),0,1)</f>
        <v>0</v>
      </c>
      <c r="AA67" s="17">
        <f>IF(ISERROR(SEARCH("BPCO, OSAS",Tabella2[[#This Row],[Patologia respiratoria nota]],1)),0,1)</f>
        <v>0</v>
      </c>
      <c r="AB67" s="17">
        <f>IF(ISERROR(SEARCH("ASMA, BPCO, OSAS",Tabella2[[#This Row],[Patologia respiratoria nota]],1)),0,1)</f>
        <v>0</v>
      </c>
      <c r="AC67" s="7" t="s">
        <v>5466</v>
      </c>
      <c r="AD67" s="17">
        <f>IF(ISERROR(SEARCH("NDD",Tabella2[[#This Row],[Tosse]],1)),0,1)</f>
        <v>0</v>
      </c>
      <c r="AE67" s="17">
        <f>IF(ISERROR(SEARCH("NEGA",Tabella2[[#This Row],[Tosse]],1)),0,1)</f>
        <v>0</v>
      </c>
      <c r="AF67" s="17">
        <f>IF(ISERROR(SEARCH("OCCASIONALMENTE",Tabella2[[#This Row],[Tosse]],1)),0,1)</f>
        <v>1</v>
      </c>
      <c r="AG67" s="17">
        <f>IF(ISERROR(SEARCH("RARAMENTE",Tabella2[[#This Row],[Tosse]],1)),0,1)</f>
        <v>0</v>
      </c>
      <c r="AH67" s="17">
        <v>1</v>
      </c>
      <c r="AI67" s="11" t="s">
        <v>657</v>
      </c>
      <c r="AJ67" s="18">
        <f>IF(ISERROR(SEARCH("SI",Tabella2[[#This Row],[Espettorazione]],1)),0,1)</f>
        <v>0</v>
      </c>
      <c r="AK67" s="18">
        <f>IF(ISERROR(SEARCH("NEGA",Tabella2[[#This Row],[Espettorazione]],1)),0,1)</f>
        <v>1</v>
      </c>
      <c r="AL67" s="18">
        <f>IF(ISERROR(SEARCH("NDD",Tabella2[[#This Row],[Espettorazione]],1)),0,1)</f>
        <v>0</v>
      </c>
      <c r="AM67" s="11" t="s">
        <v>28</v>
      </c>
      <c r="AN67" s="17">
        <v>1</v>
      </c>
      <c r="AO67" s="11" t="s">
        <v>5572</v>
      </c>
      <c r="AP67" s="17">
        <f>IF(ISERROR(SEARCH("NEGA",Tabella2[[#This Row],[Dispnea da sforzo]],1)),0,1)</f>
        <v>0</v>
      </c>
      <c r="AQ67" s="17">
        <f>IF(ISERROR(SEARCH("NEGA",Tabella2[[#This Row],[Dispnea da sforzo]],1)),1,0)</f>
        <v>1</v>
      </c>
      <c r="AR67" s="17">
        <f>IF(ISERROR(SEARCH("LIEVI",Tabella2[[#This Row],[Dispnea da sforzo]],1)),0,1)</f>
        <v>0</v>
      </c>
      <c r="AS67" s="17">
        <f>IF(ISERROR(SEARCH("MODERATI",Tabella2[[#This Row],[Dispnea da sforzo]],1)),0,1)</f>
        <v>1</v>
      </c>
      <c r="AT67" s="17">
        <f>IF(ISERROR(SEARCH("INTENSI",Tabella2[[#This Row],[Dispnea da sforzo]],1)),0,1)</f>
        <v>1</v>
      </c>
      <c r="AU67" s="11" t="s">
        <v>657</v>
      </c>
      <c r="AV67" s="18">
        <f>IF(ISERROR(SEARCH("NEGA",Tabella2[[#This Row],[Dispnea a riposo]],1)),0,1)</f>
        <v>1</v>
      </c>
      <c r="AW67" s="18">
        <f>IF(ISERROR(SEARCH("NDD",Tabella2[[#This Row],[Dispnea a riposo]],1)),0,1)</f>
        <v>0</v>
      </c>
      <c r="AX67" s="11" t="s">
        <v>1307</v>
      </c>
      <c r="AY67" s="18">
        <v>1</v>
      </c>
      <c r="AZ67" s="11" t="s">
        <v>657</v>
      </c>
      <c r="BA67" s="18">
        <v>0</v>
      </c>
      <c r="BB67" s="11" t="s">
        <v>4748</v>
      </c>
      <c r="BC67" s="17">
        <v>1</v>
      </c>
      <c r="BD67" s="11" t="s">
        <v>28</v>
      </c>
      <c r="BE67" s="17">
        <v>1</v>
      </c>
      <c r="BF67" s="11" t="s">
        <v>28</v>
      </c>
      <c r="BG67" s="17">
        <v>1</v>
      </c>
      <c r="BH67" s="11" t="s">
        <v>657</v>
      </c>
      <c r="BI67" s="17">
        <v>0</v>
      </c>
      <c r="BJ67" s="11">
        <v>19</v>
      </c>
      <c r="BK67" s="11" t="s">
        <v>7669</v>
      </c>
      <c r="BL67" s="18"/>
      <c r="BM67" s="18">
        <v>1</v>
      </c>
      <c r="BN67" s="18"/>
      <c r="BO67" s="18"/>
      <c r="BP67" s="18">
        <v>1</v>
      </c>
      <c r="BQ67" s="18">
        <v>1</v>
      </c>
      <c r="BR67" s="18"/>
      <c r="BS67" s="18"/>
      <c r="BT67" s="18"/>
      <c r="BU67" s="18"/>
      <c r="BV67" s="18"/>
      <c r="BW67" s="18"/>
      <c r="BX67" s="18"/>
      <c r="BY67" s="18">
        <v>1</v>
      </c>
      <c r="BZ67" s="18"/>
      <c r="CA67" s="18"/>
      <c r="CB67" s="18">
        <v>1</v>
      </c>
      <c r="CC67" s="18"/>
      <c r="CD67" s="18"/>
      <c r="CE67" s="18"/>
      <c r="CF67" s="18"/>
      <c r="CG67" s="11">
        <v>29</v>
      </c>
      <c r="CH67" s="11"/>
      <c r="CI67" s="11">
        <v>99</v>
      </c>
      <c r="CJ67" s="11">
        <v>60</v>
      </c>
      <c r="CK67" s="11" t="s">
        <v>4749</v>
      </c>
      <c r="CL67" s="11" t="s">
        <v>4749</v>
      </c>
      <c r="CM67" s="11" t="s">
        <v>4179</v>
      </c>
      <c r="CN67" s="17">
        <v>0</v>
      </c>
      <c r="CO67" s="17">
        <v>0</v>
      </c>
      <c r="CP67" s="17">
        <v>1</v>
      </c>
      <c r="CQ67" s="17">
        <v>0</v>
      </c>
      <c r="CR67" s="11" t="s">
        <v>4549</v>
      </c>
      <c r="CS67" s="11" t="s">
        <v>4750</v>
      </c>
      <c r="CT67" s="65">
        <v>0</v>
      </c>
      <c r="CU67" s="11" t="s">
        <v>4751</v>
      </c>
      <c r="CV67" s="11"/>
      <c r="CW67" s="11"/>
      <c r="CX67" s="11" t="s">
        <v>28</v>
      </c>
      <c r="CY67" s="17">
        <v>1</v>
      </c>
      <c r="CZ67" s="11" t="s">
        <v>4752</v>
      </c>
      <c r="DA67" s="12" t="s">
        <v>4753</v>
      </c>
    </row>
    <row r="68" spans="1:105" customFormat="1" ht="71.25">
      <c r="A68" s="31">
        <v>1210</v>
      </c>
      <c r="B68" s="32">
        <v>44858</v>
      </c>
      <c r="C68" s="7" t="s">
        <v>4754</v>
      </c>
      <c r="D68" s="32">
        <v>21664</v>
      </c>
      <c r="E68" s="43">
        <f ca="1">_xlfn.DAYS(NOW(),Tabella2[[#This Row],[Data Nascita]])/365.25</f>
        <v>66.280629705681037</v>
      </c>
      <c r="F68" s="33" t="s">
        <v>4755</v>
      </c>
      <c r="G68" s="33" t="s">
        <v>4756</v>
      </c>
      <c r="H68" s="33" t="s">
        <v>1276</v>
      </c>
      <c r="I68" s="33" t="s">
        <v>3948</v>
      </c>
      <c r="J68" s="33" t="s">
        <v>4757</v>
      </c>
      <c r="K68" s="33"/>
      <c r="L68" s="33"/>
      <c r="M68" s="33"/>
      <c r="N68" s="33" t="s">
        <v>8</v>
      </c>
      <c r="O68" s="47">
        <v>0</v>
      </c>
      <c r="P68" s="47">
        <v>1</v>
      </c>
      <c r="Q68" s="33" t="s">
        <v>8</v>
      </c>
      <c r="R68" s="33" t="s">
        <v>8</v>
      </c>
      <c r="S68" s="33" t="s">
        <v>4758</v>
      </c>
      <c r="T68" s="33" t="s">
        <v>5421</v>
      </c>
      <c r="U68" s="47">
        <f>IF(ISERROR(SEARCH("null",Tabella2[[#This Row],[Patologia respiratoria nota]],1)),0,1)</f>
        <v>0</v>
      </c>
      <c r="V68" s="47">
        <f>IF(ISERROR(SEARCH("MUTA",Tabella2[[#This Row],[Patologia respiratoria nota]],1)),0,1)</f>
        <v>0</v>
      </c>
      <c r="W68" s="47">
        <f>IF(ISERROR(SEARCH("OSAS",Tabella2[[#This Row],[Patologia respiratoria nota]],1)),0,1)</f>
        <v>1</v>
      </c>
      <c r="X68" s="47">
        <f>IF(ISERROR(SEARCH("BPCO",Tabella2[[#This Row],[Patologia respiratoria nota]],1)),0,1)</f>
        <v>0</v>
      </c>
      <c r="Y68" s="47">
        <f>IF(ISERROR(SEARCH("ASMA",Tabella2[[#This Row],[Patologia respiratoria nota]],1)),0,1)</f>
        <v>1</v>
      </c>
      <c r="Z68" s="47">
        <f>IF(ISERROR(SEARCH("ASMA, OSAS",Tabella2[[#This Row],[Patologia respiratoria nota]],1)),0,1)</f>
        <v>0</v>
      </c>
      <c r="AA68" s="47">
        <f>IF(ISERROR(SEARCH("BPCO, OSAS",Tabella2[[#This Row],[Patologia respiratoria nota]],1)),0,1)</f>
        <v>0</v>
      </c>
      <c r="AB68" s="47">
        <f>IF(ISERROR(SEARCH("ASMA, BPCO, OSAS",Tabella2[[#This Row],[Patologia respiratoria nota]],1)),0,1)</f>
        <v>0</v>
      </c>
      <c r="AC68" s="33" t="s">
        <v>5469</v>
      </c>
      <c r="AD68" s="47">
        <f>IF(ISERROR(SEARCH("NDD",Tabella2[[#This Row],[Tosse]],1)),0,1)</f>
        <v>0</v>
      </c>
      <c r="AE68" s="47">
        <f>IF(ISERROR(SEARCH("NEGA",Tabella2[[#This Row],[Tosse]],1)),0,1)</f>
        <v>0</v>
      </c>
      <c r="AF68" s="47">
        <f>IF(ISERROR(SEARCH("OCCASIONALMENTE",Tabella2[[#This Row],[Tosse]],1)),0,1)</f>
        <v>0</v>
      </c>
      <c r="AG68" s="47">
        <f>IF(ISERROR(SEARCH("RARAMENTE",Tabella2[[#This Row],[Tosse]],1)),0,1)</f>
        <v>0</v>
      </c>
      <c r="AH68" s="17">
        <v>1</v>
      </c>
      <c r="AI68" s="33" t="s">
        <v>657</v>
      </c>
      <c r="AJ68" s="47">
        <f>IF(ISERROR(SEARCH("SI",Tabella2[[#This Row],[Espettorazione]],1)),0,1)</f>
        <v>0</v>
      </c>
      <c r="AK68" s="47">
        <f>IF(ISERROR(SEARCH("NEGA",Tabella2[[#This Row],[Espettorazione]],1)),0,1)</f>
        <v>1</v>
      </c>
      <c r="AL68" s="47">
        <f>IF(ISERROR(SEARCH("NDD",Tabella2[[#This Row],[Espettorazione]],1)),0,1)</f>
        <v>0</v>
      </c>
      <c r="AM68" s="33" t="s">
        <v>657</v>
      </c>
      <c r="AN68" s="47">
        <v>0</v>
      </c>
      <c r="AO68" s="33" t="s">
        <v>5529</v>
      </c>
      <c r="AP68" s="47">
        <f>IF(ISERROR(SEARCH("NEGA",Tabella2[[#This Row],[Dispnea da sforzo]],1)),0,1)</f>
        <v>0</v>
      </c>
      <c r="AQ68" s="47">
        <f>IF(ISERROR(SEARCH("NEGA",Tabella2[[#This Row],[Dispnea da sforzo]],1)),1,0)</f>
        <v>1</v>
      </c>
      <c r="AR68" s="47">
        <f>IF(ISERROR(SEARCH("LIEVI",Tabella2[[#This Row],[Dispnea da sforzo]],1)),0,1)</f>
        <v>1</v>
      </c>
      <c r="AS68" s="47">
        <f>IF(ISERROR(SEARCH("MODERATI",Tabella2[[#This Row],[Dispnea da sforzo]],1)),0,1)</f>
        <v>0</v>
      </c>
      <c r="AT68" s="47">
        <f>IF(ISERROR(SEARCH("INTENSI",Tabella2[[#This Row],[Dispnea da sforzo]],1)),0,1)</f>
        <v>0</v>
      </c>
      <c r="AU68" s="33" t="s">
        <v>657</v>
      </c>
      <c r="AV68" s="47">
        <f>IF(ISERROR(SEARCH("NEGA",Tabella2[[#This Row],[Dispnea a riposo]],1)),0,1)</f>
        <v>1</v>
      </c>
      <c r="AW68" s="47">
        <f>IF(ISERROR(SEARCH("NDD",Tabella2[[#This Row],[Dispnea a riposo]],1)),0,1)</f>
        <v>0</v>
      </c>
      <c r="AX68" s="33" t="s">
        <v>4759</v>
      </c>
      <c r="AY68" s="46">
        <v>1</v>
      </c>
      <c r="AZ68" s="33" t="s">
        <v>28</v>
      </c>
      <c r="BA68" s="17">
        <v>1</v>
      </c>
      <c r="BB68" s="33" t="s">
        <v>28</v>
      </c>
      <c r="BC68" s="17">
        <v>1</v>
      </c>
      <c r="BD68" s="33" t="s">
        <v>28</v>
      </c>
      <c r="BE68" s="17">
        <v>1</v>
      </c>
      <c r="BF68" s="33" t="s">
        <v>28</v>
      </c>
      <c r="BG68" s="17">
        <v>1</v>
      </c>
      <c r="BH68" s="33" t="s">
        <v>657</v>
      </c>
      <c r="BI68" s="17">
        <v>0</v>
      </c>
      <c r="BJ68" s="33">
        <v>12</v>
      </c>
      <c r="BK68" s="33" t="s">
        <v>7670</v>
      </c>
      <c r="BL68" s="47"/>
      <c r="BM68" s="47"/>
      <c r="BN68" s="47"/>
      <c r="BO68" s="47"/>
      <c r="BP68" s="47"/>
      <c r="BQ68" s="47"/>
      <c r="BR68" s="47"/>
      <c r="BS68" s="47">
        <v>1</v>
      </c>
      <c r="BT68" s="47">
        <v>1</v>
      </c>
      <c r="BU68" s="47"/>
      <c r="BV68" s="47"/>
      <c r="BW68" s="47"/>
      <c r="BX68" s="47">
        <v>1</v>
      </c>
      <c r="BY68" s="47"/>
      <c r="BZ68" s="47"/>
      <c r="CA68" s="47"/>
      <c r="CB68" s="47">
        <v>1</v>
      </c>
      <c r="CC68" s="47"/>
      <c r="CD68" s="47"/>
      <c r="CE68" s="47"/>
      <c r="CF68" s="47"/>
      <c r="CG68" s="33">
        <v>23</v>
      </c>
      <c r="CH68" s="33"/>
      <c r="CI68" s="33">
        <v>99</v>
      </c>
      <c r="CJ68" s="33">
        <v>60</v>
      </c>
      <c r="CK68" s="33" t="s">
        <v>4760</v>
      </c>
      <c r="CL68" s="33" t="s">
        <v>4761</v>
      </c>
      <c r="CM68" s="33" t="s">
        <v>4762</v>
      </c>
      <c r="CN68" s="17">
        <v>0</v>
      </c>
      <c r="CO68" s="17">
        <v>0</v>
      </c>
      <c r="CP68" s="17">
        <v>1</v>
      </c>
      <c r="CQ68" s="17">
        <v>0</v>
      </c>
      <c r="CR68" s="33" t="s">
        <v>4549</v>
      </c>
      <c r="CS68" s="33" t="s">
        <v>4763</v>
      </c>
      <c r="CT68" s="66">
        <v>0.57999999999999996</v>
      </c>
      <c r="CU68" s="33" t="s">
        <v>4764</v>
      </c>
      <c r="CV68" s="33"/>
      <c r="CW68" s="33"/>
      <c r="CX68" s="33" t="s">
        <v>4660</v>
      </c>
      <c r="CY68" s="17">
        <v>1</v>
      </c>
      <c r="CZ68" s="33" t="s">
        <v>4765</v>
      </c>
      <c r="DA68" s="34" t="s">
        <v>4766</v>
      </c>
    </row>
    <row r="69" spans="1:105" customFormat="1" ht="71.25">
      <c r="A69" s="35">
        <v>1234</v>
      </c>
      <c r="B69" s="36">
        <v>44867</v>
      </c>
      <c r="C69" s="11" t="s">
        <v>4767</v>
      </c>
      <c r="D69" s="36">
        <v>20881</v>
      </c>
      <c r="E69" s="44">
        <f ca="1">_xlfn.DAYS(NOW(),Tabella2[[#This Row],[Data Nascita]])/365.25</f>
        <v>68.424366872005479</v>
      </c>
      <c r="F69" s="37" t="s">
        <v>4768</v>
      </c>
      <c r="G69" s="37" t="s">
        <v>4769</v>
      </c>
      <c r="H69" s="37" t="s">
        <v>1276</v>
      </c>
      <c r="I69" s="37" t="s">
        <v>4770</v>
      </c>
      <c r="J69" s="37" t="s">
        <v>4771</v>
      </c>
      <c r="K69" s="37"/>
      <c r="L69" s="37"/>
      <c r="M69" s="37"/>
      <c r="N69" s="37"/>
      <c r="O69" s="47" t="s">
        <v>5412</v>
      </c>
      <c r="P69" s="47">
        <v>0</v>
      </c>
      <c r="Q69" s="37" t="s">
        <v>8</v>
      </c>
      <c r="R69" s="37" t="s">
        <v>4772</v>
      </c>
      <c r="S69" s="37" t="s">
        <v>4773</v>
      </c>
      <c r="T69" s="37" t="s">
        <v>5422</v>
      </c>
      <c r="U69" s="46">
        <f>IF(ISERROR(SEARCH("null",Tabella2[[#This Row],[Patologia respiratoria nota]],1)),0,1)</f>
        <v>0</v>
      </c>
      <c r="V69" s="47">
        <f>IF(ISERROR(SEARCH("MUTA",Tabella2[[#This Row],[Patologia respiratoria nota]],1)),0,1)</f>
        <v>0</v>
      </c>
      <c r="W69" s="46">
        <f>IF(ISERROR(SEARCH("OSAS",Tabella2[[#This Row],[Patologia respiratoria nota]],1)),0,1)</f>
        <v>1</v>
      </c>
      <c r="X69" s="47">
        <f>IF(ISERROR(SEARCH("BPCO",Tabella2[[#This Row],[Patologia respiratoria nota]],1)),0,1)</f>
        <v>0</v>
      </c>
      <c r="Y69" s="47">
        <f>IF(ISERROR(SEARCH("ASMA",Tabella2[[#This Row],[Patologia respiratoria nota]],1)),0,1)</f>
        <v>1</v>
      </c>
      <c r="Z69" s="47">
        <f>IF(ISERROR(SEARCH("ASMA, OSAS",Tabella2[[#This Row],[Patologia respiratoria nota]],1)),0,1)</f>
        <v>0</v>
      </c>
      <c r="AA69" s="47">
        <f>IF(ISERROR(SEARCH("BPCO, OSAS",Tabella2[[#This Row],[Patologia respiratoria nota]],1)),0,1)</f>
        <v>0</v>
      </c>
      <c r="AB69" s="47">
        <f>IF(ISERROR(SEARCH("ASMA, BPCO, OSAS",Tabella2[[#This Row],[Patologia respiratoria nota]],1)),0,1)</f>
        <v>0</v>
      </c>
      <c r="AC69" s="37" t="s">
        <v>381</v>
      </c>
      <c r="AD69" s="46">
        <f>IF(ISERROR(SEARCH("NDD",Tabella2[[#This Row],[Tosse]],1)),0,1)</f>
        <v>0</v>
      </c>
      <c r="AE69" s="46">
        <f>IF(ISERROR(SEARCH("NEGA",Tabella2[[#This Row],[Tosse]],1)),0,1)</f>
        <v>0</v>
      </c>
      <c r="AF69" s="46">
        <f>IF(ISERROR(SEARCH("OCCASIONALMENTE",Tabella2[[#This Row],[Tosse]],1)),0,1)</f>
        <v>0</v>
      </c>
      <c r="AG69" s="46">
        <f>IF(ISERROR(SEARCH("RARAMENTE",Tabella2[[#This Row],[Tosse]],1)),0,1)</f>
        <v>0</v>
      </c>
      <c r="AH69" s="17">
        <v>1</v>
      </c>
      <c r="AI69" s="37" t="s">
        <v>5506</v>
      </c>
      <c r="AJ69" s="46">
        <f>IF(ISERROR(SEARCH("SI",Tabella2[[#This Row],[Espettorazione]],1)),0,1)</f>
        <v>1</v>
      </c>
      <c r="AK69" s="17">
        <v>0</v>
      </c>
      <c r="AL69" s="46">
        <f>IF(ISERROR(SEARCH("NDD",Tabella2[[#This Row],[Espettorazione]],1)),0,1)</f>
        <v>0</v>
      </c>
      <c r="AM69" s="37" t="s">
        <v>657</v>
      </c>
      <c r="AN69" s="47">
        <v>0</v>
      </c>
      <c r="AO69" s="37" t="s">
        <v>5528</v>
      </c>
      <c r="AP69" s="47">
        <f>IF(ISERROR(SEARCH("NEGA",Tabella2[[#This Row],[Dispnea da sforzo]],1)),0,1)</f>
        <v>0</v>
      </c>
      <c r="AQ69" s="47">
        <f>IF(ISERROR(SEARCH("NEGA",Tabella2[[#This Row],[Dispnea da sforzo]],1)),1,0)</f>
        <v>1</v>
      </c>
      <c r="AR69" s="47">
        <f>IF(ISERROR(SEARCH("LIEVI",Tabella2[[#This Row],[Dispnea da sforzo]],1)),0,1)</f>
        <v>1</v>
      </c>
      <c r="AS69" s="47">
        <f>IF(ISERROR(SEARCH("MODERATI",Tabella2[[#This Row],[Dispnea da sforzo]],1)),0,1)</f>
        <v>0</v>
      </c>
      <c r="AT69" s="47">
        <f>IF(ISERROR(SEARCH("INTENSI",Tabella2[[#This Row],[Dispnea da sforzo]],1)),0,1)</f>
        <v>0</v>
      </c>
      <c r="AU69" s="37" t="s">
        <v>657</v>
      </c>
      <c r="AV69" s="46">
        <f>IF(ISERROR(SEARCH("NEGA",Tabella2[[#This Row],[Dispnea a riposo]],1)),0,1)</f>
        <v>1</v>
      </c>
      <c r="AW69" s="46">
        <f>IF(ISERROR(SEARCH("NDD",Tabella2[[#This Row],[Dispnea a riposo]],1)),0,1)</f>
        <v>0</v>
      </c>
      <c r="AX69" s="37" t="s">
        <v>28</v>
      </c>
      <c r="AY69" s="46">
        <v>1</v>
      </c>
      <c r="AZ69" s="37" t="s">
        <v>28</v>
      </c>
      <c r="BA69" s="17">
        <v>1</v>
      </c>
      <c r="BB69" s="37" t="s">
        <v>4774</v>
      </c>
      <c r="BC69" s="17">
        <v>1</v>
      </c>
      <c r="BD69" s="37" t="s">
        <v>28</v>
      </c>
      <c r="BE69" s="17">
        <v>1</v>
      </c>
      <c r="BF69" s="37" t="s">
        <v>28</v>
      </c>
      <c r="BG69" s="17">
        <v>1</v>
      </c>
      <c r="BH69" s="37" t="s">
        <v>28</v>
      </c>
      <c r="BI69" s="18">
        <v>1</v>
      </c>
      <c r="BJ69" s="37">
        <v>15</v>
      </c>
      <c r="BK69" s="37" t="s">
        <v>4775</v>
      </c>
      <c r="BL69" s="46"/>
      <c r="BM69" s="46"/>
      <c r="BN69" s="46"/>
      <c r="BO69" s="46">
        <v>1</v>
      </c>
      <c r="BP69" s="46">
        <v>1</v>
      </c>
      <c r="BQ69" s="46">
        <v>1</v>
      </c>
      <c r="BR69" s="46"/>
      <c r="BS69" s="46">
        <v>1</v>
      </c>
      <c r="BT69" s="46"/>
      <c r="BU69" s="46"/>
      <c r="BV69" s="46">
        <v>1</v>
      </c>
      <c r="BW69" s="46"/>
      <c r="BX69" s="46">
        <v>1</v>
      </c>
      <c r="BY69" s="46"/>
      <c r="BZ69" s="46"/>
      <c r="CA69" s="46"/>
      <c r="CB69" s="46"/>
      <c r="CC69" s="46"/>
      <c r="CD69" s="46"/>
      <c r="CE69" s="46"/>
      <c r="CF69" s="46"/>
      <c r="CG69" s="37">
        <v>33</v>
      </c>
      <c r="CH69" s="37"/>
      <c r="CI69" s="37">
        <v>97</v>
      </c>
      <c r="CJ69" s="37">
        <v>70</v>
      </c>
      <c r="CK69" s="37" t="s">
        <v>4776</v>
      </c>
      <c r="CL69" s="37" t="s">
        <v>4777</v>
      </c>
      <c r="CM69" s="37" t="s">
        <v>3997</v>
      </c>
      <c r="CN69" s="17">
        <v>0</v>
      </c>
      <c r="CO69" s="17">
        <v>1</v>
      </c>
      <c r="CP69" s="17">
        <v>0</v>
      </c>
      <c r="CQ69" s="17">
        <v>0</v>
      </c>
      <c r="CR69" s="37" t="s">
        <v>4549</v>
      </c>
      <c r="CS69" s="37" t="s">
        <v>355</v>
      </c>
      <c r="CT69" s="63">
        <v>0.99</v>
      </c>
      <c r="CU69" s="37" t="s">
        <v>4778</v>
      </c>
      <c r="CV69" s="37"/>
      <c r="CW69" s="37"/>
      <c r="CX69" s="37" t="s">
        <v>28</v>
      </c>
      <c r="CY69" s="17">
        <v>1</v>
      </c>
      <c r="CZ69" s="37" t="s">
        <v>4779</v>
      </c>
      <c r="DA69" s="38"/>
    </row>
    <row r="70" spans="1:105" ht="85.5">
      <c r="A70" s="5">
        <v>1262</v>
      </c>
      <c r="B70" s="6">
        <v>44883</v>
      </c>
      <c r="C70" s="7" t="s">
        <v>4364</v>
      </c>
      <c r="D70" s="6">
        <v>17088</v>
      </c>
      <c r="E70" s="51">
        <f ca="1">_xlfn.DAYS(NOW(),Tabella2[[#This Row],[Data Nascita]])/365.25</f>
        <v>78.809034907597535</v>
      </c>
      <c r="F70" s="7" t="s">
        <v>4365</v>
      </c>
      <c r="G70" s="7" t="s">
        <v>4366</v>
      </c>
      <c r="H70" s="7" t="s">
        <v>4555</v>
      </c>
      <c r="I70" s="7" t="s">
        <v>4780</v>
      </c>
      <c r="J70" s="7" t="s">
        <v>4781</v>
      </c>
      <c r="K70" s="7"/>
      <c r="L70" s="7"/>
      <c r="M70" s="7"/>
      <c r="N70" s="7" t="s">
        <v>28</v>
      </c>
      <c r="O70" s="17">
        <v>1</v>
      </c>
      <c r="P70" s="17">
        <v>1</v>
      </c>
      <c r="Q70" s="7" t="s">
        <v>8</v>
      </c>
      <c r="R70" s="7" t="s">
        <v>8</v>
      </c>
      <c r="S70" s="7" t="s">
        <v>4782</v>
      </c>
      <c r="T70" s="7" t="s">
        <v>5432</v>
      </c>
      <c r="U70" s="17">
        <f>IF(ISERROR(SEARCH("null",Tabella2[[#This Row],[Patologia respiratoria nota]],1)),0,1)</f>
        <v>0</v>
      </c>
      <c r="V70" s="17">
        <f>IF(ISERROR(SEARCH("MUTA",Tabella2[[#This Row],[Patologia respiratoria nota]],1)),0,1)</f>
        <v>0</v>
      </c>
      <c r="W70" s="17">
        <f>IF(ISERROR(SEARCH("OSAS",Tabella2[[#This Row],[Patologia respiratoria nota]],1)),0,1)</f>
        <v>1</v>
      </c>
      <c r="X70" s="17">
        <f>IF(ISERROR(SEARCH("BPCO",Tabella2[[#This Row],[Patologia respiratoria nota]],1)),0,1)</f>
        <v>1</v>
      </c>
      <c r="Y70" s="17">
        <f>IF(ISERROR(SEARCH("ASMA",Tabella2[[#This Row],[Patologia respiratoria nota]],1)),0,1)</f>
        <v>0</v>
      </c>
      <c r="Z70" s="17">
        <f>IF(ISERROR(SEARCH("ASMA, OSAS",Tabella2[[#This Row],[Patologia respiratoria nota]],1)),0,1)</f>
        <v>0</v>
      </c>
      <c r="AA70" s="17">
        <f>IF(ISERROR(SEARCH("BPCO, OSAS",Tabella2[[#This Row],[Patologia respiratoria nota]],1)),0,1)</f>
        <v>1</v>
      </c>
      <c r="AB70" s="17">
        <f>IF(ISERROR(SEARCH("ASMA, BPCO, OSAS",Tabella2[[#This Row],[Patologia respiratoria nota]],1)),0,1)</f>
        <v>0</v>
      </c>
      <c r="AC70" s="7" t="s">
        <v>5466</v>
      </c>
      <c r="AD70" s="17">
        <f>IF(ISERROR(SEARCH("NDD",Tabella2[[#This Row],[Tosse]],1)),0,1)</f>
        <v>0</v>
      </c>
      <c r="AE70" s="17">
        <f>IF(ISERROR(SEARCH("NEGA",Tabella2[[#This Row],[Tosse]],1)),0,1)</f>
        <v>0</v>
      </c>
      <c r="AF70" s="17">
        <f>IF(ISERROR(SEARCH("OCCASIONALMENTE",Tabella2[[#This Row],[Tosse]],1)),0,1)</f>
        <v>1</v>
      </c>
      <c r="AG70" s="17">
        <f>IF(ISERROR(SEARCH("RARAMENTE",Tabella2[[#This Row],[Tosse]],1)),0,1)</f>
        <v>0</v>
      </c>
      <c r="AH70" s="17">
        <v>1</v>
      </c>
      <c r="AI70" s="7" t="s">
        <v>5489</v>
      </c>
      <c r="AJ70" s="17">
        <f>IF(ISERROR(SEARCH("SI",Tabella2[[#This Row],[Espettorazione]],1)),0,1)</f>
        <v>1</v>
      </c>
      <c r="AK70" s="17">
        <v>0</v>
      </c>
      <c r="AL70" s="17">
        <f>IF(ISERROR(SEARCH("NDD",Tabella2[[#This Row],[Espettorazione]],1)),0,1)</f>
        <v>0</v>
      </c>
      <c r="AM70" s="7" t="s">
        <v>657</v>
      </c>
      <c r="AN70" s="17">
        <v>0</v>
      </c>
      <c r="AO70" s="7" t="s">
        <v>5571</v>
      </c>
      <c r="AP70" s="17">
        <f>IF(ISERROR(SEARCH("NEGA",Tabella2[[#This Row],[Dispnea da sforzo]],1)),0,1)</f>
        <v>0</v>
      </c>
      <c r="AQ70" s="17">
        <f>IF(ISERROR(SEARCH("NEGA",Tabella2[[#This Row],[Dispnea da sforzo]],1)),1,0)</f>
        <v>1</v>
      </c>
      <c r="AR70" s="17">
        <f>IF(ISERROR(SEARCH("LIEVI",Tabella2[[#This Row],[Dispnea da sforzo]],1)),0,1)</f>
        <v>1</v>
      </c>
      <c r="AS70" s="17">
        <f>IF(ISERROR(SEARCH("MODERATI",Tabella2[[#This Row],[Dispnea da sforzo]],1)),0,1)</f>
        <v>0</v>
      </c>
      <c r="AT70" s="17">
        <f>IF(ISERROR(SEARCH("INTENSI",Tabella2[[#This Row],[Dispnea da sforzo]],1)),0,1)</f>
        <v>1</v>
      </c>
      <c r="AU70" s="7" t="s">
        <v>657</v>
      </c>
      <c r="AV70" s="17">
        <f>IF(ISERROR(SEARCH("NEGA",Tabella2[[#This Row],[Dispnea a riposo]],1)),0,1)</f>
        <v>1</v>
      </c>
      <c r="AW70" s="17">
        <f>IF(ISERROR(SEARCH("NDD",Tabella2[[#This Row],[Dispnea a riposo]],1)),0,1)</f>
        <v>0</v>
      </c>
      <c r="AX70" s="7" t="s">
        <v>657</v>
      </c>
      <c r="AY70" s="17">
        <v>0</v>
      </c>
      <c r="AZ70" s="7" t="s">
        <v>47</v>
      </c>
      <c r="BA70" s="17">
        <v>1</v>
      </c>
      <c r="BB70" s="7" t="s">
        <v>1141</v>
      </c>
      <c r="BC70" s="17">
        <v>1</v>
      </c>
      <c r="BD70" s="7" t="s">
        <v>4783</v>
      </c>
      <c r="BE70" s="17">
        <v>1</v>
      </c>
      <c r="BF70" s="7" t="s">
        <v>898</v>
      </c>
      <c r="BG70" s="17">
        <v>1</v>
      </c>
      <c r="BH70" s="7" t="s">
        <v>2009</v>
      </c>
      <c r="BI70" s="18">
        <v>1</v>
      </c>
      <c r="BJ70" s="7">
        <v>12</v>
      </c>
      <c r="BK70" s="7" t="s">
        <v>4784</v>
      </c>
      <c r="BL70" s="17"/>
      <c r="BM70" s="17"/>
      <c r="BN70" s="17"/>
      <c r="BO70" s="17"/>
      <c r="BP70" s="17"/>
      <c r="BQ70" s="17"/>
      <c r="BR70" s="17"/>
      <c r="BS70" s="17"/>
      <c r="BT70" s="17"/>
      <c r="BU70" s="17"/>
      <c r="BV70" s="17"/>
      <c r="BW70" s="17"/>
      <c r="BX70" s="17"/>
      <c r="BY70" s="17"/>
      <c r="BZ70" s="17"/>
      <c r="CA70" s="17"/>
      <c r="CB70" s="17"/>
      <c r="CC70" s="17"/>
      <c r="CD70" s="17"/>
      <c r="CE70" s="17"/>
      <c r="CF70" s="17"/>
      <c r="CG70" s="7">
        <v>30</v>
      </c>
      <c r="CH70" s="7"/>
      <c r="CI70" s="7">
        <v>97</v>
      </c>
      <c r="CJ70" s="7">
        <v>81</v>
      </c>
      <c r="CK70" s="7" t="s">
        <v>4785</v>
      </c>
      <c r="CL70" s="7" t="s">
        <v>4786</v>
      </c>
      <c r="CM70" s="7" t="s">
        <v>3997</v>
      </c>
      <c r="CN70" s="17">
        <v>0</v>
      </c>
      <c r="CO70" s="17">
        <v>1</v>
      </c>
      <c r="CP70" s="17">
        <v>0</v>
      </c>
      <c r="CQ70" s="17">
        <v>0</v>
      </c>
      <c r="CR70" s="7" t="s">
        <v>4549</v>
      </c>
      <c r="CS70" s="7" t="s">
        <v>4787</v>
      </c>
      <c r="CT70" s="64">
        <v>0.97399999999999998</v>
      </c>
      <c r="CU70" s="7" t="s">
        <v>4788</v>
      </c>
      <c r="CV70" s="7"/>
      <c r="CW70" s="7"/>
      <c r="CX70" s="7" t="s">
        <v>4660</v>
      </c>
      <c r="CY70" s="17">
        <v>1</v>
      </c>
      <c r="CZ70" s="7" t="s">
        <v>4789</v>
      </c>
      <c r="DA70" s="8"/>
    </row>
    <row r="71" spans="1:105" ht="57">
      <c r="A71" s="9">
        <v>1264</v>
      </c>
      <c r="B71" s="10">
        <v>44886</v>
      </c>
      <c r="C71" s="11" t="s">
        <v>4790</v>
      </c>
      <c r="D71" s="10">
        <v>21049</v>
      </c>
      <c r="E71" s="52">
        <f ca="1">_xlfn.DAYS(NOW(),Tabella2[[#This Row],[Data Nascita]])/365.25</f>
        <v>67.964407939767284</v>
      </c>
      <c r="F71" s="11" t="s">
        <v>4791</v>
      </c>
      <c r="G71" s="11" t="s">
        <v>4792</v>
      </c>
      <c r="H71" s="11" t="s">
        <v>4793</v>
      </c>
      <c r="I71" s="11" t="s">
        <v>3948</v>
      </c>
      <c r="J71" s="11" t="s">
        <v>4794</v>
      </c>
      <c r="K71" s="11"/>
      <c r="L71" s="11"/>
      <c r="M71" s="11"/>
      <c r="N71" s="11" t="s">
        <v>8</v>
      </c>
      <c r="O71" s="17">
        <v>0</v>
      </c>
      <c r="P71" s="17">
        <v>1</v>
      </c>
      <c r="Q71" s="11" t="s">
        <v>8</v>
      </c>
      <c r="R71" s="11" t="s">
        <v>8</v>
      </c>
      <c r="S71" s="11" t="s">
        <v>8</v>
      </c>
      <c r="T71" s="7" t="s">
        <v>5443</v>
      </c>
      <c r="U71" s="18">
        <f>IF(ISERROR(SEARCH("null",Tabella2[[#This Row],[Patologia respiratoria nota]],1)),0,1)</f>
        <v>0</v>
      </c>
      <c r="V71" s="17">
        <f>IF(ISERROR(SEARCH("MUTA",Tabella2[[#This Row],[Patologia respiratoria nota]],1)),0,1)</f>
        <v>1</v>
      </c>
      <c r="W71" s="18">
        <f>IF(ISERROR(SEARCH("OSAS",Tabella2[[#This Row],[Patologia respiratoria nota]],1)),0,1)</f>
        <v>0</v>
      </c>
      <c r="X71" s="17">
        <f>IF(ISERROR(SEARCH("BPCO",Tabella2[[#This Row],[Patologia respiratoria nota]],1)),0,1)</f>
        <v>0</v>
      </c>
      <c r="Y71" s="17">
        <f>IF(ISERROR(SEARCH("ASMA",Tabella2[[#This Row],[Patologia respiratoria nota]],1)),0,1)</f>
        <v>0</v>
      </c>
      <c r="Z71" s="17">
        <f>IF(ISERROR(SEARCH("ASMA, OSAS",Tabella2[[#This Row],[Patologia respiratoria nota]],1)),0,1)</f>
        <v>0</v>
      </c>
      <c r="AA71" s="17">
        <f>IF(ISERROR(SEARCH("BPCO, OSAS",Tabella2[[#This Row],[Patologia respiratoria nota]],1)),0,1)</f>
        <v>0</v>
      </c>
      <c r="AB71" s="17">
        <f>IF(ISERROR(SEARCH("ASMA, BPCO, OSAS",Tabella2[[#This Row],[Patologia respiratoria nota]],1)),0,1)</f>
        <v>0</v>
      </c>
      <c r="AC71" s="15" t="s">
        <v>657</v>
      </c>
      <c r="AD71" s="19">
        <f>IF(ISERROR(SEARCH("NDD",Tabella2[[#This Row],[Tosse]],1)),0,1)</f>
        <v>0</v>
      </c>
      <c r="AE71" s="19">
        <f>IF(ISERROR(SEARCH("NEGA",Tabella2[[#This Row],[Tosse]],1)),0,1)</f>
        <v>1</v>
      </c>
      <c r="AF71" s="19">
        <f>IF(ISERROR(SEARCH("OCCASIONALMENTE",Tabella2[[#This Row],[Tosse]],1)),0,1)</f>
        <v>0</v>
      </c>
      <c r="AG71" s="19">
        <f>IF(ISERROR(SEARCH("RARAMENTE",Tabella2[[#This Row],[Tosse]],1)),0,1)</f>
        <v>0</v>
      </c>
      <c r="AH71" s="19">
        <f>IF(ISERROR(SEARCH("SI",Tabella2[[#This Row],[Tosse]],1)),0,1)</f>
        <v>0</v>
      </c>
      <c r="AI71" s="11" t="s">
        <v>657</v>
      </c>
      <c r="AJ71" s="18">
        <f>IF(ISERROR(SEARCH("SI",Tabella2[[#This Row],[Espettorazione]],1)),0,1)</f>
        <v>0</v>
      </c>
      <c r="AK71" s="18">
        <f>IF(ISERROR(SEARCH("NEGA",Tabella2[[#This Row],[Espettorazione]],1)),0,1)</f>
        <v>1</v>
      </c>
      <c r="AL71" s="18">
        <f>IF(ISERROR(SEARCH("NDD",Tabella2[[#This Row],[Espettorazione]],1)),0,1)</f>
        <v>0</v>
      </c>
      <c r="AM71" s="11" t="s">
        <v>5518</v>
      </c>
      <c r="AN71" s="17">
        <v>0</v>
      </c>
      <c r="AO71" s="11" t="s">
        <v>5536</v>
      </c>
      <c r="AP71" s="17">
        <f>IF(ISERROR(SEARCH("NEGA",Tabella2[[#This Row],[Dispnea da sforzo]],1)),0,1)</f>
        <v>0</v>
      </c>
      <c r="AQ71" s="17">
        <f>IF(ISERROR(SEARCH("NEGA",Tabella2[[#This Row],[Dispnea da sforzo]],1)),1,0)</f>
        <v>1</v>
      </c>
      <c r="AR71" s="17">
        <f>IF(ISERROR(SEARCH("LIEVI",Tabella2[[#This Row],[Dispnea da sforzo]],1)),0,1)</f>
        <v>0</v>
      </c>
      <c r="AS71" s="17">
        <f>IF(ISERROR(SEARCH("MODERATI",Tabella2[[#This Row],[Dispnea da sforzo]],1)),0,1)</f>
        <v>1</v>
      </c>
      <c r="AT71" s="17">
        <f>IF(ISERROR(SEARCH("INTENSI",Tabella2[[#This Row],[Dispnea da sforzo]],1)),0,1)</f>
        <v>0</v>
      </c>
      <c r="AU71" s="11" t="s">
        <v>657</v>
      </c>
      <c r="AV71" s="18">
        <f>IF(ISERROR(SEARCH("NEGA",Tabella2[[#This Row],[Dispnea a riposo]],1)),0,1)</f>
        <v>1</v>
      </c>
      <c r="AW71" s="18">
        <f>IF(ISERROR(SEARCH("NDD",Tabella2[[#This Row],[Dispnea a riposo]],1)),0,1)</f>
        <v>0</v>
      </c>
      <c r="AX71" s="11" t="s">
        <v>657</v>
      </c>
      <c r="AY71" s="17">
        <v>0</v>
      </c>
      <c r="AZ71" s="11" t="s">
        <v>657</v>
      </c>
      <c r="BA71" s="18">
        <v>0</v>
      </c>
      <c r="BB71" s="11" t="s">
        <v>4795</v>
      </c>
      <c r="BC71" s="17">
        <v>1</v>
      </c>
      <c r="BD71" s="11" t="s">
        <v>4796</v>
      </c>
      <c r="BE71" s="17">
        <v>1</v>
      </c>
      <c r="BF71" s="11" t="s">
        <v>657</v>
      </c>
      <c r="BG71" s="17">
        <v>0</v>
      </c>
      <c r="BH71" s="11" t="s">
        <v>5593</v>
      </c>
      <c r="BI71" s="17">
        <v>0</v>
      </c>
      <c r="BJ71" s="11">
        <v>12</v>
      </c>
      <c r="BK71" s="11" t="s">
        <v>7671</v>
      </c>
      <c r="BL71" s="18"/>
      <c r="BM71" s="18"/>
      <c r="BN71" s="18"/>
      <c r="BO71" s="18"/>
      <c r="BP71" s="18">
        <v>1</v>
      </c>
      <c r="BQ71" s="18"/>
      <c r="BR71" s="18"/>
      <c r="BS71" s="18"/>
      <c r="BT71" s="18">
        <v>1</v>
      </c>
      <c r="BU71" s="18"/>
      <c r="BV71" s="18"/>
      <c r="BW71" s="18"/>
      <c r="BX71" s="18"/>
      <c r="BY71" s="18"/>
      <c r="BZ71" s="18"/>
      <c r="CA71" s="18"/>
      <c r="CB71" s="18">
        <v>1</v>
      </c>
      <c r="CC71" s="18"/>
      <c r="CD71" s="18"/>
      <c r="CE71" s="18"/>
      <c r="CF71" s="18"/>
      <c r="CG71" s="11">
        <v>29</v>
      </c>
      <c r="CH71" s="11"/>
      <c r="CI71" s="11">
        <v>1</v>
      </c>
      <c r="CJ71" s="11">
        <v>76</v>
      </c>
      <c r="CK71" s="11" t="s">
        <v>4797</v>
      </c>
      <c r="CL71" s="11" t="s">
        <v>4798</v>
      </c>
      <c r="CM71" s="11" t="s">
        <v>4799</v>
      </c>
      <c r="CN71" s="17">
        <v>0</v>
      </c>
      <c r="CO71" s="17">
        <v>0</v>
      </c>
      <c r="CP71" s="17">
        <v>0</v>
      </c>
      <c r="CQ71" s="17">
        <v>0</v>
      </c>
      <c r="CR71" s="11" t="s">
        <v>4800</v>
      </c>
      <c r="CS71" s="11" t="s">
        <v>4801</v>
      </c>
      <c r="CT71" s="65">
        <v>0.73</v>
      </c>
      <c r="CU71" s="11" t="s">
        <v>4802</v>
      </c>
      <c r="CV71" s="11"/>
      <c r="CW71" s="11"/>
      <c r="CX71" s="11" t="s">
        <v>4803</v>
      </c>
      <c r="CY71" s="17">
        <v>1</v>
      </c>
      <c r="CZ71" s="11" t="s">
        <v>4804</v>
      </c>
      <c r="DA71" s="12" t="s">
        <v>4805</v>
      </c>
    </row>
    <row r="72" spans="1:105" s="54" customFormat="1" ht="57">
      <c r="A72" s="5">
        <v>1303</v>
      </c>
      <c r="B72" s="6">
        <v>44901</v>
      </c>
      <c r="C72" s="7" t="s">
        <v>4277</v>
      </c>
      <c r="D72" s="6">
        <v>19610</v>
      </c>
      <c r="E72" s="51">
        <f ca="1">_xlfn.DAYS(NOW(),Tabella2[[#This Row],[Data Nascita]])/365.25</f>
        <v>71.904175222450377</v>
      </c>
      <c r="F72" s="7"/>
      <c r="G72" s="7" t="s">
        <v>4279</v>
      </c>
      <c r="H72" s="7" t="s">
        <v>1276</v>
      </c>
      <c r="I72" s="7" t="s">
        <v>2238</v>
      </c>
      <c r="J72" s="7" t="s">
        <v>4806</v>
      </c>
      <c r="K72" s="7"/>
      <c r="L72" s="7"/>
      <c r="M72" s="7"/>
      <c r="N72" s="7" t="s">
        <v>8</v>
      </c>
      <c r="O72" s="17">
        <v>0</v>
      </c>
      <c r="P72" s="17">
        <v>1</v>
      </c>
      <c r="Q72" s="7" t="s">
        <v>8</v>
      </c>
      <c r="R72" s="7" t="s">
        <v>8</v>
      </c>
      <c r="S72" s="7" t="s">
        <v>4807</v>
      </c>
      <c r="T72" s="7" t="s">
        <v>439</v>
      </c>
      <c r="U72" s="17">
        <f>IF(ISERROR(SEARCH("null",Tabella2[[#This Row],[Patologia respiratoria nota]],1)),0,1)</f>
        <v>0</v>
      </c>
      <c r="V72" s="17">
        <f>IF(ISERROR(SEARCH("MUTA",Tabella2[[#This Row],[Patologia respiratoria nota]],1)),0,1)</f>
        <v>0</v>
      </c>
      <c r="W72" s="17">
        <f>IF(ISERROR(SEARCH("OSAS",Tabella2[[#This Row],[Patologia respiratoria nota]],1)),0,1)</f>
        <v>1</v>
      </c>
      <c r="X72" s="17">
        <f>IF(ISERROR(SEARCH("BPCO",Tabella2[[#This Row],[Patologia respiratoria nota]],1)),0,1)</f>
        <v>0</v>
      </c>
      <c r="Y72" s="17">
        <f>IF(ISERROR(SEARCH("ASMA",Tabella2[[#This Row],[Patologia respiratoria nota]],1)),0,1)</f>
        <v>0</v>
      </c>
      <c r="Z72" s="17">
        <f>IF(ISERROR(SEARCH("ASMA, OSAS",Tabella2[[#This Row],[Patologia respiratoria nota]],1)),0,1)</f>
        <v>0</v>
      </c>
      <c r="AA72" s="17">
        <f>IF(ISERROR(SEARCH("BPCO, OSAS",Tabella2[[#This Row],[Patologia respiratoria nota]],1)),0,1)</f>
        <v>0</v>
      </c>
      <c r="AB72" s="17">
        <f>IF(ISERROR(SEARCH("ASMA, BPCO, OSAS",Tabella2[[#This Row],[Patologia respiratoria nota]],1)),0,1)</f>
        <v>0</v>
      </c>
      <c r="AC72" s="15" t="s">
        <v>657</v>
      </c>
      <c r="AD72" s="19">
        <f>IF(ISERROR(SEARCH("NDD",Tabella2[[#This Row],[Tosse]],1)),0,1)</f>
        <v>0</v>
      </c>
      <c r="AE72" s="19">
        <f>IF(ISERROR(SEARCH("NEGA",Tabella2[[#This Row],[Tosse]],1)),0,1)</f>
        <v>1</v>
      </c>
      <c r="AF72" s="19">
        <f>IF(ISERROR(SEARCH("OCCASIONALMENTE",Tabella2[[#This Row],[Tosse]],1)),0,1)</f>
        <v>0</v>
      </c>
      <c r="AG72" s="19">
        <f>IF(ISERROR(SEARCH("RARAMENTE",Tabella2[[#This Row],[Tosse]],1)),0,1)</f>
        <v>0</v>
      </c>
      <c r="AH72" s="19">
        <f>IF(ISERROR(SEARCH("SI",Tabella2[[#This Row],[Tosse]],1)),0,1)</f>
        <v>0</v>
      </c>
      <c r="AI72" s="7" t="s">
        <v>657</v>
      </c>
      <c r="AJ72" s="17">
        <f>IF(ISERROR(SEARCH("SI",Tabella2[[#This Row],[Espettorazione]],1)),0,1)</f>
        <v>0</v>
      </c>
      <c r="AK72" s="17">
        <f>IF(ISERROR(SEARCH("NEGA",Tabella2[[#This Row],[Espettorazione]],1)),0,1)</f>
        <v>1</v>
      </c>
      <c r="AL72" s="17">
        <f>IF(ISERROR(SEARCH("NDD",Tabella2[[#This Row],[Espettorazione]],1)),0,1)</f>
        <v>0</v>
      </c>
      <c r="AM72" s="7" t="s">
        <v>657</v>
      </c>
      <c r="AN72" s="17">
        <v>0</v>
      </c>
      <c r="AO72" s="7" t="s">
        <v>28</v>
      </c>
      <c r="AP72" s="17">
        <f>IF(ISERROR(SEARCH("NEGA",Tabella2[[#This Row],[Dispnea da sforzo]],1)),0,1)</f>
        <v>0</v>
      </c>
      <c r="AQ72" s="17">
        <f>IF(ISERROR(SEARCH("NEGA",Tabella2[[#This Row],[Dispnea da sforzo]],1)),1,0)</f>
        <v>1</v>
      </c>
      <c r="AR72" s="17">
        <f>IF(ISERROR(SEARCH("LIEVI",Tabella2[[#This Row],[Dispnea da sforzo]],1)),0,1)</f>
        <v>0</v>
      </c>
      <c r="AS72" s="17">
        <f>IF(ISERROR(SEARCH("MODERATI",Tabella2[[#This Row],[Dispnea da sforzo]],1)),0,1)</f>
        <v>0</v>
      </c>
      <c r="AT72" s="17">
        <f>IF(ISERROR(SEARCH("INTENSI",Tabella2[[#This Row],[Dispnea da sforzo]],1)),0,1)</f>
        <v>0</v>
      </c>
      <c r="AU72" s="7" t="s">
        <v>657</v>
      </c>
      <c r="AV72" s="17">
        <f>IF(ISERROR(SEARCH("NEGA",Tabella2[[#This Row],[Dispnea a riposo]],1)),0,1)</f>
        <v>1</v>
      </c>
      <c r="AW72" s="17">
        <f>IF(ISERROR(SEARCH("NDD",Tabella2[[#This Row],[Dispnea a riposo]],1)),0,1)</f>
        <v>0</v>
      </c>
      <c r="AX72" s="7" t="s">
        <v>28</v>
      </c>
      <c r="AY72" s="18">
        <v>1</v>
      </c>
      <c r="AZ72" s="7" t="s">
        <v>657</v>
      </c>
      <c r="BA72" s="18">
        <v>0</v>
      </c>
      <c r="BB72" s="7" t="s">
        <v>657</v>
      </c>
      <c r="BC72" s="17">
        <v>0</v>
      </c>
      <c r="BD72" s="7" t="s">
        <v>28</v>
      </c>
      <c r="BE72" s="17">
        <v>1</v>
      </c>
      <c r="BF72" s="7" t="s">
        <v>657</v>
      </c>
      <c r="BG72" s="17">
        <v>0</v>
      </c>
      <c r="BH72" s="7" t="s">
        <v>657</v>
      </c>
      <c r="BI72" s="17">
        <v>0</v>
      </c>
      <c r="BJ72" s="7">
        <v>13</v>
      </c>
      <c r="BK72" s="7" t="s">
        <v>4808</v>
      </c>
      <c r="BL72" s="17"/>
      <c r="BM72" s="17"/>
      <c r="BN72" s="17"/>
      <c r="BO72" s="17"/>
      <c r="BP72" s="17"/>
      <c r="BQ72" s="17"/>
      <c r="BR72" s="17"/>
      <c r="BS72" s="17"/>
      <c r="BT72" s="17"/>
      <c r="BU72" s="17"/>
      <c r="BV72" s="17"/>
      <c r="BW72" s="17"/>
      <c r="BX72" s="17"/>
      <c r="BY72" s="17"/>
      <c r="BZ72" s="17"/>
      <c r="CA72" s="17"/>
      <c r="CB72" s="17"/>
      <c r="CC72" s="17"/>
      <c r="CD72" s="17"/>
      <c r="CE72" s="17"/>
      <c r="CF72" s="17"/>
      <c r="CG72" s="7">
        <v>29</v>
      </c>
      <c r="CH72" s="7"/>
      <c r="CI72" s="7">
        <v>96</v>
      </c>
      <c r="CJ72" s="7">
        <v>70</v>
      </c>
      <c r="CK72" s="7" t="s">
        <v>4809</v>
      </c>
      <c r="CL72" s="7"/>
      <c r="CM72" s="7" t="s">
        <v>3914</v>
      </c>
      <c r="CN72" s="17">
        <v>0</v>
      </c>
      <c r="CO72" s="17">
        <v>1</v>
      </c>
      <c r="CP72" s="17">
        <v>0</v>
      </c>
      <c r="CQ72" s="17">
        <v>0</v>
      </c>
      <c r="CR72" s="7" t="s">
        <v>4549</v>
      </c>
      <c r="CS72" s="7" t="s">
        <v>1181</v>
      </c>
      <c r="CT72" s="64">
        <v>1</v>
      </c>
      <c r="CU72" s="7" t="s">
        <v>4810</v>
      </c>
      <c r="CV72" s="7"/>
      <c r="CW72" s="7"/>
      <c r="CX72" s="7" t="s">
        <v>4660</v>
      </c>
      <c r="CY72" s="17">
        <v>1</v>
      </c>
      <c r="CZ72" s="7" t="s">
        <v>4683</v>
      </c>
      <c r="DA72" s="8" t="s">
        <v>4811</v>
      </c>
    </row>
    <row r="73" spans="1:105" s="54" customFormat="1" ht="28.5">
      <c r="A73" s="9">
        <v>1354</v>
      </c>
      <c r="B73" s="10">
        <v>44935</v>
      </c>
      <c r="C73" s="11" t="s">
        <v>4812</v>
      </c>
      <c r="D73" s="10">
        <v>22188</v>
      </c>
      <c r="E73" s="52">
        <f ca="1">_xlfn.DAYS(NOW(),Tabella2[[#This Row],[Data Nascita]])/365.25</f>
        <v>64.845995893223815</v>
      </c>
      <c r="F73" s="11" t="s">
        <v>4813</v>
      </c>
      <c r="G73" s="11" t="s">
        <v>4814</v>
      </c>
      <c r="H73" s="11" t="s">
        <v>1276</v>
      </c>
      <c r="I73" s="11" t="s">
        <v>4180</v>
      </c>
      <c r="J73" s="11" t="s">
        <v>4815</v>
      </c>
      <c r="K73" s="11"/>
      <c r="L73" s="11"/>
      <c r="M73" s="11"/>
      <c r="N73" s="11" t="s">
        <v>195</v>
      </c>
      <c r="O73" s="17">
        <v>0</v>
      </c>
      <c r="P73" s="17">
        <v>1</v>
      </c>
      <c r="Q73" s="11" t="s">
        <v>8</v>
      </c>
      <c r="R73" s="11" t="s">
        <v>8</v>
      </c>
      <c r="S73" s="11" t="s">
        <v>4816</v>
      </c>
      <c r="T73" s="11" t="s">
        <v>439</v>
      </c>
      <c r="U73" s="18">
        <f>IF(ISERROR(SEARCH("null",Tabella2[[#This Row],[Patologia respiratoria nota]],1)),0,1)</f>
        <v>0</v>
      </c>
      <c r="V73" s="17">
        <f>IF(ISERROR(SEARCH("MUTA",Tabella2[[#This Row],[Patologia respiratoria nota]],1)),0,1)</f>
        <v>0</v>
      </c>
      <c r="W73" s="18">
        <f>IF(ISERROR(SEARCH("OSAS",Tabella2[[#This Row],[Patologia respiratoria nota]],1)),0,1)</f>
        <v>1</v>
      </c>
      <c r="X73" s="17">
        <f>IF(ISERROR(SEARCH("BPCO",Tabella2[[#This Row],[Patologia respiratoria nota]],1)),0,1)</f>
        <v>0</v>
      </c>
      <c r="Y73" s="17">
        <f>IF(ISERROR(SEARCH("ASMA",Tabella2[[#This Row],[Patologia respiratoria nota]],1)),0,1)</f>
        <v>0</v>
      </c>
      <c r="Z73" s="17">
        <f>IF(ISERROR(SEARCH("ASMA, OSAS",Tabella2[[#This Row],[Patologia respiratoria nota]],1)),0,1)</f>
        <v>0</v>
      </c>
      <c r="AA73" s="17">
        <f>IF(ISERROR(SEARCH("BPCO, OSAS",Tabella2[[#This Row],[Patologia respiratoria nota]],1)),0,1)</f>
        <v>0</v>
      </c>
      <c r="AB73" s="17">
        <f>IF(ISERROR(SEARCH("ASMA, BPCO, OSAS",Tabella2[[#This Row],[Patologia respiratoria nota]],1)),0,1)</f>
        <v>0</v>
      </c>
      <c r="AC73" s="15" t="s">
        <v>657</v>
      </c>
      <c r="AD73" s="19">
        <f>IF(ISERROR(SEARCH("NDD",Tabella2[[#This Row],[Tosse]],1)),0,1)</f>
        <v>0</v>
      </c>
      <c r="AE73" s="19">
        <f>IF(ISERROR(SEARCH("NEGA",Tabella2[[#This Row],[Tosse]],1)),0,1)</f>
        <v>1</v>
      </c>
      <c r="AF73" s="19">
        <f>IF(ISERROR(SEARCH("OCCASIONALMENTE",Tabella2[[#This Row],[Tosse]],1)),0,1)</f>
        <v>0</v>
      </c>
      <c r="AG73" s="19">
        <f>IF(ISERROR(SEARCH("RARAMENTE",Tabella2[[#This Row],[Tosse]],1)),0,1)</f>
        <v>0</v>
      </c>
      <c r="AH73" s="19">
        <f>IF(ISERROR(SEARCH("SI",Tabella2[[#This Row],[Tosse]],1)),0,1)</f>
        <v>0</v>
      </c>
      <c r="AI73" s="11" t="s">
        <v>657</v>
      </c>
      <c r="AJ73" s="18">
        <f>IF(ISERROR(SEARCH("SI",Tabella2[[#This Row],[Espettorazione]],1)),0,1)</f>
        <v>0</v>
      </c>
      <c r="AK73" s="18">
        <f>IF(ISERROR(SEARCH("NEGA",Tabella2[[#This Row],[Espettorazione]],1)),0,1)</f>
        <v>1</v>
      </c>
      <c r="AL73" s="18">
        <f>IF(ISERROR(SEARCH("NDD",Tabella2[[#This Row],[Espettorazione]],1)),0,1)</f>
        <v>0</v>
      </c>
      <c r="AM73" s="11" t="s">
        <v>28</v>
      </c>
      <c r="AN73" s="17">
        <v>1</v>
      </c>
      <c r="AO73" s="11" t="s">
        <v>28</v>
      </c>
      <c r="AP73" s="17">
        <f>IF(ISERROR(SEARCH("NEGA",Tabella2[[#This Row],[Dispnea da sforzo]],1)),0,1)</f>
        <v>0</v>
      </c>
      <c r="AQ73" s="17">
        <f>IF(ISERROR(SEARCH("NEGA",Tabella2[[#This Row],[Dispnea da sforzo]],1)),1,0)</f>
        <v>1</v>
      </c>
      <c r="AR73" s="17">
        <f>IF(ISERROR(SEARCH("LIEVI",Tabella2[[#This Row],[Dispnea da sforzo]],1)),0,1)</f>
        <v>0</v>
      </c>
      <c r="AS73" s="17">
        <f>IF(ISERROR(SEARCH("MODERATI",Tabella2[[#This Row],[Dispnea da sforzo]],1)),0,1)</f>
        <v>0</v>
      </c>
      <c r="AT73" s="17">
        <f>IF(ISERROR(SEARCH("INTENSI",Tabella2[[#This Row],[Dispnea da sforzo]],1)),0,1)</f>
        <v>0</v>
      </c>
      <c r="AU73" s="11" t="s">
        <v>657</v>
      </c>
      <c r="AV73" s="18">
        <f>IF(ISERROR(SEARCH("NEGA",Tabella2[[#This Row],[Dispnea a riposo]],1)),0,1)</f>
        <v>1</v>
      </c>
      <c r="AW73" s="18">
        <f>IF(ISERROR(SEARCH("NDD",Tabella2[[#This Row],[Dispnea a riposo]],1)),0,1)</f>
        <v>0</v>
      </c>
      <c r="AX73" s="11" t="s">
        <v>4817</v>
      </c>
      <c r="AY73" s="18">
        <v>1</v>
      </c>
      <c r="AZ73" s="11" t="s">
        <v>657</v>
      </c>
      <c r="BA73" s="18">
        <v>0</v>
      </c>
      <c r="BB73" s="7" t="s">
        <v>657</v>
      </c>
      <c r="BC73" s="17">
        <v>0</v>
      </c>
      <c r="BD73" s="11" t="s">
        <v>28</v>
      </c>
      <c r="BE73" s="17">
        <v>1</v>
      </c>
      <c r="BF73" s="11" t="s">
        <v>657</v>
      </c>
      <c r="BG73" s="17">
        <v>0</v>
      </c>
      <c r="BH73" s="11" t="s">
        <v>28</v>
      </c>
      <c r="BI73" s="18">
        <v>1</v>
      </c>
      <c r="BJ73" s="11">
        <v>12</v>
      </c>
      <c r="BK73" s="11"/>
      <c r="BL73" s="18"/>
      <c r="BM73" s="18"/>
      <c r="BN73" s="18"/>
      <c r="BO73" s="18"/>
      <c r="BP73" s="18"/>
      <c r="BQ73" s="18"/>
      <c r="BR73" s="18"/>
      <c r="BS73" s="18"/>
      <c r="BT73" s="18"/>
      <c r="BU73" s="18"/>
      <c r="BV73" s="18"/>
      <c r="BW73" s="18"/>
      <c r="BX73" s="18"/>
      <c r="BY73" s="18"/>
      <c r="BZ73" s="18"/>
      <c r="CA73" s="18"/>
      <c r="CB73" s="18"/>
      <c r="CC73" s="18"/>
      <c r="CD73" s="18"/>
      <c r="CE73" s="18"/>
      <c r="CF73" s="18"/>
      <c r="CG73" s="11">
        <v>45</v>
      </c>
      <c r="CH73" s="11"/>
      <c r="CI73" s="11">
        <v>95</v>
      </c>
      <c r="CJ73" s="11">
        <v>76</v>
      </c>
      <c r="CK73" s="11" t="s">
        <v>4818</v>
      </c>
      <c r="CL73" s="11" t="s">
        <v>4819</v>
      </c>
      <c r="CM73" s="11" t="s">
        <v>4728</v>
      </c>
      <c r="CN73" s="17">
        <v>0</v>
      </c>
      <c r="CO73" s="17">
        <v>0</v>
      </c>
      <c r="CP73" s="17">
        <v>1</v>
      </c>
      <c r="CQ73" s="17">
        <v>0</v>
      </c>
      <c r="CR73" s="11"/>
      <c r="CS73" s="33" t="s">
        <v>5477</v>
      </c>
      <c r="CT73" s="65"/>
      <c r="CU73" s="11" t="s">
        <v>4820</v>
      </c>
      <c r="CV73" s="11"/>
      <c r="CW73" s="11"/>
      <c r="CX73" s="11" t="s">
        <v>4699</v>
      </c>
      <c r="CY73" s="17">
        <v>1</v>
      </c>
      <c r="CZ73" s="11" t="s">
        <v>4765</v>
      </c>
      <c r="DA73" s="12" t="s">
        <v>4821</v>
      </c>
    </row>
    <row r="74" spans="1:105" ht="28.5">
      <c r="A74" s="5">
        <v>1385</v>
      </c>
      <c r="B74" s="7"/>
      <c r="C74" s="7" t="s">
        <v>4822</v>
      </c>
      <c r="D74" s="6">
        <v>14669</v>
      </c>
      <c r="E74" s="51">
        <f ca="1">_xlfn.DAYS(NOW(),Tabella2[[#This Row],[Data Nascita]])/365.25</f>
        <v>85.431895961670094</v>
      </c>
      <c r="F74" s="7" t="s">
        <v>4823</v>
      </c>
      <c r="G74" s="7" t="s">
        <v>4824</v>
      </c>
      <c r="H74" s="7" t="s">
        <v>1276</v>
      </c>
      <c r="I74" s="7" t="s">
        <v>4825</v>
      </c>
      <c r="J74" s="7" t="s">
        <v>4826</v>
      </c>
      <c r="K74" s="7"/>
      <c r="L74" s="7"/>
      <c r="M74" s="7"/>
      <c r="N74" s="7" t="s">
        <v>195</v>
      </c>
      <c r="O74" s="17">
        <v>0</v>
      </c>
      <c r="P74" s="17">
        <v>1</v>
      </c>
      <c r="Q74" s="7" t="s">
        <v>8</v>
      </c>
      <c r="R74" s="7" t="s">
        <v>8</v>
      </c>
      <c r="S74" s="7" t="s">
        <v>8</v>
      </c>
      <c r="T74" s="7" t="s">
        <v>439</v>
      </c>
      <c r="U74" s="17">
        <f>IF(ISERROR(SEARCH("null",Tabella2[[#This Row],[Patologia respiratoria nota]],1)),0,1)</f>
        <v>0</v>
      </c>
      <c r="V74" s="17">
        <f>IF(ISERROR(SEARCH("MUTA",Tabella2[[#This Row],[Patologia respiratoria nota]],1)),0,1)</f>
        <v>0</v>
      </c>
      <c r="W74" s="17">
        <f>IF(ISERROR(SEARCH("OSAS",Tabella2[[#This Row],[Patologia respiratoria nota]],1)),0,1)</f>
        <v>1</v>
      </c>
      <c r="X74" s="17">
        <f>IF(ISERROR(SEARCH("BPCO",Tabella2[[#This Row],[Patologia respiratoria nota]],1)),0,1)</f>
        <v>0</v>
      </c>
      <c r="Y74" s="17">
        <f>IF(ISERROR(SEARCH("ASMA",Tabella2[[#This Row],[Patologia respiratoria nota]],1)),0,1)</f>
        <v>0</v>
      </c>
      <c r="Z74" s="17">
        <f>IF(ISERROR(SEARCH("ASMA, OSAS",Tabella2[[#This Row],[Patologia respiratoria nota]],1)),0,1)</f>
        <v>0</v>
      </c>
      <c r="AA74" s="17">
        <f>IF(ISERROR(SEARCH("BPCO, OSAS",Tabella2[[#This Row],[Patologia respiratoria nota]],1)),0,1)</f>
        <v>0</v>
      </c>
      <c r="AB74" s="17">
        <f>IF(ISERROR(SEARCH("ASMA, BPCO, OSAS",Tabella2[[#This Row],[Patologia respiratoria nota]],1)),0,1)</f>
        <v>0</v>
      </c>
      <c r="AC74" s="15" t="s">
        <v>657</v>
      </c>
      <c r="AD74" s="19">
        <f>IF(ISERROR(SEARCH("NDD",Tabella2[[#This Row],[Tosse]],1)),0,1)</f>
        <v>0</v>
      </c>
      <c r="AE74" s="19">
        <f>IF(ISERROR(SEARCH("NEGA",Tabella2[[#This Row],[Tosse]],1)),0,1)</f>
        <v>1</v>
      </c>
      <c r="AF74" s="19">
        <f>IF(ISERROR(SEARCH("OCCASIONALMENTE",Tabella2[[#This Row],[Tosse]],1)),0,1)</f>
        <v>0</v>
      </c>
      <c r="AG74" s="19">
        <f>IF(ISERROR(SEARCH("RARAMENTE",Tabella2[[#This Row],[Tosse]],1)),0,1)</f>
        <v>0</v>
      </c>
      <c r="AH74" s="19">
        <f>IF(ISERROR(SEARCH("SI",Tabella2[[#This Row],[Tosse]],1)),0,1)</f>
        <v>0</v>
      </c>
      <c r="AI74" s="7" t="s">
        <v>657</v>
      </c>
      <c r="AJ74" s="17">
        <f>IF(ISERROR(SEARCH("SI",Tabella2[[#This Row],[Espettorazione]],1)),0,1)</f>
        <v>0</v>
      </c>
      <c r="AK74" s="17">
        <f>IF(ISERROR(SEARCH("NEGA",Tabella2[[#This Row],[Espettorazione]],1)),0,1)</f>
        <v>1</v>
      </c>
      <c r="AL74" s="17">
        <f>IF(ISERROR(SEARCH("NDD",Tabella2[[#This Row],[Espettorazione]],1)),0,1)</f>
        <v>0</v>
      </c>
      <c r="AM74" s="7" t="s">
        <v>28</v>
      </c>
      <c r="AN74" s="17">
        <v>1</v>
      </c>
      <c r="AO74" s="7" t="s">
        <v>28</v>
      </c>
      <c r="AP74" s="17">
        <f>IF(ISERROR(SEARCH("NEGA",Tabella2[[#This Row],[Dispnea da sforzo]],1)),0,1)</f>
        <v>0</v>
      </c>
      <c r="AQ74" s="17">
        <f>IF(ISERROR(SEARCH("NEGA",Tabella2[[#This Row],[Dispnea da sforzo]],1)),1,0)</f>
        <v>1</v>
      </c>
      <c r="AR74" s="17">
        <f>IF(ISERROR(SEARCH("LIEVI",Tabella2[[#This Row],[Dispnea da sforzo]],1)),0,1)</f>
        <v>0</v>
      </c>
      <c r="AS74" s="17">
        <f>IF(ISERROR(SEARCH("MODERATI",Tabella2[[#This Row],[Dispnea da sforzo]],1)),0,1)</f>
        <v>0</v>
      </c>
      <c r="AT74" s="17">
        <f>IF(ISERROR(SEARCH("INTENSI",Tabella2[[#This Row],[Dispnea da sforzo]],1)),0,1)</f>
        <v>0</v>
      </c>
      <c r="AU74" s="7" t="s">
        <v>657</v>
      </c>
      <c r="AV74" s="17">
        <f>IF(ISERROR(SEARCH("NEGA",Tabella2[[#This Row],[Dispnea a riposo]],1)),0,1)</f>
        <v>1</v>
      </c>
      <c r="AW74" s="17">
        <f>IF(ISERROR(SEARCH("NDD",Tabella2[[#This Row],[Dispnea a riposo]],1)),0,1)</f>
        <v>0</v>
      </c>
      <c r="AX74" s="7" t="s">
        <v>657</v>
      </c>
      <c r="AY74" s="17">
        <v>0</v>
      </c>
      <c r="AZ74" s="7" t="s">
        <v>657</v>
      </c>
      <c r="BA74" s="18">
        <v>0</v>
      </c>
      <c r="BB74" s="7" t="s">
        <v>33</v>
      </c>
      <c r="BC74" s="17">
        <v>1</v>
      </c>
      <c r="BD74" s="7" t="s">
        <v>28</v>
      </c>
      <c r="BE74" s="17">
        <v>1</v>
      </c>
      <c r="BF74" s="7" t="s">
        <v>657</v>
      </c>
      <c r="BG74" s="17">
        <v>0</v>
      </c>
      <c r="BH74" s="7" t="s">
        <v>657</v>
      </c>
      <c r="BI74" s="17">
        <v>0</v>
      </c>
      <c r="BJ74" s="7">
        <v>14</v>
      </c>
      <c r="BK74" s="7"/>
      <c r="BL74" s="17"/>
      <c r="BM74" s="17"/>
      <c r="BN74" s="17"/>
      <c r="BO74" s="17"/>
      <c r="BP74" s="17"/>
      <c r="BQ74" s="17"/>
      <c r="BR74" s="17"/>
      <c r="BS74" s="17"/>
      <c r="BT74" s="17"/>
      <c r="BU74" s="17"/>
      <c r="BV74" s="17"/>
      <c r="BW74" s="17"/>
      <c r="BX74" s="17"/>
      <c r="BY74" s="17"/>
      <c r="BZ74" s="17"/>
      <c r="CA74" s="17"/>
      <c r="CB74" s="17"/>
      <c r="CC74" s="17"/>
      <c r="CD74" s="17"/>
      <c r="CE74" s="17"/>
      <c r="CF74" s="17"/>
      <c r="CG74" s="7">
        <v>28</v>
      </c>
      <c r="CH74" s="7"/>
      <c r="CI74" s="7">
        <v>99</v>
      </c>
      <c r="CJ74" s="7">
        <v>84</v>
      </c>
      <c r="CK74" s="7" t="s">
        <v>4827</v>
      </c>
      <c r="CL74" s="7" t="s">
        <v>1248</v>
      </c>
      <c r="CM74" s="33" t="s">
        <v>5477</v>
      </c>
      <c r="CN74" s="47">
        <v>1</v>
      </c>
      <c r="CO74" s="17">
        <v>0</v>
      </c>
      <c r="CP74" s="17">
        <v>0</v>
      </c>
      <c r="CQ74" s="17">
        <v>0</v>
      </c>
      <c r="CR74" s="7"/>
      <c r="CS74" s="33" t="s">
        <v>5477</v>
      </c>
      <c r="CT74" s="64"/>
      <c r="CU74" s="7"/>
      <c r="CV74" s="7"/>
      <c r="CW74" s="7"/>
      <c r="CX74" s="7" t="s">
        <v>5477</v>
      </c>
      <c r="CY74" s="17">
        <v>0</v>
      </c>
      <c r="CZ74" s="7"/>
      <c r="DA74" s="8"/>
    </row>
    <row r="75" spans="1:105" ht="71.25">
      <c r="A75" s="9">
        <v>1426</v>
      </c>
      <c r="B75" s="10">
        <v>44965</v>
      </c>
      <c r="C75" s="11" t="s">
        <v>4828</v>
      </c>
      <c r="D75" s="10">
        <v>24920</v>
      </c>
      <c r="E75" s="52">
        <f ca="1">_xlfn.DAYS(NOW(),Tabella2[[#This Row],[Data Nascita]])/365.25</f>
        <v>57.366187542778917</v>
      </c>
      <c r="F75" s="11" t="s">
        <v>4829</v>
      </c>
      <c r="G75" s="11" t="s">
        <v>4830</v>
      </c>
      <c r="H75" s="11" t="s">
        <v>4555</v>
      </c>
      <c r="I75" s="11" t="s">
        <v>1346</v>
      </c>
      <c r="J75" s="11" t="s">
        <v>4831</v>
      </c>
      <c r="K75" s="11"/>
      <c r="L75" s="11"/>
      <c r="M75" s="11"/>
      <c r="N75" s="11" t="s">
        <v>4832</v>
      </c>
      <c r="O75" s="18">
        <v>1</v>
      </c>
      <c r="P75" s="17">
        <v>1</v>
      </c>
      <c r="Q75" s="11" t="s">
        <v>8</v>
      </c>
      <c r="R75" s="11" t="s">
        <v>8</v>
      </c>
      <c r="S75" s="11" t="s">
        <v>4833</v>
      </c>
      <c r="T75" s="11" t="s">
        <v>5423</v>
      </c>
      <c r="U75" s="18">
        <f>IF(ISERROR(SEARCH("null",Tabella2[[#This Row],[Patologia respiratoria nota]],1)),0,1)</f>
        <v>0</v>
      </c>
      <c r="V75" s="17">
        <f>IF(ISERROR(SEARCH("MUTA",Tabella2[[#This Row],[Patologia respiratoria nota]],1)),0,1)</f>
        <v>0</v>
      </c>
      <c r="W75" s="18">
        <f>IF(ISERROR(SEARCH("OSAS",Tabella2[[#This Row],[Patologia respiratoria nota]],1)),0,1)</f>
        <v>1</v>
      </c>
      <c r="X75" s="17">
        <f>IF(ISERROR(SEARCH("BPCO",Tabella2[[#This Row],[Patologia respiratoria nota]],1)),0,1)</f>
        <v>0</v>
      </c>
      <c r="Y75" s="17">
        <f>IF(ISERROR(SEARCH("ASMA",Tabella2[[#This Row],[Patologia respiratoria nota]],1)),0,1)</f>
        <v>1</v>
      </c>
      <c r="Z75" s="17">
        <f>IF(ISERROR(SEARCH("ASMA, OSAS",Tabella2[[#This Row],[Patologia respiratoria nota]],1)),0,1)</f>
        <v>0</v>
      </c>
      <c r="AA75" s="17">
        <f>IF(ISERROR(SEARCH("BPCO, OSAS",Tabella2[[#This Row],[Patologia respiratoria nota]],1)),0,1)</f>
        <v>0</v>
      </c>
      <c r="AB75" s="17">
        <f>IF(ISERROR(SEARCH("ASMA, BPCO, OSAS",Tabella2[[#This Row],[Patologia respiratoria nota]],1)),0,1)</f>
        <v>0</v>
      </c>
      <c r="AC75" s="11" t="s">
        <v>5457</v>
      </c>
      <c r="AD75" s="18">
        <f>IF(ISERROR(SEARCH("NDD",Tabella2[[#This Row],[Tosse]],1)),0,1)</f>
        <v>0</v>
      </c>
      <c r="AE75" s="18">
        <f>IF(ISERROR(SEARCH("NEGA",Tabella2[[#This Row],[Tosse]],1)),0,1)</f>
        <v>0</v>
      </c>
      <c r="AF75" s="18">
        <f>IF(ISERROR(SEARCH("OCCASIONALMENTE",Tabella2[[#This Row],[Tosse]],1)),0,1)</f>
        <v>0</v>
      </c>
      <c r="AG75" s="18">
        <f>IF(ISERROR(SEARCH("RARAMENTE",Tabella2[[#This Row],[Tosse]],1)),0,1)</f>
        <v>0</v>
      </c>
      <c r="AH75" s="17">
        <v>1</v>
      </c>
      <c r="AI75" s="11" t="s">
        <v>657</v>
      </c>
      <c r="AJ75" s="18">
        <f>IF(ISERROR(SEARCH("SI",Tabella2[[#This Row],[Espettorazione]],1)),0,1)</f>
        <v>0</v>
      </c>
      <c r="AK75" s="18">
        <f>IF(ISERROR(SEARCH("NEGA",Tabella2[[#This Row],[Espettorazione]],1)),0,1)</f>
        <v>1</v>
      </c>
      <c r="AL75" s="18">
        <f>IF(ISERROR(SEARCH("NDD",Tabella2[[#This Row],[Espettorazione]],1)),0,1)</f>
        <v>0</v>
      </c>
      <c r="AM75" s="11" t="s">
        <v>28</v>
      </c>
      <c r="AN75" s="17">
        <v>1</v>
      </c>
      <c r="AO75" s="11" t="s">
        <v>28</v>
      </c>
      <c r="AP75" s="17">
        <f>IF(ISERROR(SEARCH("NEGA",Tabella2[[#This Row],[Dispnea da sforzo]],1)),0,1)</f>
        <v>0</v>
      </c>
      <c r="AQ75" s="17">
        <f>IF(ISERROR(SEARCH("NEGA",Tabella2[[#This Row],[Dispnea da sforzo]],1)),1,0)</f>
        <v>1</v>
      </c>
      <c r="AR75" s="17">
        <f>IF(ISERROR(SEARCH("LIEVI",Tabella2[[#This Row],[Dispnea da sforzo]],1)),0,1)</f>
        <v>0</v>
      </c>
      <c r="AS75" s="17">
        <f>IF(ISERROR(SEARCH("MODERATI",Tabella2[[#This Row],[Dispnea da sforzo]],1)),0,1)</f>
        <v>0</v>
      </c>
      <c r="AT75" s="17">
        <f>IF(ISERROR(SEARCH("INTENSI",Tabella2[[#This Row],[Dispnea da sforzo]],1)),0,1)</f>
        <v>0</v>
      </c>
      <c r="AU75" s="11" t="s">
        <v>28</v>
      </c>
      <c r="AV75" s="18">
        <f>IF(ISERROR(SEARCH("NEGA",Tabella2[[#This Row],[Dispnea a riposo]],1)),0,1)</f>
        <v>0</v>
      </c>
      <c r="AW75" s="18">
        <f>IF(ISERROR(SEARCH("NDD",Tabella2[[#This Row],[Dispnea a riposo]],1)),0,1)</f>
        <v>0</v>
      </c>
      <c r="AX75" s="11" t="s">
        <v>657</v>
      </c>
      <c r="AY75" s="17">
        <v>0</v>
      </c>
      <c r="AZ75" s="11" t="s">
        <v>657</v>
      </c>
      <c r="BA75" s="18">
        <v>0</v>
      </c>
      <c r="BB75" s="7" t="s">
        <v>657</v>
      </c>
      <c r="BC75" s="17">
        <v>0</v>
      </c>
      <c r="BD75" s="11" t="s">
        <v>28</v>
      </c>
      <c r="BE75" s="17">
        <v>1</v>
      </c>
      <c r="BF75" s="11" t="s">
        <v>28</v>
      </c>
      <c r="BG75" s="17">
        <v>1</v>
      </c>
      <c r="BH75" s="11" t="s">
        <v>28</v>
      </c>
      <c r="BI75" s="18">
        <v>1</v>
      </c>
      <c r="BJ75" s="11">
        <v>12</v>
      </c>
      <c r="BK75" s="11" t="s">
        <v>4834</v>
      </c>
      <c r="BL75" s="18"/>
      <c r="BM75" s="18"/>
      <c r="BN75" s="18"/>
      <c r="BO75" s="18"/>
      <c r="BP75" s="18"/>
      <c r="BQ75" s="18"/>
      <c r="BR75" s="18"/>
      <c r="BS75" s="18"/>
      <c r="BT75" s="18"/>
      <c r="BU75" s="18"/>
      <c r="BV75" s="18"/>
      <c r="BW75" s="18"/>
      <c r="BX75" s="18"/>
      <c r="BY75" s="18"/>
      <c r="BZ75" s="18"/>
      <c r="CA75" s="18"/>
      <c r="CB75" s="18"/>
      <c r="CC75" s="18"/>
      <c r="CD75" s="18"/>
      <c r="CE75" s="18"/>
      <c r="CF75" s="18"/>
      <c r="CG75" s="11">
        <v>32</v>
      </c>
      <c r="CH75" s="11"/>
      <c r="CI75" s="11">
        <v>98</v>
      </c>
      <c r="CJ75" s="11">
        <v>66</v>
      </c>
      <c r="CK75" s="11" t="s">
        <v>4835</v>
      </c>
      <c r="CL75" s="11" t="s">
        <v>4836</v>
      </c>
      <c r="CM75" s="11" t="s">
        <v>4728</v>
      </c>
      <c r="CN75" s="17">
        <v>0</v>
      </c>
      <c r="CO75" s="17">
        <v>0</v>
      </c>
      <c r="CP75" s="17">
        <v>1</v>
      </c>
      <c r="CQ75" s="17">
        <v>0</v>
      </c>
      <c r="CR75" s="11" t="s">
        <v>4549</v>
      </c>
      <c r="CS75" s="11" t="s">
        <v>4837</v>
      </c>
      <c r="CT75" s="65">
        <v>0.182</v>
      </c>
      <c r="CU75" s="11" t="s">
        <v>4838</v>
      </c>
      <c r="CV75" s="11"/>
      <c r="CW75" s="11"/>
      <c r="CX75" s="11" t="s">
        <v>4676</v>
      </c>
      <c r="CY75" s="17">
        <v>1</v>
      </c>
      <c r="CZ75" s="11" t="s">
        <v>4839</v>
      </c>
      <c r="DA75" s="12" t="s">
        <v>4840</v>
      </c>
    </row>
    <row r="76" spans="1:105" ht="28.5">
      <c r="A76" s="5">
        <v>1452</v>
      </c>
      <c r="B76" s="6">
        <v>44979</v>
      </c>
      <c r="C76" s="7" t="s">
        <v>4841</v>
      </c>
      <c r="D76" s="6">
        <v>16642</v>
      </c>
      <c r="E76" s="51">
        <f ca="1">_xlfn.DAYS(NOW(),Tabella2[[#This Row],[Data Nascita]])/365.25</f>
        <v>80.030116358658447</v>
      </c>
      <c r="F76" s="7" t="s">
        <v>4842</v>
      </c>
      <c r="G76" s="7" t="s">
        <v>4843</v>
      </c>
      <c r="H76" s="7" t="s">
        <v>1276</v>
      </c>
      <c r="I76" s="7" t="s">
        <v>4844</v>
      </c>
      <c r="J76" s="7" t="s">
        <v>4845</v>
      </c>
      <c r="K76" s="7"/>
      <c r="L76" s="7"/>
      <c r="M76" s="7"/>
      <c r="N76" s="7" t="s">
        <v>8</v>
      </c>
      <c r="O76" s="17">
        <v>0</v>
      </c>
      <c r="P76" s="17">
        <v>1</v>
      </c>
      <c r="Q76" s="7" t="s">
        <v>8</v>
      </c>
      <c r="R76" s="7" t="s">
        <v>8</v>
      </c>
      <c r="S76" s="7"/>
      <c r="T76" s="7" t="s">
        <v>439</v>
      </c>
      <c r="U76" s="17">
        <f>IF(ISERROR(SEARCH("null",Tabella2[[#This Row],[Patologia respiratoria nota]],1)),0,1)</f>
        <v>0</v>
      </c>
      <c r="V76" s="17">
        <f>IF(ISERROR(SEARCH("MUTA",Tabella2[[#This Row],[Patologia respiratoria nota]],1)),0,1)</f>
        <v>0</v>
      </c>
      <c r="W76" s="17">
        <f>IF(ISERROR(SEARCH("OSAS",Tabella2[[#This Row],[Patologia respiratoria nota]],1)),0,1)</f>
        <v>1</v>
      </c>
      <c r="X76" s="17">
        <f>IF(ISERROR(SEARCH("BPCO",Tabella2[[#This Row],[Patologia respiratoria nota]],1)),0,1)</f>
        <v>0</v>
      </c>
      <c r="Y76" s="17">
        <f>IF(ISERROR(SEARCH("ASMA",Tabella2[[#This Row],[Patologia respiratoria nota]],1)),0,1)</f>
        <v>0</v>
      </c>
      <c r="Z76" s="17">
        <f>IF(ISERROR(SEARCH("ASMA, OSAS",Tabella2[[#This Row],[Patologia respiratoria nota]],1)),0,1)</f>
        <v>0</v>
      </c>
      <c r="AA76" s="17">
        <f>IF(ISERROR(SEARCH("BPCO, OSAS",Tabella2[[#This Row],[Patologia respiratoria nota]],1)),0,1)</f>
        <v>0</v>
      </c>
      <c r="AB76" s="17">
        <f>IF(ISERROR(SEARCH("ASMA, BPCO, OSAS",Tabella2[[#This Row],[Patologia respiratoria nota]],1)),0,1)</f>
        <v>0</v>
      </c>
      <c r="AC76" s="7" t="s">
        <v>381</v>
      </c>
      <c r="AD76" s="17">
        <f>IF(ISERROR(SEARCH("NDD",Tabella2[[#This Row],[Tosse]],1)),0,1)</f>
        <v>0</v>
      </c>
      <c r="AE76" s="17">
        <f>IF(ISERROR(SEARCH("NEGA",Tabella2[[#This Row],[Tosse]],1)),0,1)</f>
        <v>0</v>
      </c>
      <c r="AF76" s="17">
        <f>IF(ISERROR(SEARCH("OCCASIONALMENTE",Tabella2[[#This Row],[Tosse]],1)),0,1)</f>
        <v>0</v>
      </c>
      <c r="AG76" s="17">
        <f>IF(ISERROR(SEARCH("RARAMENTE",Tabella2[[#This Row],[Tosse]],1)),0,1)</f>
        <v>0</v>
      </c>
      <c r="AH76" s="17">
        <v>1</v>
      </c>
      <c r="AI76" s="7" t="s">
        <v>657</v>
      </c>
      <c r="AJ76" s="17">
        <f>IF(ISERROR(SEARCH("SI",Tabella2[[#This Row],[Espettorazione]],1)),0,1)</f>
        <v>0</v>
      </c>
      <c r="AK76" s="17">
        <f>IF(ISERROR(SEARCH("NEGA",Tabella2[[#This Row],[Espettorazione]],1)),0,1)</f>
        <v>1</v>
      </c>
      <c r="AL76" s="17">
        <f>IF(ISERROR(SEARCH("NDD",Tabella2[[#This Row],[Espettorazione]],1)),0,1)</f>
        <v>0</v>
      </c>
      <c r="AM76" s="7" t="s">
        <v>28</v>
      </c>
      <c r="AN76" s="17">
        <v>1</v>
      </c>
      <c r="AO76" s="7" t="s">
        <v>657</v>
      </c>
      <c r="AP76" s="17">
        <f>IF(ISERROR(SEARCH("NEGA",Tabella2[[#This Row],[Dispnea da sforzo]],1)),0,1)</f>
        <v>1</v>
      </c>
      <c r="AQ76" s="17">
        <f>IF(ISERROR(SEARCH("NEGA",Tabella2[[#This Row],[Dispnea da sforzo]],1)),1,0)</f>
        <v>0</v>
      </c>
      <c r="AR76" s="17">
        <f>IF(ISERROR(SEARCH("LIEVI",Tabella2[[#This Row],[Dispnea da sforzo]],1)),0,1)</f>
        <v>0</v>
      </c>
      <c r="AS76" s="17">
        <f>IF(ISERROR(SEARCH("MODERATI",Tabella2[[#This Row],[Dispnea da sforzo]],1)),0,1)</f>
        <v>0</v>
      </c>
      <c r="AT76" s="17">
        <f>IF(ISERROR(SEARCH("INTENSI",Tabella2[[#This Row],[Dispnea da sforzo]],1)),0,1)</f>
        <v>0</v>
      </c>
      <c r="AU76" s="7" t="s">
        <v>657</v>
      </c>
      <c r="AV76" s="17">
        <f>IF(ISERROR(SEARCH("NEGA",Tabella2[[#This Row],[Dispnea a riposo]],1)),0,1)</f>
        <v>1</v>
      </c>
      <c r="AW76" s="17">
        <f>IF(ISERROR(SEARCH("NDD",Tabella2[[#This Row],[Dispnea a riposo]],1)),0,1)</f>
        <v>0</v>
      </c>
      <c r="AX76" s="7" t="s">
        <v>657</v>
      </c>
      <c r="AY76" s="17">
        <v>0</v>
      </c>
      <c r="AZ76" s="7" t="s">
        <v>657</v>
      </c>
      <c r="BA76" s="18">
        <v>0</v>
      </c>
      <c r="BB76" s="7" t="s">
        <v>28</v>
      </c>
      <c r="BC76" s="17">
        <v>1</v>
      </c>
      <c r="BD76" s="7" t="s">
        <v>28</v>
      </c>
      <c r="BE76" s="17">
        <v>1</v>
      </c>
      <c r="BF76" s="7" t="s">
        <v>657</v>
      </c>
      <c r="BG76" s="17">
        <v>0</v>
      </c>
      <c r="BH76" s="7" t="s">
        <v>657</v>
      </c>
      <c r="BI76" s="17">
        <v>0</v>
      </c>
      <c r="BJ76" s="7">
        <v>16</v>
      </c>
      <c r="BK76" s="7"/>
      <c r="BL76" s="17"/>
      <c r="BM76" s="17"/>
      <c r="BN76" s="17"/>
      <c r="BO76" s="17"/>
      <c r="BP76" s="17"/>
      <c r="BQ76" s="17"/>
      <c r="BR76" s="17"/>
      <c r="BS76" s="17"/>
      <c r="BT76" s="17"/>
      <c r="BU76" s="17"/>
      <c r="BV76" s="17"/>
      <c r="BW76" s="17"/>
      <c r="BX76" s="17"/>
      <c r="BY76" s="17"/>
      <c r="BZ76" s="17"/>
      <c r="CA76" s="17"/>
      <c r="CB76" s="17"/>
      <c r="CC76" s="17"/>
      <c r="CD76" s="17"/>
      <c r="CE76" s="17"/>
      <c r="CF76" s="17"/>
      <c r="CG76" s="7">
        <v>26</v>
      </c>
      <c r="CH76" s="7"/>
      <c r="CI76" s="7">
        <v>95</v>
      </c>
      <c r="CJ76" s="7">
        <v>72</v>
      </c>
      <c r="CK76" s="7" t="s">
        <v>4827</v>
      </c>
      <c r="CL76" s="7" t="s">
        <v>1210</v>
      </c>
      <c r="CM76" s="7" t="s">
        <v>3914</v>
      </c>
      <c r="CN76" s="17">
        <v>0</v>
      </c>
      <c r="CO76" s="17">
        <v>1</v>
      </c>
      <c r="CP76" s="17">
        <v>0</v>
      </c>
      <c r="CQ76" s="17">
        <v>0</v>
      </c>
      <c r="CR76" s="7" t="s">
        <v>4846</v>
      </c>
      <c r="CS76" s="33" t="s">
        <v>5477</v>
      </c>
      <c r="CT76" s="64"/>
      <c r="CU76" s="7" t="s">
        <v>4847</v>
      </c>
      <c r="CV76" s="7"/>
      <c r="CW76" s="7"/>
      <c r="CX76" s="7" t="s">
        <v>4676</v>
      </c>
      <c r="CY76" s="17">
        <v>1</v>
      </c>
      <c r="CZ76" s="7" t="s">
        <v>4765</v>
      </c>
      <c r="DA76" s="8"/>
    </row>
    <row r="77" spans="1:105" customFormat="1">
      <c r="A77" s="35">
        <v>1478</v>
      </c>
      <c r="B77" s="36">
        <v>44988</v>
      </c>
      <c r="C77" s="11" t="s">
        <v>4277</v>
      </c>
      <c r="D77" s="36">
        <v>19610</v>
      </c>
      <c r="E77" s="44">
        <f ca="1">_xlfn.DAYS(NOW(),Tabella2[[#This Row],[Data Nascita]])/365.25</f>
        <v>71.904175222450377</v>
      </c>
      <c r="F77" s="37" t="s">
        <v>4278</v>
      </c>
      <c r="G77" s="37" t="s">
        <v>4848</v>
      </c>
      <c r="H77" s="37" t="s">
        <v>1276</v>
      </c>
      <c r="I77" s="37" t="s">
        <v>2238</v>
      </c>
      <c r="J77" s="37" t="s">
        <v>4849</v>
      </c>
      <c r="K77" s="37"/>
      <c r="L77" s="37"/>
      <c r="M77" s="37"/>
      <c r="N77" s="37"/>
      <c r="O77" s="47" t="s">
        <v>5412</v>
      </c>
      <c r="P77" s="47">
        <v>0</v>
      </c>
      <c r="Q77" s="37"/>
      <c r="R77" s="37"/>
      <c r="S77" s="37"/>
      <c r="T77" s="37" t="s">
        <v>4850</v>
      </c>
      <c r="U77" s="46">
        <f>IF(ISERROR(SEARCH("null",Tabella2[[#This Row],[Patologia respiratoria nota]],1)),0,1)</f>
        <v>0</v>
      </c>
      <c r="V77" s="47">
        <f>IF(ISERROR(SEARCH("MUTA",Tabella2[[#This Row],[Patologia respiratoria nota]],1)),0,1)</f>
        <v>0</v>
      </c>
      <c r="W77" s="46">
        <f>IF(ISERROR(SEARCH("OSAS",Tabella2[[#This Row],[Patologia respiratoria nota]],1)),0,1)</f>
        <v>1</v>
      </c>
      <c r="X77" s="47">
        <f>IF(ISERROR(SEARCH("BPCO",Tabella2[[#This Row],[Patologia respiratoria nota]],1)),0,1)</f>
        <v>0</v>
      </c>
      <c r="Y77" s="47">
        <f>IF(ISERROR(SEARCH("ASMA",Tabella2[[#This Row],[Patologia respiratoria nota]],1)),0,1)</f>
        <v>0</v>
      </c>
      <c r="Z77" s="47">
        <f>IF(ISERROR(SEARCH("ASMA, OSAS",Tabella2[[#This Row],[Patologia respiratoria nota]],1)),0,1)</f>
        <v>0</v>
      </c>
      <c r="AA77" s="47">
        <f>IF(ISERROR(SEARCH("BPCO, OSAS",Tabella2[[#This Row],[Patologia respiratoria nota]],1)),0,1)</f>
        <v>0</v>
      </c>
      <c r="AB77" s="47">
        <f>IF(ISERROR(SEARCH("ASMA, BPCO, OSAS",Tabella2[[#This Row],[Patologia respiratoria nota]],1)),0,1)</f>
        <v>0</v>
      </c>
      <c r="AC77" s="41" t="s">
        <v>657</v>
      </c>
      <c r="AD77" s="48">
        <f>IF(ISERROR(SEARCH("NDD",Tabella2[[#This Row],[Tosse]],1)),0,1)</f>
        <v>0</v>
      </c>
      <c r="AE77" s="48">
        <f>IF(ISERROR(SEARCH("NEGA",Tabella2[[#This Row],[Tosse]],1)),0,1)</f>
        <v>1</v>
      </c>
      <c r="AF77" s="48">
        <f>IF(ISERROR(SEARCH("OCCASIONALMENTE",Tabella2[[#This Row],[Tosse]],1)),0,1)</f>
        <v>0</v>
      </c>
      <c r="AG77" s="48">
        <f>IF(ISERROR(SEARCH("RARAMENTE",Tabella2[[#This Row],[Tosse]],1)),0,1)</f>
        <v>0</v>
      </c>
      <c r="AH77" s="48">
        <f>IF(ISERROR(SEARCH("SI",Tabella2[[#This Row],[Tosse]],1)),0,1)</f>
        <v>0</v>
      </c>
      <c r="AI77" s="37" t="s">
        <v>657</v>
      </c>
      <c r="AJ77" s="46">
        <f>IF(ISERROR(SEARCH("SI",Tabella2[[#This Row],[Espettorazione]],1)),0,1)</f>
        <v>0</v>
      </c>
      <c r="AK77" s="46">
        <f>IF(ISERROR(SEARCH("NEGA",Tabella2[[#This Row],[Espettorazione]],1)),0,1)</f>
        <v>1</v>
      </c>
      <c r="AL77" s="46">
        <f>IF(ISERROR(SEARCH("NDD",Tabella2[[#This Row],[Espettorazione]],1)),0,1)</f>
        <v>0</v>
      </c>
      <c r="AM77" s="37" t="s">
        <v>28</v>
      </c>
      <c r="AN77" s="47">
        <v>1</v>
      </c>
      <c r="AO77" s="37" t="s">
        <v>28</v>
      </c>
      <c r="AP77" s="47">
        <f>IF(ISERROR(SEARCH("NEGA",Tabella2[[#This Row],[Dispnea da sforzo]],1)),0,1)</f>
        <v>0</v>
      </c>
      <c r="AQ77" s="47">
        <f>IF(ISERROR(SEARCH("NEGA",Tabella2[[#This Row],[Dispnea da sforzo]],1)),1,0)</f>
        <v>1</v>
      </c>
      <c r="AR77" s="47">
        <f>IF(ISERROR(SEARCH("LIEVI",Tabella2[[#This Row],[Dispnea da sforzo]],1)),0,1)</f>
        <v>0</v>
      </c>
      <c r="AS77" s="47">
        <f>IF(ISERROR(SEARCH("MODERATI",Tabella2[[#This Row],[Dispnea da sforzo]],1)),0,1)</f>
        <v>0</v>
      </c>
      <c r="AT77" s="47">
        <f>IF(ISERROR(SEARCH("INTENSI",Tabella2[[#This Row],[Dispnea da sforzo]],1)),0,1)</f>
        <v>0</v>
      </c>
      <c r="AU77" s="37" t="s">
        <v>28</v>
      </c>
      <c r="AV77" s="46">
        <f>IF(ISERROR(SEARCH("NEGA",Tabella2[[#This Row],[Dispnea a riposo]],1)),0,1)</f>
        <v>0</v>
      </c>
      <c r="AW77" s="46">
        <f>IF(ISERROR(SEARCH("NDD",Tabella2[[#This Row],[Dispnea a riposo]],1)),0,1)</f>
        <v>0</v>
      </c>
      <c r="AX77" s="37" t="s">
        <v>4851</v>
      </c>
      <c r="AY77" s="46">
        <v>1</v>
      </c>
      <c r="AZ77" s="37" t="s">
        <v>28</v>
      </c>
      <c r="BA77" s="17">
        <v>1</v>
      </c>
      <c r="BB77" s="7" t="s">
        <v>657</v>
      </c>
      <c r="BC77" s="17">
        <v>0</v>
      </c>
      <c r="BD77" s="37" t="s">
        <v>657</v>
      </c>
      <c r="BE77" s="18">
        <v>0</v>
      </c>
      <c r="BF77" s="37" t="s">
        <v>28</v>
      </c>
      <c r="BG77" s="17">
        <v>1</v>
      </c>
      <c r="BH77" s="37" t="s">
        <v>28</v>
      </c>
      <c r="BI77" s="18">
        <v>1</v>
      </c>
      <c r="BJ77" s="37">
        <v>18</v>
      </c>
      <c r="BK77" s="11" t="s">
        <v>7665</v>
      </c>
      <c r="BL77" s="18"/>
      <c r="BM77" s="18"/>
      <c r="BN77" s="18"/>
      <c r="BO77" s="18"/>
      <c r="BP77" s="18">
        <v>1</v>
      </c>
      <c r="BQ77" s="18"/>
      <c r="BR77" s="18"/>
      <c r="BS77" s="18"/>
      <c r="BT77" s="18"/>
      <c r="BU77" s="18"/>
      <c r="BV77" s="18"/>
      <c r="BW77" s="18"/>
      <c r="BX77" s="18"/>
      <c r="BY77" s="18"/>
      <c r="BZ77" s="18">
        <v>1</v>
      </c>
      <c r="CA77" s="18"/>
      <c r="CB77" s="18"/>
      <c r="CC77" s="18"/>
      <c r="CD77" s="18"/>
      <c r="CE77" s="18"/>
      <c r="CF77" s="18"/>
      <c r="CG77" s="37">
        <v>32</v>
      </c>
      <c r="CH77" s="37"/>
      <c r="CI77" s="37">
        <v>97</v>
      </c>
      <c r="CJ77" s="37">
        <v>95</v>
      </c>
      <c r="CK77" s="37"/>
      <c r="CL77" s="37"/>
      <c r="CM77" s="37" t="s">
        <v>3914</v>
      </c>
      <c r="CN77" s="17">
        <v>0</v>
      </c>
      <c r="CO77" s="17">
        <v>1</v>
      </c>
      <c r="CP77" s="17">
        <v>0</v>
      </c>
      <c r="CQ77" s="17">
        <v>0</v>
      </c>
      <c r="CR77" s="37" t="s">
        <v>4549</v>
      </c>
      <c r="CS77" s="37" t="s">
        <v>4298</v>
      </c>
      <c r="CT77" s="63">
        <v>1</v>
      </c>
      <c r="CU77" s="37" t="s">
        <v>4852</v>
      </c>
      <c r="CV77" s="37"/>
      <c r="CW77" s="37"/>
      <c r="CX77" s="37" t="s">
        <v>28</v>
      </c>
      <c r="CY77" s="17">
        <v>1</v>
      </c>
      <c r="CZ77" s="37" t="s">
        <v>28</v>
      </c>
      <c r="DA77" s="38"/>
    </row>
    <row r="78" spans="1:105" customFormat="1" ht="42.75">
      <c r="A78" s="31">
        <v>1525</v>
      </c>
      <c r="B78" s="32">
        <v>45014</v>
      </c>
      <c r="C78" s="7" t="s">
        <v>4169</v>
      </c>
      <c r="D78" s="32">
        <v>19676</v>
      </c>
      <c r="E78" s="43">
        <f ca="1">_xlfn.DAYS(NOW(),Tabella2[[#This Row],[Data Nascita]])/365.25</f>
        <v>71.723477070499655</v>
      </c>
      <c r="F78" s="33" t="s">
        <v>4020</v>
      </c>
      <c r="G78" s="33" t="s">
        <v>4853</v>
      </c>
      <c r="H78" s="33" t="s">
        <v>4555</v>
      </c>
      <c r="I78" s="33" t="s">
        <v>3948</v>
      </c>
      <c r="J78" s="33" t="s">
        <v>4854</v>
      </c>
      <c r="K78" s="33"/>
      <c r="L78" s="33"/>
      <c r="M78" s="33"/>
      <c r="N78" s="33" t="s">
        <v>8</v>
      </c>
      <c r="O78" s="47">
        <v>0</v>
      </c>
      <c r="P78" s="47">
        <v>1</v>
      </c>
      <c r="Q78" s="33" t="s">
        <v>8</v>
      </c>
      <c r="R78" s="33" t="s">
        <v>8</v>
      </c>
      <c r="S78" s="33" t="s">
        <v>4855</v>
      </c>
      <c r="T78" s="33" t="s">
        <v>4856</v>
      </c>
      <c r="U78" s="47">
        <f>IF(ISERROR(SEARCH("null",Tabella2[[#This Row],[Patologia respiratoria nota]],1)),0,1)</f>
        <v>0</v>
      </c>
      <c r="V78" s="47">
        <f>IF(ISERROR(SEARCH("MUTA",Tabella2[[#This Row],[Patologia respiratoria nota]],1)),0,1)</f>
        <v>0</v>
      </c>
      <c r="W78" s="47">
        <f>IF(ISERROR(SEARCH("OSAS",Tabella2[[#This Row],[Patologia respiratoria nota]],1)),0,1)</f>
        <v>1</v>
      </c>
      <c r="X78" s="47">
        <f>IF(ISERROR(SEARCH("BPCO",Tabella2[[#This Row],[Patologia respiratoria nota]],1)),0,1)</f>
        <v>0</v>
      </c>
      <c r="Y78" s="47">
        <f>IF(ISERROR(SEARCH("ASMA",Tabella2[[#This Row],[Patologia respiratoria nota]],1)),0,1)</f>
        <v>0</v>
      </c>
      <c r="Z78" s="47">
        <f>IF(ISERROR(SEARCH("ASMA, OSAS",Tabella2[[#This Row],[Patologia respiratoria nota]],1)),0,1)</f>
        <v>0</v>
      </c>
      <c r="AA78" s="47">
        <f>IF(ISERROR(SEARCH("BPCO, OSAS",Tabella2[[#This Row],[Patologia respiratoria nota]],1)),0,1)</f>
        <v>0</v>
      </c>
      <c r="AB78" s="47">
        <f>IF(ISERROR(SEARCH("ASMA, BPCO, OSAS",Tabella2[[#This Row],[Patologia respiratoria nota]],1)),0,1)</f>
        <v>0</v>
      </c>
      <c r="AC78" s="33" t="s">
        <v>5473</v>
      </c>
      <c r="AD78" s="47">
        <f>IF(ISERROR(SEARCH("NDD",Tabella2[[#This Row],[Tosse]],1)),0,1)</f>
        <v>0</v>
      </c>
      <c r="AE78" s="47">
        <f>IF(ISERROR(SEARCH("NEGA",Tabella2[[#This Row],[Tosse]],1)),0,1)</f>
        <v>0</v>
      </c>
      <c r="AF78" s="47">
        <f>IF(ISERROR(SEARCH("OCCASIONALMENTE",Tabella2[[#This Row],[Tosse]],1)),0,1)</f>
        <v>0</v>
      </c>
      <c r="AG78" s="47">
        <f>IF(ISERROR(SEARCH("RARAMENTE",Tabella2[[#This Row],[Tosse]],1)),0,1)</f>
        <v>1</v>
      </c>
      <c r="AH78" s="17">
        <v>1</v>
      </c>
      <c r="AI78" s="33" t="s">
        <v>657</v>
      </c>
      <c r="AJ78" s="47">
        <f>IF(ISERROR(SEARCH("SI",Tabella2[[#This Row],[Espettorazione]],1)),0,1)</f>
        <v>0</v>
      </c>
      <c r="AK78" s="47">
        <f>IF(ISERROR(SEARCH("NEGA",Tabella2[[#This Row],[Espettorazione]],1)),0,1)</f>
        <v>1</v>
      </c>
      <c r="AL78" s="47">
        <f>IF(ISERROR(SEARCH("NDD",Tabella2[[#This Row],[Espettorazione]],1)),0,1)</f>
        <v>0</v>
      </c>
      <c r="AM78" s="33" t="s">
        <v>657</v>
      </c>
      <c r="AN78" s="47">
        <v>0</v>
      </c>
      <c r="AO78" s="33" t="s">
        <v>5569</v>
      </c>
      <c r="AP78" s="47">
        <f>IF(ISERROR(SEARCH("NEGA",Tabella2[[#This Row],[Dispnea da sforzo]],1)),0,1)</f>
        <v>0</v>
      </c>
      <c r="AQ78" s="47">
        <f>IF(ISERROR(SEARCH("NEGA",Tabella2[[#This Row],[Dispnea da sforzo]],1)),1,0)</f>
        <v>1</v>
      </c>
      <c r="AR78" s="47">
        <f>IF(ISERROR(SEARCH("LIEVI",Tabella2[[#This Row],[Dispnea da sforzo]],1)),0,1)</f>
        <v>0</v>
      </c>
      <c r="AS78" s="47">
        <f>IF(ISERROR(SEARCH("MODERATI",Tabella2[[#This Row],[Dispnea da sforzo]],1)),0,1)</f>
        <v>1</v>
      </c>
      <c r="AT78" s="47">
        <f>IF(ISERROR(SEARCH("INTENSI",Tabella2[[#This Row],[Dispnea da sforzo]],1)),0,1)</f>
        <v>1</v>
      </c>
      <c r="AU78" s="33" t="s">
        <v>657</v>
      </c>
      <c r="AV78" s="47">
        <f>IF(ISERROR(SEARCH("NEGA",Tabella2[[#This Row],[Dispnea a riposo]],1)),0,1)</f>
        <v>1</v>
      </c>
      <c r="AW78" s="47">
        <f>IF(ISERROR(SEARCH("NDD",Tabella2[[#This Row],[Dispnea a riposo]],1)),0,1)</f>
        <v>0</v>
      </c>
      <c r="AX78" s="33" t="s">
        <v>4857</v>
      </c>
      <c r="AY78" s="46">
        <v>1</v>
      </c>
      <c r="AZ78" s="33" t="s">
        <v>4858</v>
      </c>
      <c r="BA78" s="17">
        <v>1</v>
      </c>
      <c r="BB78" s="33" t="s">
        <v>4859</v>
      </c>
      <c r="BC78" s="17">
        <v>1</v>
      </c>
      <c r="BD78" s="33" t="s">
        <v>47</v>
      </c>
      <c r="BE78" s="17">
        <v>1</v>
      </c>
      <c r="BF78" s="33" t="s">
        <v>4860</v>
      </c>
      <c r="BG78" s="17">
        <v>1</v>
      </c>
      <c r="BH78" s="33" t="s">
        <v>5592</v>
      </c>
      <c r="BI78" s="17">
        <v>0</v>
      </c>
      <c r="BJ78" s="33">
        <v>15</v>
      </c>
      <c r="BK78" s="33" t="s">
        <v>4861</v>
      </c>
      <c r="BL78" s="47"/>
      <c r="BM78" s="47"/>
      <c r="BN78" s="47"/>
      <c r="BO78" s="47"/>
      <c r="BP78" s="47">
        <v>1</v>
      </c>
      <c r="BQ78" s="47">
        <v>1</v>
      </c>
      <c r="BR78" s="47"/>
      <c r="BS78" s="47"/>
      <c r="BT78" s="47"/>
      <c r="BU78" s="47"/>
      <c r="BV78" s="47">
        <v>1</v>
      </c>
      <c r="BW78" s="47"/>
      <c r="BX78" s="47"/>
      <c r="BY78" s="47"/>
      <c r="BZ78" s="47"/>
      <c r="CA78" s="47"/>
      <c r="CB78" s="47"/>
      <c r="CC78" s="47"/>
      <c r="CD78" s="47"/>
      <c r="CE78" s="47"/>
      <c r="CF78" s="47"/>
      <c r="CG78" s="33">
        <v>41</v>
      </c>
      <c r="CH78" s="33"/>
      <c r="CI78" s="33">
        <v>97</v>
      </c>
      <c r="CJ78" s="33">
        <v>59</v>
      </c>
      <c r="CK78" s="33" t="s">
        <v>2158</v>
      </c>
      <c r="CL78" s="33"/>
      <c r="CM78" s="33" t="s">
        <v>3914</v>
      </c>
      <c r="CN78" s="17">
        <v>0</v>
      </c>
      <c r="CO78" s="17">
        <v>1</v>
      </c>
      <c r="CP78" s="17">
        <v>0</v>
      </c>
      <c r="CQ78" s="17">
        <v>0</v>
      </c>
      <c r="CR78" s="33" t="s">
        <v>4549</v>
      </c>
      <c r="CS78" s="33" t="s">
        <v>4862</v>
      </c>
      <c r="CT78" s="66">
        <v>0.86199999999999999</v>
      </c>
      <c r="CU78" s="33" t="s">
        <v>4863</v>
      </c>
      <c r="CV78" s="33"/>
      <c r="CW78" s="33"/>
      <c r="CX78" s="33" t="s">
        <v>461</v>
      </c>
      <c r="CY78" s="17">
        <v>1</v>
      </c>
      <c r="CZ78" s="33" t="s">
        <v>4864</v>
      </c>
      <c r="DA78" s="34"/>
    </row>
    <row r="79" spans="1:105" customFormat="1" ht="71.25">
      <c r="A79" s="35">
        <v>1590</v>
      </c>
      <c r="B79" s="36">
        <v>45054</v>
      </c>
      <c r="C79" s="11" t="s">
        <v>4865</v>
      </c>
      <c r="D79" s="36">
        <v>12401</v>
      </c>
      <c r="E79" s="44">
        <f ca="1">_xlfn.DAYS(NOW(),Tabella2[[#This Row],[Data Nascita]])/365.25</f>
        <v>91.641341546885698</v>
      </c>
      <c r="F79" s="37" t="s">
        <v>4866</v>
      </c>
      <c r="G79" s="37" t="s">
        <v>4867</v>
      </c>
      <c r="H79" s="37" t="s">
        <v>4868</v>
      </c>
      <c r="I79" s="37" t="s">
        <v>4869</v>
      </c>
      <c r="J79" s="37" t="s">
        <v>4870</v>
      </c>
      <c r="K79" s="37"/>
      <c r="L79" s="37"/>
      <c r="M79" s="37"/>
      <c r="N79" s="37" t="s">
        <v>8</v>
      </c>
      <c r="O79" s="47">
        <v>0</v>
      </c>
      <c r="P79" s="47">
        <v>1</v>
      </c>
      <c r="Q79" s="37" t="s">
        <v>8</v>
      </c>
      <c r="R79" s="37" t="s">
        <v>8</v>
      </c>
      <c r="S79" s="37" t="s">
        <v>4871</v>
      </c>
      <c r="T79" s="37" t="s">
        <v>1063</v>
      </c>
      <c r="U79" s="46">
        <f>IF(ISERROR(SEARCH("null",Tabella2[[#This Row],[Patologia respiratoria nota]],1)),0,1)</f>
        <v>0</v>
      </c>
      <c r="V79" s="47">
        <f>IF(ISERROR(SEARCH("MUTA",Tabella2[[#This Row],[Patologia respiratoria nota]],1)),0,1)</f>
        <v>0</v>
      </c>
      <c r="W79" s="46">
        <f>IF(ISERROR(SEARCH("OSAS",Tabella2[[#This Row],[Patologia respiratoria nota]],1)),0,1)</f>
        <v>0</v>
      </c>
      <c r="X79" s="47">
        <f>IF(ISERROR(SEARCH("BPCO",Tabella2[[#This Row],[Patologia respiratoria nota]],1)),0,1)</f>
        <v>1</v>
      </c>
      <c r="Y79" s="47">
        <f>IF(ISERROR(SEARCH("ASMA",Tabella2[[#This Row],[Patologia respiratoria nota]],1)),0,1)</f>
        <v>0</v>
      </c>
      <c r="Z79" s="47">
        <f>IF(ISERROR(SEARCH("ASMA, OSAS",Tabella2[[#This Row],[Patologia respiratoria nota]],1)),0,1)</f>
        <v>0</v>
      </c>
      <c r="AA79" s="47">
        <f>IF(ISERROR(SEARCH("BPCO, OSAS",Tabella2[[#This Row],[Patologia respiratoria nota]],1)),0,1)</f>
        <v>0</v>
      </c>
      <c r="AB79" s="47">
        <f>IF(ISERROR(SEARCH("ASMA, BPCO, OSAS",Tabella2[[#This Row],[Patologia respiratoria nota]],1)),0,1)</f>
        <v>0</v>
      </c>
      <c r="AC79" s="41" t="s">
        <v>657</v>
      </c>
      <c r="AD79" s="48">
        <f>IF(ISERROR(SEARCH("NDD",Tabella2[[#This Row],[Tosse]],1)),0,1)</f>
        <v>0</v>
      </c>
      <c r="AE79" s="48">
        <f>IF(ISERROR(SEARCH("NEGA",Tabella2[[#This Row],[Tosse]],1)),0,1)</f>
        <v>1</v>
      </c>
      <c r="AF79" s="48">
        <f>IF(ISERROR(SEARCH("OCCASIONALMENTE",Tabella2[[#This Row],[Tosse]],1)),0,1)</f>
        <v>0</v>
      </c>
      <c r="AG79" s="48">
        <f>IF(ISERROR(SEARCH("RARAMENTE",Tabella2[[#This Row],[Tosse]],1)),0,1)</f>
        <v>0</v>
      </c>
      <c r="AH79" s="48">
        <f>IF(ISERROR(SEARCH("SI",Tabella2[[#This Row],[Tosse]],1)),0,1)</f>
        <v>0</v>
      </c>
      <c r="AI79" s="37" t="s">
        <v>657</v>
      </c>
      <c r="AJ79" s="46">
        <f>IF(ISERROR(SEARCH("SI",Tabella2[[#This Row],[Espettorazione]],1)),0,1)</f>
        <v>0</v>
      </c>
      <c r="AK79" s="46">
        <f>IF(ISERROR(SEARCH("NEGA",Tabella2[[#This Row],[Espettorazione]],1)),0,1)</f>
        <v>1</v>
      </c>
      <c r="AL79" s="46">
        <f>IF(ISERROR(SEARCH("NDD",Tabella2[[#This Row],[Espettorazione]],1)),0,1)</f>
        <v>0</v>
      </c>
      <c r="AM79" s="37" t="s">
        <v>657</v>
      </c>
      <c r="AN79" s="47">
        <v>0</v>
      </c>
      <c r="AO79" s="37" t="s">
        <v>5557</v>
      </c>
      <c r="AP79" s="47">
        <f>IF(ISERROR(SEARCH("NEGA",Tabella2[[#This Row],[Dispnea da sforzo]],1)),0,1)</f>
        <v>0</v>
      </c>
      <c r="AQ79" s="47">
        <f>IF(ISERROR(SEARCH("NEGA",Tabella2[[#This Row],[Dispnea da sforzo]],1)),1,0)</f>
        <v>1</v>
      </c>
      <c r="AR79" s="47">
        <f>IF(ISERROR(SEARCH("LIEVI",Tabella2[[#This Row],[Dispnea da sforzo]],1)),0,1)</f>
        <v>0</v>
      </c>
      <c r="AS79" s="47">
        <f>IF(ISERROR(SEARCH("MODERATI",Tabella2[[#This Row],[Dispnea da sforzo]],1)),0,1)</f>
        <v>1</v>
      </c>
      <c r="AT79" s="47">
        <f>IF(ISERROR(SEARCH("INTENSI",Tabella2[[#This Row],[Dispnea da sforzo]],1)),0,1)</f>
        <v>0</v>
      </c>
      <c r="AU79" s="37" t="s">
        <v>657</v>
      </c>
      <c r="AV79" s="46">
        <f>IF(ISERROR(SEARCH("NEGA",Tabella2[[#This Row],[Dispnea a riposo]],1)),0,1)</f>
        <v>1</v>
      </c>
      <c r="AW79" s="46">
        <f>IF(ISERROR(SEARCH("NDD",Tabella2[[#This Row],[Dispnea a riposo]],1)),0,1)</f>
        <v>0</v>
      </c>
      <c r="AX79" s="37" t="s">
        <v>1307</v>
      </c>
      <c r="AY79" s="46">
        <v>1</v>
      </c>
      <c r="AZ79" s="37" t="s">
        <v>28</v>
      </c>
      <c r="BA79" s="17">
        <v>1</v>
      </c>
      <c r="BB79" s="37" t="s">
        <v>28</v>
      </c>
      <c r="BC79" s="17">
        <v>1</v>
      </c>
      <c r="BD79" s="37" t="s">
        <v>28</v>
      </c>
      <c r="BE79" s="17">
        <v>1</v>
      </c>
      <c r="BF79" s="37" t="s">
        <v>28</v>
      </c>
      <c r="BG79" s="17">
        <v>1</v>
      </c>
      <c r="BH79" s="37" t="s">
        <v>26</v>
      </c>
      <c r="BI79" s="18">
        <v>1</v>
      </c>
      <c r="BJ79" s="37">
        <v>12</v>
      </c>
      <c r="BK79" s="37" t="s">
        <v>7672</v>
      </c>
      <c r="BL79" s="46"/>
      <c r="BM79" s="46"/>
      <c r="BN79" s="46"/>
      <c r="BO79" s="46"/>
      <c r="BP79" s="46">
        <v>1</v>
      </c>
      <c r="BQ79" s="46">
        <v>1</v>
      </c>
      <c r="BR79" s="46"/>
      <c r="BS79" s="46"/>
      <c r="BT79" s="46"/>
      <c r="BU79" s="46">
        <v>1</v>
      </c>
      <c r="BV79" s="46"/>
      <c r="BW79" s="46"/>
      <c r="BX79" s="46"/>
      <c r="BY79" s="46"/>
      <c r="BZ79" s="46">
        <v>1</v>
      </c>
      <c r="CA79" s="46"/>
      <c r="CB79" s="46">
        <v>1</v>
      </c>
      <c r="CC79" s="46"/>
      <c r="CD79" s="46"/>
      <c r="CE79" s="46"/>
      <c r="CF79" s="46">
        <v>1</v>
      </c>
      <c r="CG79" s="37">
        <v>30</v>
      </c>
      <c r="CH79" s="37"/>
      <c r="CI79" s="37">
        <v>93</v>
      </c>
      <c r="CJ79" s="37">
        <v>83</v>
      </c>
      <c r="CK79" s="37" t="s">
        <v>4872</v>
      </c>
      <c r="CL79" s="37" t="s">
        <v>4873</v>
      </c>
      <c r="CM79" s="37" t="s">
        <v>3914</v>
      </c>
      <c r="CN79" s="17">
        <v>0</v>
      </c>
      <c r="CO79" s="17">
        <v>1</v>
      </c>
      <c r="CP79" s="17">
        <v>0</v>
      </c>
      <c r="CQ79" s="17">
        <v>0</v>
      </c>
      <c r="CR79" s="37" t="s">
        <v>4549</v>
      </c>
      <c r="CS79" s="37" t="s">
        <v>355</v>
      </c>
      <c r="CT79" s="63">
        <v>0.99</v>
      </c>
      <c r="CU79" s="37" t="s">
        <v>4874</v>
      </c>
      <c r="CV79" s="37"/>
      <c r="CW79" s="37"/>
      <c r="CX79" s="37" t="s">
        <v>47</v>
      </c>
      <c r="CY79" s="17">
        <v>1</v>
      </c>
      <c r="CZ79" s="37" t="s">
        <v>4683</v>
      </c>
      <c r="DA79" s="38" t="s">
        <v>4875</v>
      </c>
    </row>
    <row r="80" spans="1:105" s="54" customFormat="1" ht="71.25">
      <c r="A80" s="5">
        <v>1626</v>
      </c>
      <c r="B80" s="6">
        <v>45070</v>
      </c>
      <c r="C80" s="7" t="s">
        <v>4876</v>
      </c>
      <c r="D80" s="6">
        <v>25528</v>
      </c>
      <c r="E80" s="51">
        <f ca="1">_xlfn.DAYS(NOW(),Tabella2[[#This Row],[Data Nascita]])/365.25</f>
        <v>55.701574264202598</v>
      </c>
      <c r="F80" s="7" t="s">
        <v>4877</v>
      </c>
      <c r="G80" s="7" t="s">
        <v>4878</v>
      </c>
      <c r="H80" s="7" t="s">
        <v>4879</v>
      </c>
      <c r="I80" s="7" t="s">
        <v>4736</v>
      </c>
      <c r="J80" s="7" t="s">
        <v>4880</v>
      </c>
      <c r="K80" s="7"/>
      <c r="L80" s="7"/>
      <c r="M80" s="7"/>
      <c r="N80" s="7" t="s">
        <v>4881</v>
      </c>
      <c r="O80" s="18">
        <v>1</v>
      </c>
      <c r="P80" s="17">
        <v>1</v>
      </c>
      <c r="Q80" s="7" t="s">
        <v>8</v>
      </c>
      <c r="R80" s="7" t="s">
        <v>8</v>
      </c>
      <c r="S80" s="7"/>
      <c r="T80" s="7" t="s">
        <v>1116</v>
      </c>
      <c r="U80" s="17">
        <f>IF(ISERROR(SEARCH("null",Tabella2[[#This Row],[Patologia respiratoria nota]],1)),0,1)</f>
        <v>0</v>
      </c>
      <c r="V80" s="17">
        <f>IF(ISERROR(SEARCH("MUTA",Tabella2[[#This Row],[Patologia respiratoria nota]],1)),0,1)</f>
        <v>0</v>
      </c>
      <c r="W80" s="17">
        <f>IF(ISERROR(SEARCH("OSAS",Tabella2[[#This Row],[Patologia respiratoria nota]],1)),0,1)</f>
        <v>0</v>
      </c>
      <c r="X80" s="17">
        <f>IF(ISERROR(SEARCH("BPCO",Tabella2[[#This Row],[Patologia respiratoria nota]],1)),0,1)</f>
        <v>0</v>
      </c>
      <c r="Y80" s="17">
        <f>IF(ISERROR(SEARCH("ASMA",Tabella2[[#This Row],[Patologia respiratoria nota]],1)),0,1)</f>
        <v>0</v>
      </c>
      <c r="Z80" s="17">
        <f>IF(ISERROR(SEARCH("ASMA, OSAS",Tabella2[[#This Row],[Patologia respiratoria nota]],1)),0,1)</f>
        <v>0</v>
      </c>
      <c r="AA80" s="17">
        <f>IF(ISERROR(SEARCH("BPCO, OSAS",Tabella2[[#This Row],[Patologia respiratoria nota]],1)),0,1)</f>
        <v>0</v>
      </c>
      <c r="AB80" s="17">
        <f>IF(ISERROR(SEARCH("ASMA, BPCO, OSAS",Tabella2[[#This Row],[Patologia respiratoria nota]],1)),0,1)</f>
        <v>0</v>
      </c>
      <c r="AC80" s="15" t="s">
        <v>657</v>
      </c>
      <c r="AD80" s="19">
        <f>IF(ISERROR(SEARCH("NDD",Tabella2[[#This Row],[Tosse]],1)),0,1)</f>
        <v>0</v>
      </c>
      <c r="AE80" s="19">
        <f>IF(ISERROR(SEARCH("NEGA",Tabella2[[#This Row],[Tosse]],1)),0,1)</f>
        <v>1</v>
      </c>
      <c r="AF80" s="19">
        <f>IF(ISERROR(SEARCH("OCCASIONALMENTE",Tabella2[[#This Row],[Tosse]],1)),0,1)</f>
        <v>0</v>
      </c>
      <c r="AG80" s="19">
        <f>IF(ISERROR(SEARCH("RARAMENTE",Tabella2[[#This Row],[Tosse]],1)),0,1)</f>
        <v>0</v>
      </c>
      <c r="AH80" s="19">
        <f>IF(ISERROR(SEARCH("SI",Tabella2[[#This Row],[Tosse]],1)),0,1)</f>
        <v>0</v>
      </c>
      <c r="AI80" s="7" t="s">
        <v>657</v>
      </c>
      <c r="AJ80" s="17">
        <f>IF(ISERROR(SEARCH("SI",Tabella2[[#This Row],[Espettorazione]],1)),0,1)</f>
        <v>0</v>
      </c>
      <c r="AK80" s="17">
        <f>IF(ISERROR(SEARCH("NEGA",Tabella2[[#This Row],[Espettorazione]],1)),0,1)</f>
        <v>1</v>
      </c>
      <c r="AL80" s="17">
        <f>IF(ISERROR(SEARCH("NDD",Tabella2[[#This Row],[Espettorazione]],1)),0,1)</f>
        <v>0</v>
      </c>
      <c r="AM80" s="7" t="s">
        <v>657</v>
      </c>
      <c r="AN80" s="17">
        <v>0</v>
      </c>
      <c r="AO80" s="11" t="s">
        <v>657</v>
      </c>
      <c r="AP80" s="17">
        <f>IF(ISERROR(SEARCH("NEGA",Tabella2[[#This Row],[Dispnea da sforzo]],1)),0,1)</f>
        <v>1</v>
      </c>
      <c r="AQ80" s="17">
        <f>IF(ISERROR(SEARCH("NEGA",Tabella2[[#This Row],[Dispnea da sforzo]],1)),1,0)</f>
        <v>0</v>
      </c>
      <c r="AR80" s="17">
        <f>IF(ISERROR(SEARCH("LIEVI",Tabella2[[#This Row],[Dispnea da sforzo]],1)),0,1)</f>
        <v>0</v>
      </c>
      <c r="AS80" s="17">
        <f>IF(ISERROR(SEARCH("MODERATI",Tabella2[[#This Row],[Dispnea da sforzo]],1)),0,1)</f>
        <v>0</v>
      </c>
      <c r="AT80" s="17">
        <f>IF(ISERROR(SEARCH("INTENSI",Tabella2[[#This Row],[Dispnea da sforzo]],1)),0,1)</f>
        <v>0</v>
      </c>
      <c r="AU80" s="7" t="s">
        <v>657</v>
      </c>
      <c r="AV80" s="17">
        <f>IF(ISERROR(SEARCH("NEGA",Tabella2[[#This Row],[Dispnea a riposo]],1)),0,1)</f>
        <v>1</v>
      </c>
      <c r="AW80" s="17">
        <f>IF(ISERROR(SEARCH("NDD",Tabella2[[#This Row],[Dispnea a riposo]],1)),0,1)</f>
        <v>0</v>
      </c>
      <c r="AX80" s="7" t="s">
        <v>28</v>
      </c>
      <c r="AY80" s="18">
        <v>1</v>
      </c>
      <c r="AZ80" s="7" t="s">
        <v>657</v>
      </c>
      <c r="BA80" s="18">
        <v>0</v>
      </c>
      <c r="BB80" s="7" t="s">
        <v>657</v>
      </c>
      <c r="BC80" s="17">
        <v>0</v>
      </c>
      <c r="BD80" s="33" t="s">
        <v>657</v>
      </c>
      <c r="BE80" s="18">
        <v>0</v>
      </c>
      <c r="BF80" s="7" t="s">
        <v>28</v>
      </c>
      <c r="BG80" s="17">
        <v>1</v>
      </c>
      <c r="BH80" s="7" t="s">
        <v>28</v>
      </c>
      <c r="BI80" s="18">
        <v>1</v>
      </c>
      <c r="BJ80" s="7">
        <v>14</v>
      </c>
      <c r="BK80" s="7" t="s">
        <v>7673</v>
      </c>
      <c r="BL80" s="17"/>
      <c r="BM80" s="17"/>
      <c r="BN80" s="17"/>
      <c r="BO80" s="17"/>
      <c r="BP80" s="17">
        <v>1</v>
      </c>
      <c r="BQ80" s="17">
        <v>1</v>
      </c>
      <c r="BR80" s="17"/>
      <c r="BS80" s="17">
        <v>1</v>
      </c>
      <c r="BT80" s="17"/>
      <c r="BU80" s="17"/>
      <c r="BV80" s="17">
        <v>1</v>
      </c>
      <c r="BW80" s="17"/>
      <c r="BX80" s="17"/>
      <c r="BY80" s="17"/>
      <c r="BZ80" s="17">
        <v>1</v>
      </c>
      <c r="CA80" s="17"/>
      <c r="CB80" s="17">
        <v>1</v>
      </c>
      <c r="CC80" s="17"/>
      <c r="CD80" s="17"/>
      <c r="CE80" s="17"/>
      <c r="CF80" s="17"/>
      <c r="CG80" s="7">
        <v>40</v>
      </c>
      <c r="CH80" s="7"/>
      <c r="CI80" s="7">
        <v>97</v>
      </c>
      <c r="CJ80" s="7">
        <v>76</v>
      </c>
      <c r="CK80" s="7" t="s">
        <v>1513</v>
      </c>
      <c r="CL80" s="7"/>
      <c r="CM80" s="7" t="s">
        <v>4273</v>
      </c>
      <c r="CN80" s="17">
        <v>0</v>
      </c>
      <c r="CO80" s="17">
        <v>0</v>
      </c>
      <c r="CP80" s="17">
        <v>0</v>
      </c>
      <c r="CQ80" s="17">
        <v>1</v>
      </c>
      <c r="CR80" s="7" t="s">
        <v>4882</v>
      </c>
      <c r="CS80" s="7" t="s">
        <v>4298</v>
      </c>
      <c r="CT80" s="64">
        <v>1</v>
      </c>
      <c r="CU80" s="7" t="s">
        <v>4883</v>
      </c>
      <c r="CV80" s="7"/>
      <c r="CW80" s="7"/>
      <c r="CX80" s="7" t="s">
        <v>5477</v>
      </c>
      <c r="CY80" s="17">
        <v>0</v>
      </c>
      <c r="CZ80" s="7"/>
      <c r="DA80" s="8"/>
    </row>
    <row r="81" spans="1:105" ht="85.5">
      <c r="A81" s="9">
        <v>1641</v>
      </c>
      <c r="B81" s="10">
        <v>45082</v>
      </c>
      <c r="C81" s="11" t="s">
        <v>4884</v>
      </c>
      <c r="D81" s="10">
        <v>14082</v>
      </c>
      <c r="E81" s="52">
        <f ca="1">_xlfn.DAYS(NOW(),Tabella2[[#This Row],[Data Nascita]])/365.25</f>
        <v>87.039014373716626</v>
      </c>
      <c r="F81" s="11" t="s">
        <v>4885</v>
      </c>
      <c r="G81" s="11" t="s">
        <v>4886</v>
      </c>
      <c r="H81" s="11" t="s">
        <v>4887</v>
      </c>
      <c r="I81" s="11" t="s">
        <v>618</v>
      </c>
      <c r="J81" s="11" t="s">
        <v>4888</v>
      </c>
      <c r="K81" s="11"/>
      <c r="L81" s="11"/>
      <c r="M81" s="11"/>
      <c r="N81" s="11" t="s">
        <v>382</v>
      </c>
      <c r="O81" s="17">
        <v>0</v>
      </c>
      <c r="P81" s="17">
        <v>1</v>
      </c>
      <c r="Q81" s="11"/>
      <c r="R81" s="11"/>
      <c r="S81" s="11" t="s">
        <v>4889</v>
      </c>
      <c r="T81" s="11" t="s">
        <v>1116</v>
      </c>
      <c r="U81" s="18">
        <f>IF(ISERROR(SEARCH("null",Tabella2[[#This Row],[Patologia respiratoria nota]],1)),0,1)</f>
        <v>0</v>
      </c>
      <c r="V81" s="17">
        <f>IF(ISERROR(SEARCH("MUTA",Tabella2[[#This Row],[Patologia respiratoria nota]],1)),0,1)</f>
        <v>0</v>
      </c>
      <c r="W81" s="18">
        <f>IF(ISERROR(SEARCH("OSAS",Tabella2[[#This Row],[Patologia respiratoria nota]],1)),0,1)</f>
        <v>0</v>
      </c>
      <c r="X81" s="17">
        <f>IF(ISERROR(SEARCH("BPCO",Tabella2[[#This Row],[Patologia respiratoria nota]],1)),0,1)</f>
        <v>0</v>
      </c>
      <c r="Y81" s="17">
        <f>IF(ISERROR(SEARCH("ASMA",Tabella2[[#This Row],[Patologia respiratoria nota]],1)),0,1)</f>
        <v>0</v>
      </c>
      <c r="Z81" s="17">
        <f>IF(ISERROR(SEARCH("ASMA, OSAS",Tabella2[[#This Row],[Patologia respiratoria nota]],1)),0,1)</f>
        <v>0</v>
      </c>
      <c r="AA81" s="17">
        <f>IF(ISERROR(SEARCH("BPCO, OSAS",Tabella2[[#This Row],[Patologia respiratoria nota]],1)),0,1)</f>
        <v>0</v>
      </c>
      <c r="AB81" s="17">
        <f>IF(ISERROR(SEARCH("ASMA, BPCO, OSAS",Tabella2[[#This Row],[Patologia respiratoria nota]],1)),0,1)</f>
        <v>0</v>
      </c>
      <c r="AC81" s="15" t="s">
        <v>657</v>
      </c>
      <c r="AD81" s="19">
        <f>IF(ISERROR(SEARCH("NDD",Tabella2[[#This Row],[Tosse]],1)),0,1)</f>
        <v>0</v>
      </c>
      <c r="AE81" s="19">
        <f>IF(ISERROR(SEARCH("NEGA",Tabella2[[#This Row],[Tosse]],1)),0,1)</f>
        <v>1</v>
      </c>
      <c r="AF81" s="19">
        <f>IF(ISERROR(SEARCH("OCCASIONALMENTE",Tabella2[[#This Row],[Tosse]],1)),0,1)</f>
        <v>0</v>
      </c>
      <c r="AG81" s="19">
        <f>IF(ISERROR(SEARCH("RARAMENTE",Tabella2[[#This Row],[Tosse]],1)),0,1)</f>
        <v>0</v>
      </c>
      <c r="AH81" s="19">
        <f>IF(ISERROR(SEARCH("SI",Tabella2[[#This Row],[Tosse]],1)),0,1)</f>
        <v>0</v>
      </c>
      <c r="AI81" s="11" t="s">
        <v>381</v>
      </c>
      <c r="AJ81" s="18">
        <f>IF(ISERROR(SEARCH("SI",Tabella2[[#This Row],[Espettorazione]],1)),0,1)</f>
        <v>1</v>
      </c>
      <c r="AK81" s="17">
        <v>0</v>
      </c>
      <c r="AL81" s="18">
        <f>IF(ISERROR(SEARCH("NDD",Tabella2[[#This Row],[Espettorazione]],1)),0,1)</f>
        <v>0</v>
      </c>
      <c r="AM81" s="11" t="s">
        <v>381</v>
      </c>
      <c r="AN81" s="17">
        <v>1</v>
      </c>
      <c r="AO81" s="11" t="s">
        <v>5558</v>
      </c>
      <c r="AP81" s="17">
        <f>IF(ISERROR(SEARCH("NEGA",Tabella2[[#This Row],[Dispnea da sforzo]],1)),0,1)</f>
        <v>0</v>
      </c>
      <c r="AQ81" s="17">
        <f>IF(ISERROR(SEARCH("NEGA",Tabella2[[#This Row],[Dispnea da sforzo]],1)),1,0)</f>
        <v>1</v>
      </c>
      <c r="AR81" s="17">
        <f>IF(ISERROR(SEARCH("LIEVI",Tabella2[[#This Row],[Dispnea da sforzo]],1)),0,1)</f>
        <v>0</v>
      </c>
      <c r="AS81" s="17">
        <f>IF(ISERROR(SEARCH("MODERATI",Tabella2[[#This Row],[Dispnea da sforzo]],1)),0,1)</f>
        <v>1</v>
      </c>
      <c r="AT81" s="17">
        <f>IF(ISERROR(SEARCH("INTENSI",Tabella2[[#This Row],[Dispnea da sforzo]],1)),0,1)</f>
        <v>0</v>
      </c>
      <c r="AU81" s="11" t="s">
        <v>657</v>
      </c>
      <c r="AV81" s="18">
        <f>IF(ISERROR(SEARCH("NEGA",Tabella2[[#This Row],[Dispnea a riposo]],1)),0,1)</f>
        <v>1</v>
      </c>
      <c r="AW81" s="18">
        <f>IF(ISERROR(SEARCH("NDD",Tabella2[[#This Row],[Dispnea a riposo]],1)),0,1)</f>
        <v>0</v>
      </c>
      <c r="AX81" s="11" t="s">
        <v>657</v>
      </c>
      <c r="AY81" s="17">
        <v>0</v>
      </c>
      <c r="AZ81" s="11" t="s">
        <v>657</v>
      </c>
      <c r="BA81" s="18">
        <v>0</v>
      </c>
      <c r="BB81" s="11" t="s">
        <v>381</v>
      </c>
      <c r="BC81" s="17">
        <v>1</v>
      </c>
      <c r="BD81" s="37" t="s">
        <v>657</v>
      </c>
      <c r="BE81" s="18">
        <v>0</v>
      </c>
      <c r="BF81" s="11" t="s">
        <v>657</v>
      </c>
      <c r="BG81" s="17">
        <v>0</v>
      </c>
      <c r="BH81" s="11" t="s">
        <v>657</v>
      </c>
      <c r="BI81" s="17">
        <v>0</v>
      </c>
      <c r="BJ81" s="11">
        <v>13</v>
      </c>
      <c r="BK81" s="11" t="s">
        <v>7674</v>
      </c>
      <c r="BL81" s="18"/>
      <c r="BM81" s="18"/>
      <c r="BN81" s="18"/>
      <c r="BO81" s="18"/>
      <c r="BP81" s="18">
        <v>1</v>
      </c>
      <c r="BQ81" s="18">
        <v>1</v>
      </c>
      <c r="BR81" s="18"/>
      <c r="BS81" s="18"/>
      <c r="BT81" s="18"/>
      <c r="BU81" s="18"/>
      <c r="BV81" s="18"/>
      <c r="BW81" s="18"/>
      <c r="BX81" s="18"/>
      <c r="BY81" s="18"/>
      <c r="BZ81" s="18">
        <v>1</v>
      </c>
      <c r="CA81" s="18"/>
      <c r="CB81" s="18"/>
      <c r="CC81" s="18"/>
      <c r="CD81" s="18"/>
      <c r="CE81" s="18"/>
      <c r="CF81" s="18"/>
      <c r="CG81" s="11">
        <v>27</v>
      </c>
      <c r="CH81" s="11"/>
      <c r="CI81" s="11">
        <v>96</v>
      </c>
      <c r="CJ81" s="11">
        <v>60</v>
      </c>
      <c r="CK81" s="11"/>
      <c r="CL81" s="11"/>
      <c r="CM81" s="33" t="s">
        <v>5477</v>
      </c>
      <c r="CN81" s="47">
        <v>1</v>
      </c>
      <c r="CO81" s="17">
        <v>0</v>
      </c>
      <c r="CP81" s="17">
        <v>0</v>
      </c>
      <c r="CQ81" s="17">
        <v>0</v>
      </c>
      <c r="CR81" s="11"/>
      <c r="CS81" s="33" t="s">
        <v>5477</v>
      </c>
      <c r="CT81" s="65"/>
      <c r="CU81" s="11"/>
      <c r="CV81" s="11"/>
      <c r="CW81" s="11"/>
      <c r="CX81" s="7" t="s">
        <v>5477</v>
      </c>
      <c r="CY81" s="17">
        <v>0</v>
      </c>
      <c r="CZ81" s="11"/>
      <c r="DA81" s="12"/>
    </row>
    <row r="82" spans="1:105" customFormat="1" ht="68.25" customHeight="1">
      <c r="A82" s="31">
        <v>1654</v>
      </c>
      <c r="B82" s="32">
        <v>45085</v>
      </c>
      <c r="C82" s="7" t="s">
        <v>4890</v>
      </c>
      <c r="D82" s="32">
        <v>14192</v>
      </c>
      <c r="E82" s="43">
        <f ca="1">_xlfn.DAYS(NOW(),Tabella2[[#This Row],[Data Nascita]])/365.25</f>
        <v>86.737850787132103</v>
      </c>
      <c r="F82" s="33" t="s">
        <v>4891</v>
      </c>
      <c r="G82" s="33" t="s">
        <v>4892</v>
      </c>
      <c r="H82" s="33" t="s">
        <v>4893</v>
      </c>
      <c r="I82" s="33" t="s">
        <v>3948</v>
      </c>
      <c r="J82" s="33" t="s">
        <v>4894</v>
      </c>
      <c r="K82" s="33"/>
      <c r="L82" s="33"/>
      <c r="M82" s="33"/>
      <c r="N82" s="33" t="s">
        <v>8</v>
      </c>
      <c r="O82" s="47">
        <v>0</v>
      </c>
      <c r="P82" s="47">
        <v>1</v>
      </c>
      <c r="Q82" s="33" t="s">
        <v>8</v>
      </c>
      <c r="R82" s="33" t="s">
        <v>4895</v>
      </c>
      <c r="S82" s="33" t="s">
        <v>4896</v>
      </c>
      <c r="T82" s="33" t="s">
        <v>4897</v>
      </c>
      <c r="U82" s="47">
        <f>IF(ISERROR(SEARCH("null",Tabella2[[#This Row],[Patologia respiratoria nota]],1)),0,1)</f>
        <v>0</v>
      </c>
      <c r="V82" s="47">
        <f>IF(ISERROR(SEARCH("MUTA",Tabella2[[#This Row],[Patologia respiratoria nota]],1)),0,1)</f>
        <v>0</v>
      </c>
      <c r="W82" s="47">
        <f>IF(ISERROR(SEARCH("OSAS",Tabella2[[#This Row],[Patologia respiratoria nota]],1)),0,1)</f>
        <v>1</v>
      </c>
      <c r="X82" s="47">
        <f>IF(ISERROR(SEARCH("BPCO",Tabella2[[#This Row],[Patologia respiratoria nota]],1)),0,1)</f>
        <v>1</v>
      </c>
      <c r="Y82" s="47">
        <f>IF(ISERROR(SEARCH("ASMA",Tabella2[[#This Row],[Patologia respiratoria nota]],1)),0,1)</f>
        <v>0</v>
      </c>
      <c r="Z82" s="47">
        <f>IF(ISERROR(SEARCH("ASMA, OSAS",Tabella2[[#This Row],[Patologia respiratoria nota]],1)),0,1)</f>
        <v>0</v>
      </c>
      <c r="AA82" s="47">
        <f>IF(ISERROR(SEARCH("BPCO, OSAS",Tabella2[[#This Row],[Patologia respiratoria nota]],1)),0,1)</f>
        <v>1</v>
      </c>
      <c r="AB82" s="47">
        <f>IF(ISERROR(SEARCH("ASMA, BPCO, OSAS",Tabella2[[#This Row],[Patologia respiratoria nota]],1)),0,1)</f>
        <v>0</v>
      </c>
      <c r="AC82" s="33" t="s">
        <v>5458</v>
      </c>
      <c r="AD82" s="47">
        <f>IF(ISERROR(SEARCH("NDD",Tabella2[[#This Row],[Tosse]],1)),0,1)</f>
        <v>0</v>
      </c>
      <c r="AE82" s="47">
        <f>IF(ISERROR(SEARCH("NEGA",Tabella2[[#This Row],[Tosse]],1)),0,1)</f>
        <v>0</v>
      </c>
      <c r="AF82" s="47">
        <f>IF(ISERROR(SEARCH("OCCASIONALMENTE",Tabella2[[#This Row],[Tosse]],1)),0,1)</f>
        <v>0</v>
      </c>
      <c r="AG82" s="47">
        <f>IF(ISERROR(SEARCH("RARAMENTE",Tabella2[[#This Row],[Tosse]],1)),0,1)</f>
        <v>0</v>
      </c>
      <c r="AH82" s="17">
        <v>1</v>
      </c>
      <c r="AI82" s="33" t="s">
        <v>5490</v>
      </c>
      <c r="AJ82" s="47">
        <f>IF(ISERROR(SEARCH("SI",Tabella2[[#This Row],[Espettorazione]],1)),0,1)</f>
        <v>1</v>
      </c>
      <c r="AK82" s="17">
        <v>0</v>
      </c>
      <c r="AL82" s="47">
        <f>IF(ISERROR(SEARCH("NDD",Tabella2[[#This Row],[Espettorazione]],1)),0,1)</f>
        <v>0</v>
      </c>
      <c r="AM82" s="33" t="s">
        <v>354</v>
      </c>
      <c r="AN82" s="47">
        <v>1</v>
      </c>
      <c r="AO82" s="33" t="s">
        <v>5530</v>
      </c>
      <c r="AP82" s="47">
        <f>IF(ISERROR(SEARCH("NEGA",Tabella2[[#This Row],[Dispnea da sforzo]],1)),0,1)</f>
        <v>0</v>
      </c>
      <c r="AQ82" s="47">
        <f>IF(ISERROR(SEARCH("NEGA",Tabella2[[#This Row],[Dispnea da sforzo]],1)),1,0)</f>
        <v>1</v>
      </c>
      <c r="AR82" s="47">
        <f>IF(ISERROR(SEARCH("LIEVI",Tabella2[[#This Row],[Dispnea da sforzo]],1)),0,1)</f>
        <v>1</v>
      </c>
      <c r="AS82" s="47">
        <f>IF(ISERROR(SEARCH("MODERATI",Tabella2[[#This Row],[Dispnea da sforzo]],1)),0,1)</f>
        <v>0</v>
      </c>
      <c r="AT82" s="47">
        <f>IF(ISERROR(SEARCH("INTENSI",Tabella2[[#This Row],[Dispnea da sforzo]],1)),0,1)</f>
        <v>0</v>
      </c>
      <c r="AU82" s="33" t="s">
        <v>657</v>
      </c>
      <c r="AV82" s="47">
        <f>IF(ISERROR(SEARCH("NEGA",Tabella2[[#This Row],[Dispnea a riposo]],1)),0,1)</f>
        <v>1</v>
      </c>
      <c r="AW82" s="47">
        <f>IF(ISERROR(SEARCH("NDD",Tabella2[[#This Row],[Dispnea a riposo]],1)),0,1)</f>
        <v>0</v>
      </c>
      <c r="AX82" s="33" t="s">
        <v>34</v>
      </c>
      <c r="AY82" s="46">
        <v>1</v>
      </c>
      <c r="AZ82" s="33" t="s">
        <v>34</v>
      </c>
      <c r="BA82" s="17">
        <v>1</v>
      </c>
      <c r="BB82" s="33" t="s">
        <v>4898</v>
      </c>
      <c r="BC82" s="17">
        <v>1</v>
      </c>
      <c r="BD82" s="33" t="s">
        <v>151</v>
      </c>
      <c r="BE82" s="17">
        <v>1</v>
      </c>
      <c r="BF82" s="33" t="s">
        <v>4899</v>
      </c>
      <c r="BG82" s="17">
        <v>1</v>
      </c>
      <c r="BH82" s="33" t="s">
        <v>657</v>
      </c>
      <c r="BI82" s="17">
        <v>0</v>
      </c>
      <c r="BJ82" s="33">
        <v>13</v>
      </c>
      <c r="BK82" s="33" t="s">
        <v>7675</v>
      </c>
      <c r="BL82" s="47"/>
      <c r="BM82" s="47"/>
      <c r="BN82" s="47"/>
      <c r="BO82" s="47"/>
      <c r="BP82" s="47"/>
      <c r="BQ82" s="47"/>
      <c r="BR82" s="47"/>
      <c r="BS82" s="47"/>
      <c r="BT82" s="47"/>
      <c r="BU82" s="47">
        <v>1</v>
      </c>
      <c r="BV82" s="47"/>
      <c r="BW82" s="47"/>
      <c r="BX82" s="47"/>
      <c r="BY82" s="47"/>
      <c r="BZ82" s="47">
        <v>1</v>
      </c>
      <c r="CA82" s="47"/>
      <c r="CB82" s="47">
        <v>1</v>
      </c>
      <c r="CC82" s="47"/>
      <c r="CD82" s="47"/>
      <c r="CE82" s="47"/>
      <c r="CF82" s="47"/>
      <c r="CG82" s="33">
        <v>27</v>
      </c>
      <c r="CH82" s="33"/>
      <c r="CI82" s="33">
        <v>95</v>
      </c>
      <c r="CJ82" s="33">
        <v>85</v>
      </c>
      <c r="CK82" s="33"/>
      <c r="CL82" s="33"/>
      <c r="CM82" s="33" t="s">
        <v>5477</v>
      </c>
      <c r="CN82" s="47">
        <v>1</v>
      </c>
      <c r="CO82" s="17">
        <v>0</v>
      </c>
      <c r="CP82" s="17">
        <v>0</v>
      </c>
      <c r="CQ82" s="17">
        <v>0</v>
      </c>
      <c r="CR82" s="33" t="s">
        <v>4900</v>
      </c>
      <c r="CS82" s="33" t="s">
        <v>120</v>
      </c>
      <c r="CT82" s="66">
        <v>0.42</v>
      </c>
      <c r="CU82" s="33" t="s">
        <v>4901</v>
      </c>
      <c r="CV82" s="33"/>
      <c r="CW82" s="33"/>
      <c r="CX82" s="33" t="s">
        <v>4902</v>
      </c>
      <c r="CY82" s="17">
        <v>1</v>
      </c>
      <c r="CZ82" s="33"/>
      <c r="DA82" s="34"/>
    </row>
    <row r="83" spans="1:105" s="54" customFormat="1" ht="57">
      <c r="A83" s="9">
        <v>1655</v>
      </c>
      <c r="B83" s="10">
        <v>45085</v>
      </c>
      <c r="C83" s="79" t="s">
        <v>4903</v>
      </c>
      <c r="D83" s="10">
        <v>26483</v>
      </c>
      <c r="E83" s="52">
        <f ca="1">_xlfn.DAYS(NOW(),Tabella2[[#This Row],[Data Nascita]])/365.25</f>
        <v>53.086926762491444</v>
      </c>
      <c r="F83" s="11" t="s">
        <v>4904</v>
      </c>
      <c r="G83" s="11" t="s">
        <v>4905</v>
      </c>
      <c r="H83" s="11" t="s">
        <v>4906</v>
      </c>
      <c r="I83" s="11" t="s">
        <v>4907</v>
      </c>
      <c r="J83" s="11" t="s">
        <v>4908</v>
      </c>
      <c r="K83" s="11"/>
      <c r="L83" s="11"/>
      <c r="M83" s="11"/>
      <c r="N83" s="11" t="s">
        <v>8</v>
      </c>
      <c r="O83" s="17">
        <v>0</v>
      </c>
      <c r="P83" s="17">
        <v>1</v>
      </c>
      <c r="Q83" s="11" t="s">
        <v>8</v>
      </c>
      <c r="R83" s="11" t="s">
        <v>8</v>
      </c>
      <c r="S83" s="11" t="s">
        <v>4909</v>
      </c>
      <c r="T83" s="11" t="s">
        <v>5433</v>
      </c>
      <c r="U83" s="18">
        <f>IF(ISERROR(SEARCH("null",Tabella2[[#This Row],[Patologia respiratoria nota]],1)),0,1)</f>
        <v>0</v>
      </c>
      <c r="V83" s="17">
        <f>IF(ISERROR(SEARCH("MUTA",Tabella2[[#This Row],[Patologia respiratoria nota]],1)),0,1)</f>
        <v>0</v>
      </c>
      <c r="W83" s="18">
        <f>IF(ISERROR(SEARCH("OSAS",Tabella2[[#This Row],[Patologia respiratoria nota]],1)),0,1)</f>
        <v>1</v>
      </c>
      <c r="X83" s="17">
        <f>IF(ISERROR(SEARCH("BPCO",Tabella2[[#This Row],[Patologia respiratoria nota]],1)),0,1)</f>
        <v>1</v>
      </c>
      <c r="Y83" s="17">
        <f>IF(ISERROR(SEARCH("ASMA",Tabella2[[#This Row],[Patologia respiratoria nota]],1)),0,1)</f>
        <v>1</v>
      </c>
      <c r="Z83" s="17">
        <f>IF(ISERROR(SEARCH("ASMA, OSAS",Tabella2[[#This Row],[Patologia respiratoria nota]],1)),0,1)</f>
        <v>0</v>
      </c>
      <c r="AA83" s="17">
        <f>IF(ISERROR(SEARCH("BPCO, OSAS",Tabella2[[#This Row],[Patologia respiratoria nota]],1)),0,1)</f>
        <v>1</v>
      </c>
      <c r="AB83" s="17">
        <f>IF(ISERROR(SEARCH("ASMA, BPCO, OSAS",Tabella2[[#This Row],[Patologia respiratoria nota]],1)),0,1)</f>
        <v>1</v>
      </c>
      <c r="AC83" s="11" t="s">
        <v>381</v>
      </c>
      <c r="AD83" s="18">
        <f>IF(ISERROR(SEARCH("NDD",Tabella2[[#This Row],[Tosse]],1)),0,1)</f>
        <v>0</v>
      </c>
      <c r="AE83" s="18">
        <f>IF(ISERROR(SEARCH("NEGA",Tabella2[[#This Row],[Tosse]],1)),0,1)</f>
        <v>0</v>
      </c>
      <c r="AF83" s="18">
        <f>IF(ISERROR(SEARCH("OCCASIONALMENTE",Tabella2[[#This Row],[Tosse]],1)),0,1)</f>
        <v>0</v>
      </c>
      <c r="AG83" s="18">
        <f>IF(ISERROR(SEARCH("RARAMENTE",Tabella2[[#This Row],[Tosse]],1)),0,1)</f>
        <v>0</v>
      </c>
      <c r="AH83" s="17">
        <v>1</v>
      </c>
      <c r="AI83" s="11" t="s">
        <v>657</v>
      </c>
      <c r="AJ83" s="18">
        <f>IF(ISERROR(SEARCH("SI",Tabella2[[#This Row],[Espettorazione]],1)),0,1)</f>
        <v>0</v>
      </c>
      <c r="AK83" s="18">
        <f>IF(ISERROR(SEARCH("NEGA",Tabella2[[#This Row],[Espettorazione]],1)),0,1)</f>
        <v>1</v>
      </c>
      <c r="AL83" s="18">
        <f>IF(ISERROR(SEARCH("NDD",Tabella2[[#This Row],[Espettorazione]],1)),0,1)</f>
        <v>0</v>
      </c>
      <c r="AM83" s="11" t="s">
        <v>28</v>
      </c>
      <c r="AN83" s="17">
        <v>1</v>
      </c>
      <c r="AO83" s="11" t="s">
        <v>28</v>
      </c>
      <c r="AP83" s="17">
        <f>IF(ISERROR(SEARCH("NEGA",Tabella2[[#This Row],[Dispnea da sforzo]],1)),0,1)</f>
        <v>0</v>
      </c>
      <c r="AQ83" s="17">
        <f>IF(ISERROR(SEARCH("NEGA",Tabella2[[#This Row],[Dispnea da sforzo]],1)),1,0)</f>
        <v>1</v>
      </c>
      <c r="AR83" s="17">
        <f>IF(ISERROR(SEARCH("LIEVI",Tabella2[[#This Row],[Dispnea da sforzo]],1)),0,1)</f>
        <v>0</v>
      </c>
      <c r="AS83" s="17">
        <f>IF(ISERROR(SEARCH("MODERATI",Tabella2[[#This Row],[Dispnea da sforzo]],1)),0,1)</f>
        <v>0</v>
      </c>
      <c r="AT83" s="17">
        <f>IF(ISERROR(SEARCH("INTENSI",Tabella2[[#This Row],[Dispnea da sforzo]],1)),0,1)</f>
        <v>0</v>
      </c>
      <c r="AU83" s="11" t="s">
        <v>657</v>
      </c>
      <c r="AV83" s="18">
        <f>IF(ISERROR(SEARCH("NEGA",Tabella2[[#This Row],[Dispnea a riposo]],1)),0,1)</f>
        <v>1</v>
      </c>
      <c r="AW83" s="18">
        <f>IF(ISERROR(SEARCH("NDD",Tabella2[[#This Row],[Dispnea a riposo]],1)),0,1)</f>
        <v>0</v>
      </c>
      <c r="AX83" s="11" t="s">
        <v>28</v>
      </c>
      <c r="AY83" s="18">
        <v>1</v>
      </c>
      <c r="AZ83" s="11" t="s">
        <v>657</v>
      </c>
      <c r="BA83" s="18">
        <v>0</v>
      </c>
      <c r="BB83" s="11" t="s">
        <v>4910</v>
      </c>
      <c r="BC83" s="17">
        <v>1</v>
      </c>
      <c r="BD83" s="11" t="s">
        <v>28</v>
      </c>
      <c r="BE83" s="17">
        <v>1</v>
      </c>
      <c r="BF83" s="11" t="s">
        <v>657</v>
      </c>
      <c r="BG83" s="17">
        <v>0</v>
      </c>
      <c r="BH83" s="11" t="s">
        <v>28</v>
      </c>
      <c r="BI83" s="18">
        <v>1</v>
      </c>
      <c r="BJ83" s="11">
        <v>15</v>
      </c>
      <c r="BK83" s="11" t="s">
        <v>7676</v>
      </c>
      <c r="BL83" s="18"/>
      <c r="BM83" s="18"/>
      <c r="BN83" s="18"/>
      <c r="BO83" s="18"/>
      <c r="BP83" s="18"/>
      <c r="BQ83" s="18"/>
      <c r="BR83" s="18"/>
      <c r="BS83" s="18"/>
      <c r="BT83" s="18"/>
      <c r="BU83" s="18"/>
      <c r="BV83" s="18"/>
      <c r="BW83" s="18"/>
      <c r="BX83" s="18"/>
      <c r="BY83" s="18"/>
      <c r="BZ83" s="18"/>
      <c r="CA83" s="18"/>
      <c r="CB83" s="18"/>
      <c r="CC83" s="18"/>
      <c r="CD83" s="18"/>
      <c r="CE83" s="18"/>
      <c r="CF83" s="18"/>
      <c r="CG83" s="11">
        <v>33</v>
      </c>
      <c r="CH83" s="11"/>
      <c r="CI83" s="11">
        <v>93</v>
      </c>
      <c r="CJ83" s="11">
        <v>86</v>
      </c>
      <c r="CK83" s="11"/>
      <c r="CL83" s="11"/>
      <c r="CM83" s="33" t="s">
        <v>5477</v>
      </c>
      <c r="CN83" s="47">
        <v>1</v>
      </c>
      <c r="CO83" s="17">
        <v>0</v>
      </c>
      <c r="CP83" s="17">
        <v>0</v>
      </c>
      <c r="CQ83" s="17">
        <v>0</v>
      </c>
      <c r="CR83" s="11" t="s">
        <v>4900</v>
      </c>
      <c r="CS83" s="11" t="s">
        <v>202</v>
      </c>
      <c r="CT83" s="65">
        <v>0.15</v>
      </c>
      <c r="CU83" s="11" t="s">
        <v>4911</v>
      </c>
      <c r="CV83" s="11"/>
      <c r="CW83" s="11"/>
      <c r="CX83" s="7" t="s">
        <v>5477</v>
      </c>
      <c r="CY83" s="17">
        <v>0</v>
      </c>
      <c r="CZ83" s="11"/>
      <c r="DA83" s="12"/>
    </row>
    <row r="84" spans="1:105" ht="156.75">
      <c r="A84" s="5">
        <v>1662</v>
      </c>
      <c r="B84" s="6">
        <v>45086</v>
      </c>
      <c r="C84" s="7" t="s">
        <v>4912</v>
      </c>
      <c r="D84" s="6">
        <v>17679</v>
      </c>
      <c r="E84" s="51">
        <f ca="1">_xlfn.DAYS(NOW(),Tabella2[[#This Row],[Data Nascita]])/365.25</f>
        <v>77.190965092402465</v>
      </c>
      <c r="F84" s="7" t="s">
        <v>4913</v>
      </c>
      <c r="G84" s="7" t="s">
        <v>4914</v>
      </c>
      <c r="H84" s="7" t="s">
        <v>4555</v>
      </c>
      <c r="I84" s="7" t="s">
        <v>3948</v>
      </c>
      <c r="J84" s="7" t="s">
        <v>4915</v>
      </c>
      <c r="K84" s="7"/>
      <c r="L84" s="7"/>
      <c r="M84" s="7"/>
      <c r="N84" s="7" t="s">
        <v>8</v>
      </c>
      <c r="O84" s="17">
        <v>0</v>
      </c>
      <c r="P84" s="17">
        <v>1</v>
      </c>
      <c r="Q84" s="7" t="s">
        <v>8</v>
      </c>
      <c r="R84" s="7" t="s">
        <v>4916</v>
      </c>
      <c r="S84" s="7" t="s">
        <v>4917</v>
      </c>
      <c r="T84" s="7" t="s">
        <v>3804</v>
      </c>
      <c r="U84" s="17">
        <f>IF(ISERROR(SEARCH("null",Tabella2[[#This Row],[Patologia respiratoria nota]],1)),0,1)</f>
        <v>0</v>
      </c>
      <c r="V84" s="17">
        <f>IF(ISERROR(SEARCH("MUTA",Tabella2[[#This Row],[Patologia respiratoria nota]],1)),0,1)</f>
        <v>0</v>
      </c>
      <c r="W84" s="17">
        <f>IF(ISERROR(SEARCH("OSAS",Tabella2[[#This Row],[Patologia respiratoria nota]],1)),0,1)</f>
        <v>1</v>
      </c>
      <c r="X84" s="17">
        <f>IF(ISERROR(SEARCH("BPCO",Tabella2[[#This Row],[Patologia respiratoria nota]],1)),0,1)</f>
        <v>0</v>
      </c>
      <c r="Y84" s="17">
        <f>IF(ISERROR(SEARCH("ASMA",Tabella2[[#This Row],[Patologia respiratoria nota]],1)),0,1)</f>
        <v>1</v>
      </c>
      <c r="Z84" s="17">
        <f>IF(ISERROR(SEARCH("ASMA, OSAS",Tabella2[[#This Row],[Patologia respiratoria nota]],1)),0,1)</f>
        <v>1</v>
      </c>
      <c r="AA84" s="17">
        <f>IF(ISERROR(SEARCH("BPCO, OSAS",Tabella2[[#This Row],[Patologia respiratoria nota]],1)),0,1)</f>
        <v>0</v>
      </c>
      <c r="AB84" s="17">
        <f>IF(ISERROR(SEARCH("ASMA, BPCO, OSAS",Tabella2[[#This Row],[Patologia respiratoria nota]],1)),0,1)</f>
        <v>0</v>
      </c>
      <c r="AC84" s="15" t="s">
        <v>657</v>
      </c>
      <c r="AD84" s="19">
        <f>IF(ISERROR(SEARCH("NDD",Tabella2[[#This Row],[Tosse]],1)),0,1)</f>
        <v>0</v>
      </c>
      <c r="AE84" s="19">
        <f>IF(ISERROR(SEARCH("NEGA",Tabella2[[#This Row],[Tosse]],1)),0,1)</f>
        <v>1</v>
      </c>
      <c r="AF84" s="19">
        <f>IF(ISERROR(SEARCH("OCCASIONALMENTE",Tabella2[[#This Row],[Tosse]],1)),0,1)</f>
        <v>0</v>
      </c>
      <c r="AG84" s="19">
        <f>IF(ISERROR(SEARCH("RARAMENTE",Tabella2[[#This Row],[Tosse]],1)),0,1)</f>
        <v>0</v>
      </c>
      <c r="AH84" s="19">
        <f>IF(ISERROR(SEARCH("SI",Tabella2[[#This Row],[Tosse]],1)),0,1)</f>
        <v>0</v>
      </c>
      <c r="AI84" s="7" t="s">
        <v>657</v>
      </c>
      <c r="AJ84" s="17">
        <f>IF(ISERROR(SEARCH("SI",Tabella2[[#This Row],[Espettorazione]],1)),0,1)</f>
        <v>0</v>
      </c>
      <c r="AK84" s="17">
        <f>IF(ISERROR(SEARCH("NEGA",Tabella2[[#This Row],[Espettorazione]],1)),0,1)</f>
        <v>1</v>
      </c>
      <c r="AL84" s="17">
        <f>IF(ISERROR(SEARCH("NDD",Tabella2[[#This Row],[Espettorazione]],1)),0,1)</f>
        <v>0</v>
      </c>
      <c r="AM84" s="7" t="s">
        <v>7</v>
      </c>
      <c r="AN84" s="17">
        <v>1</v>
      </c>
      <c r="AO84" s="7" t="s">
        <v>5570</v>
      </c>
      <c r="AP84" s="17">
        <f>IF(ISERROR(SEARCH("NEGA",Tabella2[[#This Row],[Dispnea da sforzo]],1)),0,1)</f>
        <v>0</v>
      </c>
      <c r="AQ84" s="17">
        <f>IF(ISERROR(SEARCH("NEGA",Tabella2[[#This Row],[Dispnea da sforzo]],1)),1,0)</f>
        <v>1</v>
      </c>
      <c r="AR84" s="17">
        <f>IF(ISERROR(SEARCH("LIEVI",Tabella2[[#This Row],[Dispnea da sforzo]],1)),0,1)</f>
        <v>0</v>
      </c>
      <c r="AS84" s="17">
        <f>IF(ISERROR(SEARCH("MODERATI",Tabella2[[#This Row],[Dispnea da sforzo]],1)),0,1)</f>
        <v>1</v>
      </c>
      <c r="AT84" s="17">
        <f>IF(ISERROR(SEARCH("INTENSI",Tabella2[[#This Row],[Dispnea da sforzo]],1)),0,1)</f>
        <v>1</v>
      </c>
      <c r="AU84" s="7" t="s">
        <v>657</v>
      </c>
      <c r="AV84" s="17">
        <f>IF(ISERROR(SEARCH("NEGA",Tabella2[[#This Row],[Dispnea a riposo]],1)),0,1)</f>
        <v>1</v>
      </c>
      <c r="AW84" s="17">
        <f>IF(ISERROR(SEARCH("NDD",Tabella2[[#This Row],[Dispnea a riposo]],1)),0,1)</f>
        <v>0</v>
      </c>
      <c r="AX84" s="7" t="s">
        <v>657</v>
      </c>
      <c r="AY84" s="17">
        <v>0</v>
      </c>
      <c r="AZ84" s="7" t="s">
        <v>354</v>
      </c>
      <c r="BA84" s="17">
        <v>1</v>
      </c>
      <c r="BB84" s="7" t="s">
        <v>466</v>
      </c>
      <c r="BC84" s="17">
        <v>1</v>
      </c>
      <c r="BD84" s="7" t="s">
        <v>47</v>
      </c>
      <c r="BE84" s="17">
        <v>1</v>
      </c>
      <c r="BF84" s="7" t="s">
        <v>47</v>
      </c>
      <c r="BG84" s="17">
        <v>1</v>
      </c>
      <c r="BH84" s="7" t="s">
        <v>657</v>
      </c>
      <c r="BI84" s="17">
        <v>0</v>
      </c>
      <c r="BJ84" s="7">
        <v>13</v>
      </c>
      <c r="BK84" s="7" t="s">
        <v>7677</v>
      </c>
      <c r="BL84" s="17"/>
      <c r="BM84" s="17"/>
      <c r="BN84" s="17"/>
      <c r="BO84" s="17"/>
      <c r="BP84" s="17"/>
      <c r="BQ84" s="17"/>
      <c r="BR84" s="17"/>
      <c r="BS84" s="17"/>
      <c r="BT84" s="17"/>
      <c r="BU84" s="17"/>
      <c r="BV84" s="17"/>
      <c r="BW84" s="17"/>
      <c r="BX84" s="17"/>
      <c r="BY84" s="17"/>
      <c r="BZ84" s="17"/>
      <c r="CA84" s="17"/>
      <c r="CB84" s="17"/>
      <c r="CC84" s="17"/>
      <c r="CD84" s="17"/>
      <c r="CE84" s="17"/>
      <c r="CF84" s="17"/>
      <c r="CG84" s="7">
        <v>26</v>
      </c>
      <c r="CH84" s="7"/>
      <c r="CI84" s="7">
        <v>97</v>
      </c>
      <c r="CJ84" s="7">
        <v>63</v>
      </c>
      <c r="CK84" s="7" t="s">
        <v>4918</v>
      </c>
      <c r="CL84" s="7" t="s">
        <v>4919</v>
      </c>
      <c r="CM84" s="7" t="s">
        <v>4920</v>
      </c>
      <c r="CN84" s="17">
        <v>0</v>
      </c>
      <c r="CO84" s="17">
        <v>0</v>
      </c>
      <c r="CP84" s="17">
        <v>1</v>
      </c>
      <c r="CQ84" s="17">
        <v>0</v>
      </c>
      <c r="CR84" s="7" t="s">
        <v>4549</v>
      </c>
      <c r="CS84" s="7" t="s">
        <v>4750</v>
      </c>
      <c r="CT84" s="64">
        <v>0</v>
      </c>
      <c r="CU84" s="7" t="s">
        <v>4921</v>
      </c>
      <c r="CV84" s="7"/>
      <c r="CW84" s="7"/>
      <c r="CX84" s="7" t="s">
        <v>7</v>
      </c>
      <c r="CY84" s="17">
        <v>1</v>
      </c>
      <c r="CZ84" s="7"/>
      <c r="DA84" s="8"/>
    </row>
    <row r="85" spans="1:105" customFormat="1" ht="71.25">
      <c r="A85" s="35">
        <v>1664</v>
      </c>
      <c r="B85" s="36">
        <v>45089</v>
      </c>
      <c r="C85" s="11" t="s">
        <v>4922</v>
      </c>
      <c r="D85" s="36">
        <v>18395</v>
      </c>
      <c r="E85" s="44">
        <f ca="1">_xlfn.DAYS(NOW(),Tabella2[[#This Row],[Data Nascita]])/365.25</f>
        <v>75.230663928815886</v>
      </c>
      <c r="F85" s="37" t="s">
        <v>4923</v>
      </c>
      <c r="G85" s="37" t="s">
        <v>4924</v>
      </c>
      <c r="H85" s="37" t="s">
        <v>4925</v>
      </c>
      <c r="I85" s="37" t="s">
        <v>3948</v>
      </c>
      <c r="J85" s="37" t="s">
        <v>132</v>
      </c>
      <c r="K85" s="37"/>
      <c r="L85" s="37"/>
      <c r="M85" s="37"/>
      <c r="N85" s="37" t="s">
        <v>132</v>
      </c>
      <c r="O85" s="47">
        <v>0</v>
      </c>
      <c r="P85" s="47">
        <v>1</v>
      </c>
      <c r="Q85" s="37" t="s">
        <v>8</v>
      </c>
      <c r="R85" s="37" t="s">
        <v>8</v>
      </c>
      <c r="S85" s="37" t="s">
        <v>4926</v>
      </c>
      <c r="T85" s="33" t="s">
        <v>3804</v>
      </c>
      <c r="U85" s="46">
        <f>IF(ISERROR(SEARCH("null",Tabella2[[#This Row],[Patologia respiratoria nota]],1)),0,1)</f>
        <v>0</v>
      </c>
      <c r="V85" s="47">
        <f>IF(ISERROR(SEARCH("MUTA",Tabella2[[#This Row],[Patologia respiratoria nota]],1)),0,1)</f>
        <v>0</v>
      </c>
      <c r="W85" s="46">
        <f>IF(ISERROR(SEARCH("OSAS",Tabella2[[#This Row],[Patologia respiratoria nota]],1)),0,1)</f>
        <v>1</v>
      </c>
      <c r="X85" s="47">
        <f>IF(ISERROR(SEARCH("BPCO",Tabella2[[#This Row],[Patologia respiratoria nota]],1)),0,1)</f>
        <v>0</v>
      </c>
      <c r="Y85" s="47">
        <f>IF(ISERROR(SEARCH("ASMA",Tabella2[[#This Row],[Patologia respiratoria nota]],1)),0,1)</f>
        <v>1</v>
      </c>
      <c r="Z85" s="47">
        <f>IF(ISERROR(SEARCH("ASMA, OSAS",Tabella2[[#This Row],[Patologia respiratoria nota]],1)),0,1)</f>
        <v>1</v>
      </c>
      <c r="AA85" s="47">
        <f>IF(ISERROR(SEARCH("BPCO, OSAS",Tabella2[[#This Row],[Patologia respiratoria nota]],1)),0,1)</f>
        <v>0</v>
      </c>
      <c r="AB85" s="47">
        <f>IF(ISERROR(SEARCH("ASMA, BPCO, OSAS",Tabella2[[#This Row],[Patologia respiratoria nota]],1)),0,1)</f>
        <v>0</v>
      </c>
      <c r="AC85" s="41" t="s">
        <v>657</v>
      </c>
      <c r="AD85" s="48">
        <f>IF(ISERROR(SEARCH("NDD",Tabella2[[#This Row],[Tosse]],1)),0,1)</f>
        <v>0</v>
      </c>
      <c r="AE85" s="48">
        <f>IF(ISERROR(SEARCH("NEGA",Tabella2[[#This Row],[Tosse]],1)),0,1)</f>
        <v>1</v>
      </c>
      <c r="AF85" s="48">
        <f>IF(ISERROR(SEARCH("OCCASIONALMENTE",Tabella2[[#This Row],[Tosse]],1)),0,1)</f>
        <v>0</v>
      </c>
      <c r="AG85" s="48">
        <f>IF(ISERROR(SEARCH("RARAMENTE",Tabella2[[#This Row],[Tosse]],1)),0,1)</f>
        <v>0</v>
      </c>
      <c r="AH85" s="48">
        <f>IF(ISERROR(SEARCH("SI",Tabella2[[#This Row],[Tosse]],1)),0,1)</f>
        <v>0</v>
      </c>
      <c r="AI85" s="37" t="s">
        <v>657</v>
      </c>
      <c r="AJ85" s="46">
        <f>IF(ISERROR(SEARCH("SI",Tabella2[[#This Row],[Espettorazione]],1)),0,1)</f>
        <v>0</v>
      </c>
      <c r="AK85" s="46">
        <f>IF(ISERROR(SEARCH("NEGA",Tabella2[[#This Row],[Espettorazione]],1)),0,1)</f>
        <v>1</v>
      </c>
      <c r="AL85" s="46">
        <f>IF(ISERROR(SEARCH("NDD",Tabella2[[#This Row],[Espettorazione]],1)),0,1)</f>
        <v>0</v>
      </c>
      <c r="AM85" s="37" t="s">
        <v>28</v>
      </c>
      <c r="AN85" s="47">
        <v>1</v>
      </c>
      <c r="AO85" s="37" t="s">
        <v>28</v>
      </c>
      <c r="AP85" s="47">
        <f>IF(ISERROR(SEARCH("NEGA",Tabella2[[#This Row],[Dispnea da sforzo]],1)),0,1)</f>
        <v>0</v>
      </c>
      <c r="AQ85" s="47">
        <f>IF(ISERROR(SEARCH("NEGA",Tabella2[[#This Row],[Dispnea da sforzo]],1)),1,0)</f>
        <v>1</v>
      </c>
      <c r="AR85" s="47">
        <f>IF(ISERROR(SEARCH("LIEVI",Tabella2[[#This Row],[Dispnea da sforzo]],1)),0,1)</f>
        <v>0</v>
      </c>
      <c r="AS85" s="47">
        <f>IF(ISERROR(SEARCH("MODERATI",Tabella2[[#This Row],[Dispnea da sforzo]],1)),0,1)</f>
        <v>0</v>
      </c>
      <c r="AT85" s="47">
        <f>IF(ISERROR(SEARCH("INTENSI",Tabella2[[#This Row],[Dispnea da sforzo]],1)),0,1)</f>
        <v>0</v>
      </c>
      <c r="AU85" s="37" t="s">
        <v>657</v>
      </c>
      <c r="AV85" s="46">
        <f>IF(ISERROR(SEARCH("NEGA",Tabella2[[#This Row],[Dispnea a riposo]],1)),0,1)</f>
        <v>1</v>
      </c>
      <c r="AW85" s="46">
        <f>IF(ISERROR(SEARCH("NDD",Tabella2[[#This Row],[Dispnea a riposo]],1)),0,1)</f>
        <v>0</v>
      </c>
      <c r="AX85" s="37" t="s">
        <v>28</v>
      </c>
      <c r="AY85" s="46">
        <v>1</v>
      </c>
      <c r="AZ85" s="37" t="s">
        <v>28</v>
      </c>
      <c r="BA85" s="17">
        <v>1</v>
      </c>
      <c r="BB85" s="37" t="s">
        <v>28</v>
      </c>
      <c r="BC85" s="17">
        <v>1</v>
      </c>
      <c r="BD85" s="37" t="s">
        <v>28</v>
      </c>
      <c r="BE85" s="17">
        <v>1</v>
      </c>
      <c r="BF85" s="37" t="s">
        <v>657</v>
      </c>
      <c r="BG85" s="17">
        <v>0</v>
      </c>
      <c r="BH85" s="37" t="s">
        <v>566</v>
      </c>
      <c r="BI85" s="18">
        <v>1</v>
      </c>
      <c r="BJ85" s="37">
        <v>15</v>
      </c>
      <c r="BK85" s="37" t="s">
        <v>4927</v>
      </c>
      <c r="BL85" s="46"/>
      <c r="BM85" s="46"/>
      <c r="BN85" s="46"/>
      <c r="BO85" s="46"/>
      <c r="BP85" s="46"/>
      <c r="BQ85" s="46"/>
      <c r="BR85" s="46"/>
      <c r="BS85" s="46"/>
      <c r="BT85" s="46"/>
      <c r="BU85" s="46"/>
      <c r="BV85" s="46"/>
      <c r="BW85" s="46"/>
      <c r="BX85" s="46"/>
      <c r="BY85" s="46"/>
      <c r="BZ85" s="46"/>
      <c r="CA85" s="46"/>
      <c r="CB85" s="46"/>
      <c r="CC85" s="46"/>
      <c r="CD85" s="46"/>
      <c r="CE85" s="46"/>
      <c r="CF85" s="46"/>
      <c r="CG85" s="37">
        <v>38</v>
      </c>
      <c r="CH85" s="37"/>
      <c r="CI85" s="37">
        <v>93</v>
      </c>
      <c r="CJ85" s="37">
        <v>73</v>
      </c>
      <c r="CK85" s="37"/>
      <c r="CL85" s="37"/>
      <c r="CM85" s="33" t="s">
        <v>5477</v>
      </c>
      <c r="CN85" s="47">
        <v>1</v>
      </c>
      <c r="CO85" s="17">
        <v>0</v>
      </c>
      <c r="CP85" s="17">
        <v>0</v>
      </c>
      <c r="CQ85" s="17">
        <v>0</v>
      </c>
      <c r="CR85" s="37"/>
      <c r="CS85" s="33" t="s">
        <v>5477</v>
      </c>
      <c r="CT85" s="63"/>
      <c r="CU85" s="37"/>
      <c r="CV85" s="37"/>
      <c r="CW85" s="37"/>
      <c r="CX85" s="7" t="s">
        <v>5477</v>
      </c>
      <c r="CY85" s="17">
        <v>0</v>
      </c>
      <c r="CZ85" s="37"/>
      <c r="DA85" s="38"/>
    </row>
    <row r="86" spans="1:105" ht="42.75">
      <c r="A86" s="5">
        <v>1730</v>
      </c>
      <c r="B86" s="6">
        <v>45141</v>
      </c>
      <c r="C86" s="7" t="s">
        <v>4928</v>
      </c>
      <c r="D86" s="6">
        <v>30434</v>
      </c>
      <c r="E86" s="51">
        <f ca="1">_xlfn.DAYS(NOW(),Tabella2[[#This Row],[Data Nascita]])/365.25</f>
        <v>42.269678302532512</v>
      </c>
      <c r="F86" s="7" t="s">
        <v>1731</v>
      </c>
      <c r="G86" s="7" t="s">
        <v>1732</v>
      </c>
      <c r="H86" s="7" t="s">
        <v>4929</v>
      </c>
      <c r="I86" s="7" t="s">
        <v>4930</v>
      </c>
      <c r="J86" s="7" t="s">
        <v>8</v>
      </c>
      <c r="K86" s="7"/>
      <c r="L86" s="7"/>
      <c r="M86" s="7"/>
      <c r="N86" s="7" t="s">
        <v>8</v>
      </c>
      <c r="O86" s="17">
        <v>0</v>
      </c>
      <c r="P86" s="17">
        <v>1</v>
      </c>
      <c r="Q86" s="7" t="s">
        <v>8</v>
      </c>
      <c r="R86" s="7" t="s">
        <v>8</v>
      </c>
      <c r="S86" s="7" t="s">
        <v>132</v>
      </c>
      <c r="T86" s="7" t="s">
        <v>5412</v>
      </c>
      <c r="U86" s="17">
        <f>IF(ISERROR(SEARCH("null",Tabella2[[#This Row],[Patologia respiratoria nota]],1)),0,1)</f>
        <v>1</v>
      </c>
      <c r="V86" s="17">
        <f>IF(ISERROR(SEARCH("MUTA",Tabella2[[#This Row],[Patologia respiratoria nota]],1)),0,1)</f>
        <v>0</v>
      </c>
      <c r="W86" s="17">
        <f>IF(ISERROR(SEARCH("OSAS",Tabella2[[#This Row],[Patologia respiratoria nota]],1)),0,1)</f>
        <v>0</v>
      </c>
      <c r="X86" s="17">
        <f>IF(ISERROR(SEARCH("BPCO",Tabella2[[#This Row],[Patologia respiratoria nota]],1)),0,1)</f>
        <v>0</v>
      </c>
      <c r="Y86" s="17">
        <f>IF(ISERROR(SEARCH("ASMA",Tabella2[[#This Row],[Patologia respiratoria nota]],1)),0,1)</f>
        <v>0</v>
      </c>
      <c r="Z86" s="17">
        <f>IF(ISERROR(SEARCH("ASMA, OSAS",Tabella2[[#This Row],[Patologia respiratoria nota]],1)),0,1)</f>
        <v>0</v>
      </c>
      <c r="AA86" s="17">
        <f>IF(ISERROR(SEARCH("BPCO, OSAS",Tabella2[[#This Row],[Patologia respiratoria nota]],1)),0,1)</f>
        <v>0</v>
      </c>
      <c r="AB86" s="17">
        <f>IF(ISERROR(SEARCH("ASMA, BPCO, OSAS",Tabella2[[#This Row],[Patologia respiratoria nota]],1)),0,1)</f>
        <v>0</v>
      </c>
      <c r="AC86" s="7" t="s">
        <v>5451</v>
      </c>
      <c r="AD86" s="17">
        <f>IF(ISERROR(SEARCH("NDD",Tabella2[[#This Row],[Tosse]],1)),0,1)</f>
        <v>0</v>
      </c>
      <c r="AE86" s="17">
        <f>IF(ISERROR(SEARCH("NEGA",Tabella2[[#This Row],[Tosse]],1)),0,1)</f>
        <v>0</v>
      </c>
      <c r="AF86" s="17">
        <f>IF(ISERROR(SEARCH("OCCASIONALMENTE",Tabella2[[#This Row],[Tosse]],1)),0,1)</f>
        <v>0</v>
      </c>
      <c r="AG86" s="17">
        <f>IF(ISERROR(SEARCH("RARAMENTE",Tabella2[[#This Row],[Tosse]],1)),0,1)</f>
        <v>0</v>
      </c>
      <c r="AH86" s="17">
        <v>1</v>
      </c>
      <c r="AI86" s="7" t="s">
        <v>5491</v>
      </c>
      <c r="AJ86" s="17">
        <f>IF(ISERROR(SEARCH("SI",Tabella2[[#This Row],[Espettorazione]],1)),0,1)</f>
        <v>1</v>
      </c>
      <c r="AK86" s="17">
        <v>0</v>
      </c>
      <c r="AL86" s="17">
        <f>IF(ISERROR(SEARCH("NDD",Tabella2[[#This Row],[Espettorazione]],1)),0,1)</f>
        <v>0</v>
      </c>
      <c r="AM86" s="7" t="s">
        <v>657</v>
      </c>
      <c r="AN86" s="17">
        <v>0</v>
      </c>
      <c r="AO86" s="7" t="s">
        <v>28</v>
      </c>
      <c r="AP86" s="17">
        <f>IF(ISERROR(SEARCH("NEGA",Tabella2[[#This Row],[Dispnea da sforzo]],1)),0,1)</f>
        <v>0</v>
      </c>
      <c r="AQ86" s="17">
        <f>IF(ISERROR(SEARCH("NEGA",Tabella2[[#This Row],[Dispnea da sforzo]],1)),1,0)</f>
        <v>1</v>
      </c>
      <c r="AR86" s="17">
        <f>IF(ISERROR(SEARCH("LIEVI",Tabella2[[#This Row],[Dispnea da sforzo]],1)),0,1)</f>
        <v>0</v>
      </c>
      <c r="AS86" s="17">
        <f>IF(ISERROR(SEARCH("MODERATI",Tabella2[[#This Row],[Dispnea da sforzo]],1)),0,1)</f>
        <v>0</v>
      </c>
      <c r="AT86" s="17">
        <f>IF(ISERROR(SEARCH("INTENSI",Tabella2[[#This Row],[Dispnea da sforzo]],1)),0,1)</f>
        <v>0</v>
      </c>
      <c r="AU86" s="7" t="s">
        <v>657</v>
      </c>
      <c r="AV86" s="17">
        <f>IF(ISERROR(SEARCH("NEGA",Tabella2[[#This Row],[Dispnea a riposo]],1)),0,1)</f>
        <v>1</v>
      </c>
      <c r="AW86" s="17">
        <f>IF(ISERROR(SEARCH("NDD",Tabella2[[#This Row],[Dispnea a riposo]],1)),0,1)</f>
        <v>0</v>
      </c>
      <c r="AX86" s="7" t="s">
        <v>657</v>
      </c>
      <c r="AY86" s="17">
        <v>0</v>
      </c>
      <c r="AZ86" s="7" t="s">
        <v>657</v>
      </c>
      <c r="BA86" s="18">
        <v>0</v>
      </c>
      <c r="BB86" s="7" t="s">
        <v>28</v>
      </c>
      <c r="BC86" s="17">
        <v>1</v>
      </c>
      <c r="BD86" s="7" t="s">
        <v>28</v>
      </c>
      <c r="BE86" s="17">
        <v>1</v>
      </c>
      <c r="BF86" s="7" t="s">
        <v>28</v>
      </c>
      <c r="BG86" s="17">
        <v>1</v>
      </c>
      <c r="BH86" s="7" t="s">
        <v>4931</v>
      </c>
      <c r="BI86" s="18">
        <v>1</v>
      </c>
      <c r="BJ86" s="7">
        <v>15</v>
      </c>
      <c r="BK86" s="7"/>
      <c r="BL86" s="17"/>
      <c r="BM86" s="17"/>
      <c r="BN86" s="17"/>
      <c r="BO86" s="17"/>
      <c r="BP86" s="17"/>
      <c r="BQ86" s="17"/>
      <c r="BR86" s="17"/>
      <c r="BS86" s="17"/>
      <c r="BT86" s="17"/>
      <c r="BU86" s="17"/>
      <c r="BV86" s="17"/>
      <c r="BW86" s="17"/>
      <c r="BX86" s="17"/>
      <c r="BY86" s="17"/>
      <c r="BZ86" s="17"/>
      <c r="CA86" s="17"/>
      <c r="CB86" s="17"/>
      <c r="CC86" s="17"/>
      <c r="CD86" s="17"/>
      <c r="CE86" s="17"/>
      <c r="CF86" s="17"/>
      <c r="CG86" s="7">
        <v>35</v>
      </c>
      <c r="CH86" s="7"/>
      <c r="CI86" s="7">
        <v>98</v>
      </c>
      <c r="CJ86" s="7">
        <v>76</v>
      </c>
      <c r="CK86" s="7" t="s">
        <v>4932</v>
      </c>
      <c r="CL86" s="7"/>
      <c r="CM86" s="7" t="s">
        <v>4933</v>
      </c>
      <c r="CN86" s="17">
        <v>0</v>
      </c>
      <c r="CO86" s="17">
        <v>0</v>
      </c>
      <c r="CP86" s="17">
        <v>0</v>
      </c>
      <c r="CQ86" s="17">
        <v>0</v>
      </c>
      <c r="CR86" s="7"/>
      <c r="CS86" s="33" t="s">
        <v>5477</v>
      </c>
      <c r="CT86" s="64"/>
      <c r="CU86" s="7"/>
      <c r="CV86" s="7"/>
      <c r="CW86" s="7"/>
      <c r="CX86" s="7" t="s">
        <v>5477</v>
      </c>
      <c r="CY86" s="17">
        <v>0</v>
      </c>
      <c r="CZ86" s="7"/>
      <c r="DA86" s="8"/>
    </row>
    <row r="87" spans="1:105" customFormat="1" ht="57">
      <c r="A87" s="35">
        <v>1790</v>
      </c>
      <c r="B87" s="36">
        <v>45194</v>
      </c>
      <c r="C87" s="11" t="s">
        <v>4934</v>
      </c>
      <c r="D87" s="36">
        <v>22871</v>
      </c>
      <c r="E87" s="44">
        <f ca="1">_xlfn.DAYS(NOW(),Tabella2[[#This Row],[Data Nascita]])/365.25</f>
        <v>62.976043805612591</v>
      </c>
      <c r="F87" s="37" t="s">
        <v>4588</v>
      </c>
      <c r="G87" s="37" t="s">
        <v>4935</v>
      </c>
      <c r="H87" s="37" t="s">
        <v>4555</v>
      </c>
      <c r="I87" s="37" t="s">
        <v>3948</v>
      </c>
      <c r="J87" s="37" t="s">
        <v>4936</v>
      </c>
      <c r="K87" s="37"/>
      <c r="L87" s="37"/>
      <c r="M87" s="37"/>
      <c r="N87" s="37" t="s">
        <v>8</v>
      </c>
      <c r="O87" s="47">
        <v>0</v>
      </c>
      <c r="P87" s="47">
        <v>1</v>
      </c>
      <c r="Q87" s="37" t="s">
        <v>8</v>
      </c>
      <c r="R87" s="37" t="s">
        <v>8</v>
      </c>
      <c r="S87" s="37" t="s">
        <v>4937</v>
      </c>
      <c r="T87" s="37" t="s">
        <v>1116</v>
      </c>
      <c r="U87" s="46">
        <f>IF(ISERROR(SEARCH("null",Tabella2[[#This Row],[Patologia respiratoria nota]],1)),0,1)</f>
        <v>0</v>
      </c>
      <c r="V87" s="47">
        <f>IF(ISERROR(SEARCH("MUTA",Tabella2[[#This Row],[Patologia respiratoria nota]],1)),0,1)</f>
        <v>0</v>
      </c>
      <c r="W87" s="46">
        <f>IF(ISERROR(SEARCH("OSAS",Tabella2[[#This Row],[Patologia respiratoria nota]],1)),0,1)</f>
        <v>0</v>
      </c>
      <c r="X87" s="47">
        <f>IF(ISERROR(SEARCH("BPCO",Tabella2[[#This Row],[Patologia respiratoria nota]],1)),0,1)</f>
        <v>0</v>
      </c>
      <c r="Y87" s="47">
        <f>IF(ISERROR(SEARCH("ASMA",Tabella2[[#This Row],[Patologia respiratoria nota]],1)),0,1)</f>
        <v>0</v>
      </c>
      <c r="Z87" s="47">
        <f>IF(ISERROR(SEARCH("ASMA, OSAS",Tabella2[[#This Row],[Patologia respiratoria nota]],1)),0,1)</f>
        <v>0</v>
      </c>
      <c r="AA87" s="47">
        <f>IF(ISERROR(SEARCH("BPCO, OSAS",Tabella2[[#This Row],[Patologia respiratoria nota]],1)),0,1)</f>
        <v>0</v>
      </c>
      <c r="AB87" s="47">
        <f>IF(ISERROR(SEARCH("ASMA, BPCO, OSAS",Tabella2[[#This Row],[Patologia respiratoria nota]],1)),0,1)</f>
        <v>0</v>
      </c>
      <c r="AC87" s="37" t="s">
        <v>381</v>
      </c>
      <c r="AD87" s="46">
        <f>IF(ISERROR(SEARCH("NDD",Tabella2[[#This Row],[Tosse]],1)),0,1)</f>
        <v>0</v>
      </c>
      <c r="AE87" s="46">
        <f>IF(ISERROR(SEARCH("NEGA",Tabella2[[#This Row],[Tosse]],1)),0,1)</f>
        <v>0</v>
      </c>
      <c r="AF87" s="46">
        <f>IF(ISERROR(SEARCH("OCCASIONALMENTE",Tabella2[[#This Row],[Tosse]],1)),0,1)</f>
        <v>0</v>
      </c>
      <c r="AG87" s="46">
        <f>IF(ISERROR(SEARCH("RARAMENTE",Tabella2[[#This Row],[Tosse]],1)),0,1)</f>
        <v>0</v>
      </c>
      <c r="AH87" s="17">
        <v>1</v>
      </c>
      <c r="AI87" s="37" t="s">
        <v>657</v>
      </c>
      <c r="AJ87" s="46">
        <f>IF(ISERROR(SEARCH("SI",Tabella2[[#This Row],[Espettorazione]],1)),0,1)</f>
        <v>0</v>
      </c>
      <c r="AK87" s="46">
        <f>IF(ISERROR(SEARCH("NEGA",Tabella2[[#This Row],[Espettorazione]],1)),0,1)</f>
        <v>1</v>
      </c>
      <c r="AL87" s="46">
        <f>IF(ISERROR(SEARCH("NDD",Tabella2[[#This Row],[Espettorazione]],1)),0,1)</f>
        <v>0</v>
      </c>
      <c r="AM87" s="37" t="s">
        <v>657</v>
      </c>
      <c r="AN87" s="47">
        <v>0</v>
      </c>
      <c r="AO87" s="37" t="s">
        <v>28</v>
      </c>
      <c r="AP87" s="47">
        <f>IF(ISERROR(SEARCH("NEGA",Tabella2[[#This Row],[Dispnea da sforzo]],1)),0,1)</f>
        <v>0</v>
      </c>
      <c r="AQ87" s="47">
        <f>IF(ISERROR(SEARCH("NEGA",Tabella2[[#This Row],[Dispnea da sforzo]],1)),1,0)</f>
        <v>1</v>
      </c>
      <c r="AR87" s="47">
        <f>IF(ISERROR(SEARCH("LIEVI",Tabella2[[#This Row],[Dispnea da sforzo]],1)),0,1)</f>
        <v>0</v>
      </c>
      <c r="AS87" s="47">
        <f>IF(ISERROR(SEARCH("MODERATI",Tabella2[[#This Row],[Dispnea da sforzo]],1)),0,1)</f>
        <v>0</v>
      </c>
      <c r="AT87" s="47">
        <f>IF(ISERROR(SEARCH("INTENSI",Tabella2[[#This Row],[Dispnea da sforzo]],1)),0,1)</f>
        <v>0</v>
      </c>
      <c r="AU87" s="37" t="s">
        <v>657</v>
      </c>
      <c r="AV87" s="46">
        <f>IF(ISERROR(SEARCH("NEGA",Tabella2[[#This Row],[Dispnea a riposo]],1)),0,1)</f>
        <v>1</v>
      </c>
      <c r="AW87" s="46">
        <f>IF(ISERROR(SEARCH("NDD",Tabella2[[#This Row],[Dispnea a riposo]],1)),0,1)</f>
        <v>0</v>
      </c>
      <c r="AX87" s="37" t="s">
        <v>28</v>
      </c>
      <c r="AY87" s="46">
        <v>1</v>
      </c>
      <c r="AZ87" s="37" t="s">
        <v>28</v>
      </c>
      <c r="BA87" s="17">
        <v>1</v>
      </c>
      <c r="BB87" s="37" t="s">
        <v>28</v>
      </c>
      <c r="BC87" s="17">
        <v>1</v>
      </c>
      <c r="BD87" s="37" t="s">
        <v>657</v>
      </c>
      <c r="BE87" s="18">
        <v>0</v>
      </c>
      <c r="BF87" s="37" t="s">
        <v>5477</v>
      </c>
      <c r="BG87" s="17">
        <v>0</v>
      </c>
      <c r="BH87" s="37" t="s">
        <v>5477</v>
      </c>
      <c r="BI87" s="46">
        <v>0</v>
      </c>
      <c r="BJ87" s="37">
        <v>15</v>
      </c>
      <c r="BK87" s="37"/>
      <c r="BL87" s="46"/>
      <c r="BM87" s="46"/>
      <c r="BN87" s="46"/>
      <c r="BO87" s="46"/>
      <c r="BP87" s="46"/>
      <c r="BQ87" s="46"/>
      <c r="BR87" s="46"/>
      <c r="BS87" s="46"/>
      <c r="BT87" s="46"/>
      <c r="BU87" s="46"/>
      <c r="BV87" s="46"/>
      <c r="BW87" s="46"/>
      <c r="BX87" s="46"/>
      <c r="BY87" s="46"/>
      <c r="BZ87" s="46"/>
      <c r="CA87" s="46"/>
      <c r="CB87" s="46"/>
      <c r="CC87" s="46"/>
      <c r="CD87" s="46"/>
      <c r="CE87" s="46"/>
      <c r="CF87" s="46"/>
      <c r="CG87" s="37">
        <v>30</v>
      </c>
      <c r="CH87" s="37"/>
      <c r="CI87" s="37">
        <v>98</v>
      </c>
      <c r="CJ87" s="37">
        <v>78</v>
      </c>
      <c r="CK87" s="37" t="s">
        <v>2158</v>
      </c>
      <c r="CL87" s="37" t="s">
        <v>4938</v>
      </c>
      <c r="CM87" s="37" t="s">
        <v>3914</v>
      </c>
      <c r="CN87" s="17">
        <v>0</v>
      </c>
      <c r="CO87" s="17">
        <v>1</v>
      </c>
      <c r="CP87" s="17">
        <v>0</v>
      </c>
      <c r="CQ87" s="17">
        <v>0</v>
      </c>
      <c r="CR87" s="37" t="s">
        <v>4549</v>
      </c>
      <c r="CS87" s="37" t="s">
        <v>4939</v>
      </c>
      <c r="CT87" s="63">
        <v>0.96499999999999997</v>
      </c>
      <c r="CU87" s="37" t="s">
        <v>4940</v>
      </c>
      <c r="CV87" s="37"/>
      <c r="CW87" s="37"/>
      <c r="CX87" s="37" t="s">
        <v>28</v>
      </c>
      <c r="CY87" s="17">
        <v>1</v>
      </c>
      <c r="CZ87" s="37" t="s">
        <v>4941</v>
      </c>
      <c r="DA87" s="38" t="s">
        <v>4942</v>
      </c>
    </row>
    <row r="88" spans="1:105" customFormat="1" ht="57">
      <c r="A88" s="31">
        <v>1805</v>
      </c>
      <c r="B88" s="32">
        <v>45202</v>
      </c>
      <c r="C88" s="7" t="s">
        <v>4943</v>
      </c>
      <c r="D88" s="32">
        <v>22924</v>
      </c>
      <c r="E88" s="43">
        <f ca="1">_xlfn.DAYS(NOW(),Tabella2[[#This Row],[Data Nascita]])/365.25</f>
        <v>62.830937713894592</v>
      </c>
      <c r="F88" s="33" t="s">
        <v>4944</v>
      </c>
      <c r="G88" s="33" t="s">
        <v>4945</v>
      </c>
      <c r="H88" s="33" t="s">
        <v>4555</v>
      </c>
      <c r="I88" s="33" t="s">
        <v>3948</v>
      </c>
      <c r="J88" s="33" t="s">
        <v>4946</v>
      </c>
      <c r="K88" s="33"/>
      <c r="L88" s="33"/>
      <c r="M88" s="33"/>
      <c r="N88" s="33" t="s">
        <v>8</v>
      </c>
      <c r="O88" s="47">
        <v>0</v>
      </c>
      <c r="P88" s="47">
        <v>1</v>
      </c>
      <c r="Q88" s="33" t="s">
        <v>8</v>
      </c>
      <c r="R88" s="33" t="s">
        <v>8</v>
      </c>
      <c r="S88" s="33" t="s">
        <v>4947</v>
      </c>
      <c r="T88" s="33" t="s">
        <v>3804</v>
      </c>
      <c r="U88" s="47">
        <f>IF(ISERROR(SEARCH("null",Tabella2[[#This Row],[Patologia respiratoria nota]],1)),0,1)</f>
        <v>0</v>
      </c>
      <c r="V88" s="47">
        <f>IF(ISERROR(SEARCH("MUTA",Tabella2[[#This Row],[Patologia respiratoria nota]],1)),0,1)</f>
        <v>0</v>
      </c>
      <c r="W88" s="47">
        <f>IF(ISERROR(SEARCH("OSAS",Tabella2[[#This Row],[Patologia respiratoria nota]],1)),0,1)</f>
        <v>1</v>
      </c>
      <c r="X88" s="47">
        <f>IF(ISERROR(SEARCH("BPCO",Tabella2[[#This Row],[Patologia respiratoria nota]],1)),0,1)</f>
        <v>0</v>
      </c>
      <c r="Y88" s="47">
        <f>IF(ISERROR(SEARCH("ASMA",Tabella2[[#This Row],[Patologia respiratoria nota]],1)),0,1)</f>
        <v>1</v>
      </c>
      <c r="Z88" s="47">
        <f>IF(ISERROR(SEARCH("ASMA, OSAS",Tabella2[[#This Row],[Patologia respiratoria nota]],1)),0,1)</f>
        <v>1</v>
      </c>
      <c r="AA88" s="47">
        <f>IF(ISERROR(SEARCH("BPCO, OSAS",Tabella2[[#This Row],[Patologia respiratoria nota]],1)),0,1)</f>
        <v>0</v>
      </c>
      <c r="AB88" s="47">
        <f>IF(ISERROR(SEARCH("ASMA, BPCO, OSAS",Tabella2[[#This Row],[Patologia respiratoria nota]],1)),0,1)</f>
        <v>0</v>
      </c>
      <c r="AC88" s="41" t="s">
        <v>657</v>
      </c>
      <c r="AD88" s="48">
        <f>IF(ISERROR(SEARCH("NDD",Tabella2[[#This Row],[Tosse]],1)),0,1)</f>
        <v>0</v>
      </c>
      <c r="AE88" s="48">
        <f>IF(ISERROR(SEARCH("NEGA",Tabella2[[#This Row],[Tosse]],1)),0,1)</f>
        <v>1</v>
      </c>
      <c r="AF88" s="48">
        <f>IF(ISERROR(SEARCH("OCCASIONALMENTE",Tabella2[[#This Row],[Tosse]],1)),0,1)</f>
        <v>0</v>
      </c>
      <c r="AG88" s="48">
        <f>IF(ISERROR(SEARCH("RARAMENTE",Tabella2[[#This Row],[Tosse]],1)),0,1)</f>
        <v>0</v>
      </c>
      <c r="AH88" s="48">
        <f>IF(ISERROR(SEARCH("SI",Tabella2[[#This Row],[Tosse]],1)),0,1)</f>
        <v>0</v>
      </c>
      <c r="AI88" s="33" t="s">
        <v>657</v>
      </c>
      <c r="AJ88" s="47">
        <f>IF(ISERROR(SEARCH("SI",Tabella2[[#This Row],[Espettorazione]],1)),0,1)</f>
        <v>0</v>
      </c>
      <c r="AK88" s="47">
        <f>IF(ISERROR(SEARCH("NEGA",Tabella2[[#This Row],[Espettorazione]],1)),0,1)</f>
        <v>1</v>
      </c>
      <c r="AL88" s="47">
        <f>IF(ISERROR(SEARCH("NDD",Tabella2[[#This Row],[Espettorazione]],1)),0,1)</f>
        <v>0</v>
      </c>
      <c r="AM88" s="33" t="s">
        <v>657</v>
      </c>
      <c r="AN88" s="47">
        <v>0</v>
      </c>
      <c r="AO88" s="33" t="s">
        <v>28</v>
      </c>
      <c r="AP88" s="47">
        <f>IF(ISERROR(SEARCH("NEGA",Tabella2[[#This Row],[Dispnea da sforzo]],1)),0,1)</f>
        <v>0</v>
      </c>
      <c r="AQ88" s="47">
        <f>IF(ISERROR(SEARCH("NEGA",Tabella2[[#This Row],[Dispnea da sforzo]],1)),1,0)</f>
        <v>1</v>
      </c>
      <c r="AR88" s="47">
        <f>IF(ISERROR(SEARCH("LIEVI",Tabella2[[#This Row],[Dispnea da sforzo]],1)),0,1)</f>
        <v>0</v>
      </c>
      <c r="AS88" s="47">
        <f>IF(ISERROR(SEARCH("MODERATI",Tabella2[[#This Row],[Dispnea da sforzo]],1)),0,1)</f>
        <v>0</v>
      </c>
      <c r="AT88" s="47">
        <f>IF(ISERROR(SEARCH("INTENSI",Tabella2[[#This Row],[Dispnea da sforzo]],1)),0,1)</f>
        <v>0</v>
      </c>
      <c r="AU88" s="33" t="s">
        <v>657</v>
      </c>
      <c r="AV88" s="47">
        <f>IF(ISERROR(SEARCH("NEGA",Tabella2[[#This Row],[Dispnea a riposo]],1)),0,1)</f>
        <v>1</v>
      </c>
      <c r="AW88" s="47">
        <f>IF(ISERROR(SEARCH("NDD",Tabella2[[#This Row],[Dispnea a riposo]],1)),0,1)</f>
        <v>0</v>
      </c>
      <c r="AX88" s="33" t="s">
        <v>28</v>
      </c>
      <c r="AY88" s="46">
        <v>1</v>
      </c>
      <c r="AZ88" s="33" t="s">
        <v>28</v>
      </c>
      <c r="BA88" s="17">
        <v>1</v>
      </c>
      <c r="BB88" s="33" t="s">
        <v>272</v>
      </c>
      <c r="BC88" s="17">
        <v>1</v>
      </c>
      <c r="BD88" s="33" t="s">
        <v>28</v>
      </c>
      <c r="BE88" s="17">
        <v>1</v>
      </c>
      <c r="BF88" s="33" t="s">
        <v>28</v>
      </c>
      <c r="BG88" s="17">
        <v>1</v>
      </c>
      <c r="BH88" s="33" t="s">
        <v>4948</v>
      </c>
      <c r="BI88" s="18">
        <v>1</v>
      </c>
      <c r="BJ88" s="33">
        <v>12</v>
      </c>
      <c r="BK88" s="33"/>
      <c r="BL88" s="47"/>
      <c r="BM88" s="47"/>
      <c r="BN88" s="47"/>
      <c r="BO88" s="47"/>
      <c r="BP88" s="47"/>
      <c r="BQ88" s="47"/>
      <c r="BR88" s="47"/>
      <c r="BS88" s="47"/>
      <c r="BT88" s="47"/>
      <c r="BU88" s="47"/>
      <c r="BV88" s="47"/>
      <c r="BW88" s="47"/>
      <c r="BX88" s="47"/>
      <c r="BY88" s="47"/>
      <c r="BZ88" s="47"/>
      <c r="CA88" s="47"/>
      <c r="CB88" s="47"/>
      <c r="CC88" s="47"/>
      <c r="CD88" s="47"/>
      <c r="CE88" s="47"/>
      <c r="CF88" s="47"/>
      <c r="CG88" s="33">
        <v>35</v>
      </c>
      <c r="CH88" s="33"/>
      <c r="CI88" s="33">
        <v>98</v>
      </c>
      <c r="CJ88" s="33">
        <v>76</v>
      </c>
      <c r="CK88" s="33" t="s">
        <v>2158</v>
      </c>
      <c r="CL88" s="33" t="s">
        <v>4949</v>
      </c>
      <c r="CM88" s="33" t="s">
        <v>4150</v>
      </c>
      <c r="CN88" s="17">
        <v>0</v>
      </c>
      <c r="CO88" s="17">
        <v>0</v>
      </c>
      <c r="CP88" s="17">
        <v>0</v>
      </c>
      <c r="CQ88" s="17">
        <v>0</v>
      </c>
      <c r="CR88" s="33" t="s">
        <v>4549</v>
      </c>
      <c r="CS88" s="33" t="s">
        <v>4950</v>
      </c>
      <c r="CT88" s="66">
        <v>0.58499999999999996</v>
      </c>
      <c r="CU88" s="33" t="s">
        <v>4951</v>
      </c>
      <c r="CV88" s="33"/>
      <c r="CW88" s="33"/>
      <c r="CX88" s="33" t="s">
        <v>28</v>
      </c>
      <c r="CY88" s="17">
        <v>1</v>
      </c>
      <c r="CZ88" s="33" t="s">
        <v>4952</v>
      </c>
      <c r="DA88" s="34" t="s">
        <v>4953</v>
      </c>
    </row>
    <row r="89" spans="1:105" s="54" customFormat="1" ht="28.5">
      <c r="A89" s="9">
        <v>1815</v>
      </c>
      <c r="B89" s="10">
        <v>45204</v>
      </c>
      <c r="C89" s="11" t="s">
        <v>4954</v>
      </c>
      <c r="D89" s="10">
        <v>21023</v>
      </c>
      <c r="E89" s="52">
        <f ca="1">_xlfn.DAYS(NOW(),Tabella2[[#This Row],[Data Nascita]])/365.25</f>
        <v>68.035592060232716</v>
      </c>
      <c r="F89" s="11" t="s">
        <v>4955</v>
      </c>
      <c r="G89" s="11" t="s">
        <v>4956</v>
      </c>
      <c r="H89" s="11" t="s">
        <v>4555</v>
      </c>
      <c r="I89" s="11" t="s">
        <v>742</v>
      </c>
      <c r="J89" s="11" t="s">
        <v>4957</v>
      </c>
      <c r="K89" s="11"/>
      <c r="L89" s="11"/>
      <c r="M89" s="11"/>
      <c r="N89" s="11" t="s">
        <v>8</v>
      </c>
      <c r="O89" s="17">
        <v>0</v>
      </c>
      <c r="P89" s="17">
        <v>1</v>
      </c>
      <c r="Q89" s="11" t="s">
        <v>8</v>
      </c>
      <c r="R89" s="11" t="s">
        <v>4958</v>
      </c>
      <c r="S89" s="11" t="s">
        <v>4959</v>
      </c>
      <c r="T89" s="11" t="s">
        <v>4960</v>
      </c>
      <c r="U89" s="18">
        <f>IF(ISERROR(SEARCH("null",Tabella2[[#This Row],[Patologia respiratoria nota]],1)),0,1)</f>
        <v>0</v>
      </c>
      <c r="V89" s="17">
        <f>IF(ISERROR(SEARCH("MUTA",Tabella2[[#This Row],[Patologia respiratoria nota]],1)),0,1)</f>
        <v>0</v>
      </c>
      <c r="W89" s="18">
        <f>IF(ISERROR(SEARCH("OSAS",Tabella2[[#This Row],[Patologia respiratoria nota]],1)),0,1)</f>
        <v>1</v>
      </c>
      <c r="X89" s="17">
        <f>IF(ISERROR(SEARCH("BPCO",Tabella2[[#This Row],[Patologia respiratoria nota]],1)),0,1)</f>
        <v>0</v>
      </c>
      <c r="Y89" s="17">
        <f>IF(ISERROR(SEARCH("ASMA",Tabella2[[#This Row],[Patologia respiratoria nota]],1)),0,1)</f>
        <v>0</v>
      </c>
      <c r="Z89" s="17">
        <f>IF(ISERROR(SEARCH("ASMA, OSAS",Tabella2[[#This Row],[Patologia respiratoria nota]],1)),0,1)</f>
        <v>0</v>
      </c>
      <c r="AA89" s="17">
        <f>IF(ISERROR(SEARCH("BPCO, OSAS",Tabella2[[#This Row],[Patologia respiratoria nota]],1)),0,1)</f>
        <v>0</v>
      </c>
      <c r="AB89" s="17">
        <f>IF(ISERROR(SEARCH("ASMA, BPCO, OSAS",Tabella2[[#This Row],[Patologia respiratoria nota]],1)),0,1)</f>
        <v>0</v>
      </c>
      <c r="AC89" s="11" t="s">
        <v>381</v>
      </c>
      <c r="AD89" s="18">
        <f>IF(ISERROR(SEARCH("NDD",Tabella2[[#This Row],[Tosse]],1)),0,1)</f>
        <v>0</v>
      </c>
      <c r="AE89" s="18">
        <f>IF(ISERROR(SEARCH("NEGA",Tabella2[[#This Row],[Tosse]],1)),0,1)</f>
        <v>0</v>
      </c>
      <c r="AF89" s="18">
        <f>IF(ISERROR(SEARCH("OCCASIONALMENTE",Tabella2[[#This Row],[Tosse]],1)),0,1)</f>
        <v>0</v>
      </c>
      <c r="AG89" s="18">
        <f>IF(ISERROR(SEARCH("RARAMENTE",Tabella2[[#This Row],[Tosse]],1)),0,1)</f>
        <v>0</v>
      </c>
      <c r="AH89" s="17">
        <v>1</v>
      </c>
      <c r="AI89" s="11" t="s">
        <v>657</v>
      </c>
      <c r="AJ89" s="18">
        <f>IF(ISERROR(SEARCH("SI",Tabella2[[#This Row],[Espettorazione]],1)),0,1)</f>
        <v>0</v>
      </c>
      <c r="AK89" s="18">
        <f>IF(ISERROR(SEARCH("NEGA",Tabella2[[#This Row],[Espettorazione]],1)),0,1)</f>
        <v>1</v>
      </c>
      <c r="AL89" s="18">
        <f>IF(ISERROR(SEARCH("NDD",Tabella2[[#This Row],[Espettorazione]],1)),0,1)</f>
        <v>0</v>
      </c>
      <c r="AM89" s="11" t="s">
        <v>28</v>
      </c>
      <c r="AN89" s="17">
        <v>1</v>
      </c>
      <c r="AO89" s="7" t="s">
        <v>657</v>
      </c>
      <c r="AP89" s="17">
        <f>IF(ISERROR(SEARCH("NEGA",Tabella2[[#This Row],[Dispnea da sforzo]],1)),0,1)</f>
        <v>1</v>
      </c>
      <c r="AQ89" s="17">
        <f>IF(ISERROR(SEARCH("NEGA",Tabella2[[#This Row],[Dispnea da sforzo]],1)),1,0)</f>
        <v>0</v>
      </c>
      <c r="AR89" s="17">
        <f>IF(ISERROR(SEARCH("LIEVI",Tabella2[[#This Row],[Dispnea da sforzo]],1)),0,1)</f>
        <v>0</v>
      </c>
      <c r="AS89" s="17">
        <f>IF(ISERROR(SEARCH("MODERATI",Tabella2[[#This Row],[Dispnea da sforzo]],1)),0,1)</f>
        <v>0</v>
      </c>
      <c r="AT89" s="17">
        <f>IF(ISERROR(SEARCH("INTENSI",Tabella2[[#This Row],[Dispnea da sforzo]],1)),0,1)</f>
        <v>0</v>
      </c>
      <c r="AU89" s="11" t="s">
        <v>657</v>
      </c>
      <c r="AV89" s="18">
        <f>IF(ISERROR(SEARCH("NEGA",Tabella2[[#This Row],[Dispnea a riposo]],1)),0,1)</f>
        <v>1</v>
      </c>
      <c r="AW89" s="18">
        <f>IF(ISERROR(SEARCH("NDD",Tabella2[[#This Row],[Dispnea a riposo]],1)),0,1)</f>
        <v>0</v>
      </c>
      <c r="AX89" s="11" t="s">
        <v>28</v>
      </c>
      <c r="AY89" s="18">
        <v>1</v>
      </c>
      <c r="AZ89" s="11" t="s">
        <v>657</v>
      </c>
      <c r="BA89" s="18">
        <v>0</v>
      </c>
      <c r="BB89" s="11" t="s">
        <v>28</v>
      </c>
      <c r="BC89" s="17">
        <v>1</v>
      </c>
      <c r="BD89" s="37" t="s">
        <v>657</v>
      </c>
      <c r="BE89" s="18">
        <v>0</v>
      </c>
      <c r="BF89" s="11" t="s">
        <v>657</v>
      </c>
      <c r="BG89" s="17">
        <v>0</v>
      </c>
      <c r="BH89" s="11" t="s">
        <v>657</v>
      </c>
      <c r="BI89" s="17">
        <v>0</v>
      </c>
      <c r="BJ89" s="11">
        <v>12</v>
      </c>
      <c r="BK89" s="11"/>
      <c r="BL89" s="18"/>
      <c r="BM89" s="18"/>
      <c r="BN89" s="18"/>
      <c r="BO89" s="18"/>
      <c r="BP89" s="18"/>
      <c r="BQ89" s="18"/>
      <c r="BR89" s="18"/>
      <c r="BS89" s="18"/>
      <c r="BT89" s="18"/>
      <c r="BU89" s="18"/>
      <c r="BV89" s="18"/>
      <c r="BW89" s="18"/>
      <c r="BX89" s="18"/>
      <c r="BY89" s="18"/>
      <c r="BZ89" s="18"/>
      <c r="CA89" s="18"/>
      <c r="CB89" s="18"/>
      <c r="CC89" s="18"/>
      <c r="CD89" s="18"/>
      <c r="CE89" s="18"/>
      <c r="CF89" s="18"/>
      <c r="CG89" s="11">
        <v>31</v>
      </c>
      <c r="CH89" s="11"/>
      <c r="CI89" s="11">
        <v>99</v>
      </c>
      <c r="CJ89" s="11">
        <v>75</v>
      </c>
      <c r="CK89" s="11"/>
      <c r="CL89" s="11"/>
      <c r="CM89" s="11" t="s">
        <v>3883</v>
      </c>
      <c r="CN89" s="17">
        <v>0</v>
      </c>
      <c r="CO89" s="17">
        <v>0</v>
      </c>
      <c r="CP89" s="17">
        <v>1</v>
      </c>
      <c r="CQ89" s="17">
        <v>0</v>
      </c>
      <c r="CR89" s="11" t="s">
        <v>4549</v>
      </c>
      <c r="CS89" s="11" t="s">
        <v>4961</v>
      </c>
      <c r="CT89" s="65">
        <v>0.50800000000000001</v>
      </c>
      <c r="CU89" s="11" t="s">
        <v>4962</v>
      </c>
      <c r="CV89" s="11"/>
      <c r="CW89" s="11"/>
      <c r="CX89" s="11" t="s">
        <v>28</v>
      </c>
      <c r="CY89" s="17">
        <v>1</v>
      </c>
      <c r="CZ89" s="11" t="s">
        <v>4963</v>
      </c>
      <c r="DA89" s="12" t="s">
        <v>4964</v>
      </c>
    </row>
    <row r="90" spans="1:105" customFormat="1" ht="42.75">
      <c r="A90" s="31">
        <v>1853</v>
      </c>
      <c r="B90" s="32">
        <v>45218</v>
      </c>
      <c r="C90" s="7" t="s">
        <v>4965</v>
      </c>
      <c r="D90" s="32">
        <v>27569</v>
      </c>
      <c r="E90" s="43">
        <f ca="1">_xlfn.DAYS(NOW(),Tabella2[[#This Row],[Data Nascita]])/365.25</f>
        <v>50.113620807665981</v>
      </c>
      <c r="F90" s="33" t="s">
        <v>4966</v>
      </c>
      <c r="G90" s="33" t="s">
        <v>4967</v>
      </c>
      <c r="H90" s="33" t="s">
        <v>4968</v>
      </c>
      <c r="I90" s="33" t="s">
        <v>3948</v>
      </c>
      <c r="J90" s="33" t="s">
        <v>4969</v>
      </c>
      <c r="K90" s="33"/>
      <c r="L90" s="33"/>
      <c r="M90" s="33"/>
      <c r="N90" s="33" t="s">
        <v>8</v>
      </c>
      <c r="O90" s="47">
        <v>0</v>
      </c>
      <c r="P90" s="47">
        <v>1</v>
      </c>
      <c r="Q90" s="33" t="s">
        <v>8</v>
      </c>
      <c r="R90" s="33" t="s">
        <v>4970</v>
      </c>
      <c r="S90" s="33" t="s">
        <v>4971</v>
      </c>
      <c r="T90" s="33" t="s">
        <v>4960</v>
      </c>
      <c r="U90" s="47">
        <f>IF(ISERROR(SEARCH("null",Tabella2[[#This Row],[Patologia respiratoria nota]],1)),0,1)</f>
        <v>0</v>
      </c>
      <c r="V90" s="47">
        <f>IF(ISERROR(SEARCH("MUTA",Tabella2[[#This Row],[Patologia respiratoria nota]],1)),0,1)</f>
        <v>0</v>
      </c>
      <c r="W90" s="47">
        <f>IF(ISERROR(SEARCH("OSAS",Tabella2[[#This Row],[Patologia respiratoria nota]],1)),0,1)</f>
        <v>1</v>
      </c>
      <c r="X90" s="47">
        <f>IF(ISERROR(SEARCH("BPCO",Tabella2[[#This Row],[Patologia respiratoria nota]],1)),0,1)</f>
        <v>0</v>
      </c>
      <c r="Y90" s="47">
        <f>IF(ISERROR(SEARCH("ASMA",Tabella2[[#This Row],[Patologia respiratoria nota]],1)),0,1)</f>
        <v>0</v>
      </c>
      <c r="Z90" s="47">
        <f>IF(ISERROR(SEARCH("ASMA, OSAS",Tabella2[[#This Row],[Patologia respiratoria nota]],1)),0,1)</f>
        <v>0</v>
      </c>
      <c r="AA90" s="47">
        <f>IF(ISERROR(SEARCH("BPCO, OSAS",Tabella2[[#This Row],[Patologia respiratoria nota]],1)),0,1)</f>
        <v>0</v>
      </c>
      <c r="AB90" s="47">
        <f>IF(ISERROR(SEARCH("ASMA, BPCO, OSAS",Tabella2[[#This Row],[Patologia respiratoria nota]],1)),0,1)</f>
        <v>0</v>
      </c>
      <c r="AC90" s="33" t="s">
        <v>381</v>
      </c>
      <c r="AD90" s="47">
        <f>IF(ISERROR(SEARCH("NDD",Tabella2[[#This Row],[Tosse]],1)),0,1)</f>
        <v>0</v>
      </c>
      <c r="AE90" s="47">
        <f>IF(ISERROR(SEARCH("NEGA",Tabella2[[#This Row],[Tosse]],1)),0,1)</f>
        <v>0</v>
      </c>
      <c r="AF90" s="47">
        <f>IF(ISERROR(SEARCH("OCCASIONALMENTE",Tabella2[[#This Row],[Tosse]],1)),0,1)</f>
        <v>0</v>
      </c>
      <c r="AG90" s="47">
        <f>IF(ISERROR(SEARCH("RARAMENTE",Tabella2[[#This Row],[Tosse]],1)),0,1)</f>
        <v>0</v>
      </c>
      <c r="AH90" s="17">
        <v>1</v>
      </c>
      <c r="AI90" s="33" t="s">
        <v>657</v>
      </c>
      <c r="AJ90" s="47">
        <f>IF(ISERROR(SEARCH("SI",Tabella2[[#This Row],[Espettorazione]],1)),0,1)</f>
        <v>0</v>
      </c>
      <c r="AK90" s="47">
        <f>IF(ISERROR(SEARCH("NEGA",Tabella2[[#This Row],[Espettorazione]],1)),0,1)</f>
        <v>1</v>
      </c>
      <c r="AL90" s="47">
        <f>IF(ISERROR(SEARCH("NDD",Tabella2[[#This Row],[Espettorazione]],1)),0,1)</f>
        <v>0</v>
      </c>
      <c r="AM90" s="33" t="s">
        <v>4972</v>
      </c>
      <c r="AN90" s="47">
        <v>1</v>
      </c>
      <c r="AO90" s="33" t="s">
        <v>28</v>
      </c>
      <c r="AP90" s="47">
        <f>IF(ISERROR(SEARCH("NEGA",Tabella2[[#This Row],[Dispnea da sforzo]],1)),0,1)</f>
        <v>0</v>
      </c>
      <c r="AQ90" s="47">
        <f>IF(ISERROR(SEARCH("NEGA",Tabella2[[#This Row],[Dispnea da sforzo]],1)),1,0)</f>
        <v>1</v>
      </c>
      <c r="AR90" s="47">
        <f>IF(ISERROR(SEARCH("LIEVI",Tabella2[[#This Row],[Dispnea da sforzo]],1)),0,1)</f>
        <v>0</v>
      </c>
      <c r="AS90" s="47">
        <f>IF(ISERROR(SEARCH("MODERATI",Tabella2[[#This Row],[Dispnea da sforzo]],1)),0,1)</f>
        <v>0</v>
      </c>
      <c r="AT90" s="47">
        <f>IF(ISERROR(SEARCH("INTENSI",Tabella2[[#This Row],[Dispnea da sforzo]],1)),0,1)</f>
        <v>0</v>
      </c>
      <c r="AU90" s="33" t="s">
        <v>657</v>
      </c>
      <c r="AV90" s="47">
        <f>IF(ISERROR(SEARCH("NEGA",Tabella2[[#This Row],[Dispnea a riposo]],1)),0,1)</f>
        <v>1</v>
      </c>
      <c r="AW90" s="47">
        <f>IF(ISERROR(SEARCH("NDD",Tabella2[[#This Row],[Dispnea a riposo]],1)),0,1)</f>
        <v>0</v>
      </c>
      <c r="AX90" s="33" t="s">
        <v>28</v>
      </c>
      <c r="AY90" s="46">
        <v>1</v>
      </c>
      <c r="AZ90" s="33" t="s">
        <v>28</v>
      </c>
      <c r="BA90" s="17">
        <v>1</v>
      </c>
      <c r="BB90" s="33" t="s">
        <v>28</v>
      </c>
      <c r="BC90" s="17">
        <v>1</v>
      </c>
      <c r="BD90" s="33" t="s">
        <v>657</v>
      </c>
      <c r="BE90" s="18">
        <v>0</v>
      </c>
      <c r="BF90" s="33" t="s">
        <v>28</v>
      </c>
      <c r="BG90" s="17">
        <v>1</v>
      </c>
      <c r="BH90" s="33" t="s">
        <v>28</v>
      </c>
      <c r="BI90" s="18">
        <v>1</v>
      </c>
      <c r="BJ90" s="33">
        <v>12</v>
      </c>
      <c r="BK90" s="33"/>
      <c r="BL90" s="47"/>
      <c r="BM90" s="47"/>
      <c r="BN90" s="47"/>
      <c r="BO90" s="47"/>
      <c r="BP90" s="47"/>
      <c r="BQ90" s="47"/>
      <c r="BR90" s="47"/>
      <c r="BS90" s="47"/>
      <c r="BT90" s="47"/>
      <c r="BU90" s="47"/>
      <c r="BV90" s="47"/>
      <c r="BW90" s="47"/>
      <c r="BX90" s="47"/>
      <c r="BY90" s="47"/>
      <c r="BZ90" s="47"/>
      <c r="CA90" s="47"/>
      <c r="CB90" s="47"/>
      <c r="CC90" s="47"/>
      <c r="CD90" s="47"/>
      <c r="CE90" s="47"/>
      <c r="CF90" s="47"/>
      <c r="CG90" s="33">
        <v>25</v>
      </c>
      <c r="CH90" s="33"/>
      <c r="CI90" s="33">
        <v>97</v>
      </c>
      <c r="CJ90" s="33">
        <v>60</v>
      </c>
      <c r="CK90" s="33" t="s">
        <v>4973</v>
      </c>
      <c r="CL90" s="33" t="s">
        <v>4974</v>
      </c>
      <c r="CM90" s="33" t="s">
        <v>3883</v>
      </c>
      <c r="CN90" s="17">
        <v>0</v>
      </c>
      <c r="CO90" s="17">
        <v>0</v>
      </c>
      <c r="CP90" s="17">
        <v>1</v>
      </c>
      <c r="CQ90" s="17">
        <v>0</v>
      </c>
      <c r="CR90" s="33" t="s">
        <v>4549</v>
      </c>
      <c r="CS90" s="33" t="s">
        <v>4975</v>
      </c>
      <c r="CT90" s="66">
        <v>0.1</v>
      </c>
      <c r="CU90" s="33" t="s">
        <v>4976</v>
      </c>
      <c r="CV90" s="33"/>
      <c r="CW90" s="33"/>
      <c r="CX90" s="33" t="s">
        <v>4977</v>
      </c>
      <c r="CY90" s="17">
        <v>1</v>
      </c>
      <c r="CZ90" s="33" t="s">
        <v>4978</v>
      </c>
      <c r="DA90" s="34" t="s">
        <v>4979</v>
      </c>
    </row>
    <row r="91" spans="1:105" s="54" customFormat="1" ht="42.75">
      <c r="A91" s="9">
        <v>1855</v>
      </c>
      <c r="B91" s="10">
        <v>45219</v>
      </c>
      <c r="C91" s="11" t="s">
        <v>4980</v>
      </c>
      <c r="D91" s="10">
        <v>25338</v>
      </c>
      <c r="E91" s="52">
        <f ca="1">_xlfn.DAYS(NOW(),Tabella2[[#This Row],[Data Nascita]])/365.25</f>
        <v>56.2217659137577</v>
      </c>
      <c r="F91" s="11" t="s">
        <v>4981</v>
      </c>
      <c r="G91" s="11" t="s">
        <v>4982</v>
      </c>
      <c r="H91" s="11" t="s">
        <v>4555</v>
      </c>
      <c r="I91" s="11" t="s">
        <v>3948</v>
      </c>
      <c r="J91" s="11" t="s">
        <v>4983</v>
      </c>
      <c r="K91" s="11"/>
      <c r="L91" s="11"/>
      <c r="M91" s="11"/>
      <c r="N91" s="11" t="s">
        <v>28</v>
      </c>
      <c r="O91" s="18">
        <v>1</v>
      </c>
      <c r="P91" s="17">
        <v>1</v>
      </c>
      <c r="Q91" s="11" t="s">
        <v>8</v>
      </c>
      <c r="R91" s="11" t="s">
        <v>4984</v>
      </c>
      <c r="S91" s="11" t="s">
        <v>4985</v>
      </c>
      <c r="T91" s="7" t="s">
        <v>3804</v>
      </c>
      <c r="U91" s="18">
        <f>IF(ISERROR(SEARCH("null",Tabella2[[#This Row],[Patologia respiratoria nota]],1)),0,1)</f>
        <v>0</v>
      </c>
      <c r="V91" s="17">
        <f>IF(ISERROR(SEARCH("MUTA",Tabella2[[#This Row],[Patologia respiratoria nota]],1)),0,1)</f>
        <v>0</v>
      </c>
      <c r="W91" s="18">
        <f>IF(ISERROR(SEARCH("OSAS",Tabella2[[#This Row],[Patologia respiratoria nota]],1)),0,1)</f>
        <v>1</v>
      </c>
      <c r="X91" s="17">
        <f>IF(ISERROR(SEARCH("BPCO",Tabella2[[#This Row],[Patologia respiratoria nota]],1)),0,1)</f>
        <v>0</v>
      </c>
      <c r="Y91" s="17">
        <f>IF(ISERROR(SEARCH("ASMA",Tabella2[[#This Row],[Patologia respiratoria nota]],1)),0,1)</f>
        <v>1</v>
      </c>
      <c r="Z91" s="17">
        <f>IF(ISERROR(SEARCH("ASMA, OSAS",Tabella2[[#This Row],[Patologia respiratoria nota]],1)),0,1)</f>
        <v>1</v>
      </c>
      <c r="AA91" s="17">
        <f>IF(ISERROR(SEARCH("BPCO, OSAS",Tabella2[[#This Row],[Patologia respiratoria nota]],1)),0,1)</f>
        <v>0</v>
      </c>
      <c r="AB91" s="17">
        <f>IF(ISERROR(SEARCH("ASMA, BPCO, OSAS",Tabella2[[#This Row],[Patologia respiratoria nota]],1)),0,1)</f>
        <v>0</v>
      </c>
      <c r="AC91" s="11" t="s">
        <v>5466</v>
      </c>
      <c r="AD91" s="18">
        <f>IF(ISERROR(SEARCH("NDD",Tabella2[[#This Row],[Tosse]],1)),0,1)</f>
        <v>0</v>
      </c>
      <c r="AE91" s="18">
        <f>IF(ISERROR(SEARCH("NEGA",Tabella2[[#This Row],[Tosse]],1)),0,1)</f>
        <v>0</v>
      </c>
      <c r="AF91" s="18">
        <f>IF(ISERROR(SEARCH("OCCASIONALMENTE",Tabella2[[#This Row],[Tosse]],1)),0,1)</f>
        <v>1</v>
      </c>
      <c r="AG91" s="18">
        <f>IF(ISERROR(SEARCH("RARAMENTE",Tabella2[[#This Row],[Tosse]],1)),0,1)</f>
        <v>0</v>
      </c>
      <c r="AH91" s="17">
        <v>1</v>
      </c>
      <c r="AI91" s="11" t="s">
        <v>381</v>
      </c>
      <c r="AJ91" s="18">
        <f>IF(ISERROR(SEARCH("SI",Tabella2[[#This Row],[Espettorazione]],1)),0,1)</f>
        <v>1</v>
      </c>
      <c r="AK91" s="17">
        <v>0</v>
      </c>
      <c r="AL91" s="18">
        <f>IF(ISERROR(SEARCH("NDD",Tabella2[[#This Row],[Espettorazione]],1)),0,1)</f>
        <v>0</v>
      </c>
      <c r="AM91" s="11" t="s">
        <v>657</v>
      </c>
      <c r="AN91" s="17">
        <v>0</v>
      </c>
      <c r="AO91" s="11" t="s">
        <v>28</v>
      </c>
      <c r="AP91" s="17">
        <f>IF(ISERROR(SEARCH("NEGA",Tabella2[[#This Row],[Dispnea da sforzo]],1)),0,1)</f>
        <v>0</v>
      </c>
      <c r="AQ91" s="17">
        <f>IF(ISERROR(SEARCH("NEGA",Tabella2[[#This Row],[Dispnea da sforzo]],1)),1,0)</f>
        <v>1</v>
      </c>
      <c r="AR91" s="17">
        <f>IF(ISERROR(SEARCH("LIEVI",Tabella2[[#This Row],[Dispnea da sforzo]],1)),0,1)</f>
        <v>0</v>
      </c>
      <c r="AS91" s="17">
        <f>IF(ISERROR(SEARCH("MODERATI",Tabella2[[#This Row],[Dispnea da sforzo]],1)),0,1)</f>
        <v>0</v>
      </c>
      <c r="AT91" s="17">
        <f>IF(ISERROR(SEARCH("INTENSI",Tabella2[[#This Row],[Dispnea da sforzo]],1)),0,1)</f>
        <v>0</v>
      </c>
      <c r="AU91" s="11" t="s">
        <v>657</v>
      </c>
      <c r="AV91" s="18">
        <f>IF(ISERROR(SEARCH("NEGA",Tabella2[[#This Row],[Dispnea a riposo]],1)),0,1)</f>
        <v>1</v>
      </c>
      <c r="AW91" s="18">
        <f>IF(ISERROR(SEARCH("NDD",Tabella2[[#This Row],[Dispnea a riposo]],1)),0,1)</f>
        <v>0</v>
      </c>
      <c r="AX91" s="11" t="s">
        <v>28</v>
      </c>
      <c r="AY91" s="18">
        <v>1</v>
      </c>
      <c r="AZ91" s="11" t="s">
        <v>657</v>
      </c>
      <c r="BA91" s="18">
        <v>0</v>
      </c>
      <c r="BB91" s="11" t="s">
        <v>28</v>
      </c>
      <c r="BC91" s="17">
        <v>1</v>
      </c>
      <c r="BD91" s="37" t="s">
        <v>657</v>
      </c>
      <c r="BE91" s="18">
        <v>0</v>
      </c>
      <c r="BF91" s="11" t="s">
        <v>657</v>
      </c>
      <c r="BG91" s="17">
        <v>0</v>
      </c>
      <c r="BH91" s="11" t="s">
        <v>28</v>
      </c>
      <c r="BI91" s="18">
        <v>1</v>
      </c>
      <c r="BJ91" s="11">
        <v>15</v>
      </c>
      <c r="BK91" s="11" t="s">
        <v>4986</v>
      </c>
      <c r="BL91" s="18"/>
      <c r="BM91" s="18"/>
      <c r="BN91" s="18"/>
      <c r="BO91" s="18"/>
      <c r="BP91" s="18"/>
      <c r="BQ91" s="18"/>
      <c r="BR91" s="18"/>
      <c r="BS91" s="18"/>
      <c r="BT91" s="18"/>
      <c r="BU91" s="18"/>
      <c r="BV91" s="18"/>
      <c r="BW91" s="18"/>
      <c r="BX91" s="18"/>
      <c r="BY91" s="18"/>
      <c r="BZ91" s="18"/>
      <c r="CA91" s="18"/>
      <c r="CB91" s="18"/>
      <c r="CC91" s="18"/>
      <c r="CD91" s="18"/>
      <c r="CE91" s="18"/>
      <c r="CF91" s="18"/>
      <c r="CG91" s="11">
        <v>37</v>
      </c>
      <c r="CH91" s="11"/>
      <c r="CI91" s="11">
        <v>94</v>
      </c>
      <c r="CJ91" s="11">
        <v>54</v>
      </c>
      <c r="CK91" s="11" t="s">
        <v>2097</v>
      </c>
      <c r="CL91" s="11" t="s">
        <v>4987</v>
      </c>
      <c r="CM91" s="11" t="s">
        <v>3914</v>
      </c>
      <c r="CN91" s="17">
        <v>0</v>
      </c>
      <c r="CO91" s="17">
        <v>1</v>
      </c>
      <c r="CP91" s="17">
        <v>0</v>
      </c>
      <c r="CQ91" s="17">
        <v>0</v>
      </c>
      <c r="CR91" s="11" t="s">
        <v>4549</v>
      </c>
      <c r="CS91" s="11" t="s">
        <v>4988</v>
      </c>
      <c r="CT91" s="65">
        <v>0.56000000000000005</v>
      </c>
      <c r="CU91" s="11" t="s">
        <v>4989</v>
      </c>
      <c r="CV91" s="11"/>
      <c r="CW91" s="11"/>
      <c r="CX91" s="11" t="s">
        <v>461</v>
      </c>
      <c r="CY91" s="17">
        <v>1</v>
      </c>
      <c r="CZ91" s="11" t="s">
        <v>4978</v>
      </c>
      <c r="DA91" s="12" t="s">
        <v>4979</v>
      </c>
    </row>
    <row r="92" spans="1:105" customFormat="1" ht="71.25">
      <c r="A92" s="31">
        <v>1864</v>
      </c>
      <c r="B92" s="32">
        <v>45223</v>
      </c>
      <c r="C92" s="7" t="s">
        <v>4990</v>
      </c>
      <c r="D92" s="32">
        <v>19017</v>
      </c>
      <c r="E92" s="43">
        <f ca="1">_xlfn.DAYS(NOW(),Tabella2[[#This Row],[Data Nascita]])/365.25</f>
        <v>73.527720739219717</v>
      </c>
      <c r="F92" s="33" t="s">
        <v>4991</v>
      </c>
      <c r="G92" s="33" t="s">
        <v>4992</v>
      </c>
      <c r="H92" s="33" t="s">
        <v>4555</v>
      </c>
      <c r="I92" s="33" t="s">
        <v>1950</v>
      </c>
      <c r="J92" s="33" t="s">
        <v>4993</v>
      </c>
      <c r="K92" s="33"/>
      <c r="L92" s="33"/>
      <c r="M92" s="33"/>
      <c r="N92" s="33" t="s">
        <v>8</v>
      </c>
      <c r="O92" s="47">
        <v>0</v>
      </c>
      <c r="P92" s="47">
        <v>1</v>
      </c>
      <c r="Q92" s="33" t="s">
        <v>8</v>
      </c>
      <c r="R92" s="33" t="s">
        <v>4994</v>
      </c>
      <c r="S92" s="33" t="s">
        <v>4995</v>
      </c>
      <c r="T92" s="33" t="s">
        <v>4996</v>
      </c>
      <c r="U92" s="47">
        <f>IF(ISERROR(SEARCH("null",Tabella2[[#This Row],[Patologia respiratoria nota]],1)),0,1)</f>
        <v>0</v>
      </c>
      <c r="V92" s="47">
        <f>IF(ISERROR(SEARCH("MUTA",Tabella2[[#This Row],[Patologia respiratoria nota]],1)),0,1)</f>
        <v>0</v>
      </c>
      <c r="W92" s="47">
        <f>IF(ISERROR(SEARCH("OSAS",Tabella2[[#This Row],[Patologia respiratoria nota]],1)),0,1)</f>
        <v>1</v>
      </c>
      <c r="X92" s="47">
        <f>IF(ISERROR(SEARCH("BPCO",Tabella2[[#This Row],[Patologia respiratoria nota]],1)),0,1)</f>
        <v>0</v>
      </c>
      <c r="Y92" s="47">
        <f>IF(ISERROR(SEARCH("ASMA",Tabella2[[#This Row],[Patologia respiratoria nota]],1)),0,1)</f>
        <v>0</v>
      </c>
      <c r="Z92" s="47">
        <f>IF(ISERROR(SEARCH("ASMA, OSAS",Tabella2[[#This Row],[Patologia respiratoria nota]],1)),0,1)</f>
        <v>0</v>
      </c>
      <c r="AA92" s="47">
        <f>IF(ISERROR(SEARCH("BPCO, OSAS",Tabella2[[#This Row],[Patologia respiratoria nota]],1)),0,1)</f>
        <v>0</v>
      </c>
      <c r="AB92" s="47">
        <f>IF(ISERROR(SEARCH("ASMA, BPCO, OSAS",Tabella2[[#This Row],[Patologia respiratoria nota]],1)),0,1)</f>
        <v>0</v>
      </c>
      <c r="AC92" s="33" t="s">
        <v>5459</v>
      </c>
      <c r="AD92" s="47">
        <f>IF(ISERROR(SEARCH("NDD",Tabella2[[#This Row],[Tosse]],1)),0,1)</f>
        <v>0</v>
      </c>
      <c r="AE92" s="47">
        <f>IF(ISERROR(SEARCH("NEGA",Tabella2[[#This Row],[Tosse]],1)),0,1)</f>
        <v>0</v>
      </c>
      <c r="AF92" s="47">
        <f>IF(ISERROR(SEARCH("OCCASIONALMENTE",Tabella2[[#This Row],[Tosse]],1)),0,1)</f>
        <v>0</v>
      </c>
      <c r="AG92" s="47">
        <f>IF(ISERROR(SEARCH("RARAMENTE",Tabella2[[#This Row],[Tosse]],1)),0,1)</f>
        <v>0</v>
      </c>
      <c r="AH92" s="17">
        <v>1</v>
      </c>
      <c r="AI92" s="33" t="s">
        <v>381</v>
      </c>
      <c r="AJ92" s="47">
        <f>IF(ISERROR(SEARCH("SI",Tabella2[[#This Row],[Espettorazione]],1)),0,1)</f>
        <v>1</v>
      </c>
      <c r="AK92" s="17">
        <v>0</v>
      </c>
      <c r="AL92" s="47">
        <f>IF(ISERROR(SEARCH("NDD",Tabella2[[#This Row],[Espettorazione]],1)),0,1)</f>
        <v>0</v>
      </c>
      <c r="AM92" s="33" t="s">
        <v>28</v>
      </c>
      <c r="AN92" s="47">
        <v>1</v>
      </c>
      <c r="AO92" s="33" t="s">
        <v>657</v>
      </c>
      <c r="AP92" s="47">
        <f>IF(ISERROR(SEARCH("NEGA",Tabella2[[#This Row],[Dispnea da sforzo]],1)),0,1)</f>
        <v>1</v>
      </c>
      <c r="AQ92" s="47">
        <f>IF(ISERROR(SEARCH("NEGA",Tabella2[[#This Row],[Dispnea da sforzo]],1)),1,0)</f>
        <v>0</v>
      </c>
      <c r="AR92" s="47">
        <f>IF(ISERROR(SEARCH("LIEVI",Tabella2[[#This Row],[Dispnea da sforzo]],1)),0,1)</f>
        <v>0</v>
      </c>
      <c r="AS92" s="47">
        <f>IF(ISERROR(SEARCH("MODERATI",Tabella2[[#This Row],[Dispnea da sforzo]],1)),0,1)</f>
        <v>0</v>
      </c>
      <c r="AT92" s="47">
        <f>IF(ISERROR(SEARCH("INTENSI",Tabella2[[#This Row],[Dispnea da sforzo]],1)),0,1)</f>
        <v>0</v>
      </c>
      <c r="AU92" s="33" t="s">
        <v>657</v>
      </c>
      <c r="AV92" s="47">
        <f>IF(ISERROR(SEARCH("NEGA",Tabella2[[#This Row],[Dispnea a riposo]],1)),0,1)</f>
        <v>1</v>
      </c>
      <c r="AW92" s="47">
        <f>IF(ISERROR(SEARCH("NDD",Tabella2[[#This Row],[Dispnea a riposo]],1)),0,1)</f>
        <v>0</v>
      </c>
      <c r="AX92" s="33" t="s">
        <v>28</v>
      </c>
      <c r="AY92" s="46">
        <v>1</v>
      </c>
      <c r="AZ92" s="33" t="s">
        <v>28</v>
      </c>
      <c r="BA92" s="17">
        <v>1</v>
      </c>
      <c r="BB92" s="33" t="s">
        <v>28</v>
      </c>
      <c r="BC92" s="17">
        <v>1</v>
      </c>
      <c r="BD92" s="33" t="s">
        <v>657</v>
      </c>
      <c r="BE92" s="18">
        <v>0</v>
      </c>
      <c r="BF92" s="33" t="s">
        <v>28</v>
      </c>
      <c r="BG92" s="17">
        <v>1</v>
      </c>
      <c r="BH92" s="33" t="s">
        <v>657</v>
      </c>
      <c r="BI92" s="17">
        <v>0</v>
      </c>
      <c r="BJ92" s="33">
        <v>12</v>
      </c>
      <c r="BK92" s="33" t="s">
        <v>4997</v>
      </c>
      <c r="BL92" s="47"/>
      <c r="BM92" s="47"/>
      <c r="BN92" s="47"/>
      <c r="BO92" s="47"/>
      <c r="BP92" s="47"/>
      <c r="BQ92" s="47">
        <v>1</v>
      </c>
      <c r="BR92" s="47"/>
      <c r="BS92" s="47"/>
      <c r="BT92" s="47"/>
      <c r="BU92" s="47"/>
      <c r="BV92" s="47">
        <v>1</v>
      </c>
      <c r="BW92" s="47"/>
      <c r="BX92" s="47"/>
      <c r="BY92" s="47">
        <v>1</v>
      </c>
      <c r="BZ92" s="47"/>
      <c r="CA92" s="47"/>
      <c r="CB92" s="47"/>
      <c r="CC92" s="47"/>
      <c r="CD92" s="47"/>
      <c r="CE92" s="47"/>
      <c r="CF92" s="47">
        <v>1</v>
      </c>
      <c r="CG92" s="33">
        <v>40</v>
      </c>
      <c r="CH92" s="33"/>
      <c r="CI92" s="33">
        <v>97</v>
      </c>
      <c r="CJ92" s="33">
        <v>74</v>
      </c>
      <c r="CK92" s="33" t="s">
        <v>4998</v>
      </c>
      <c r="CL92" s="33" t="s">
        <v>4999</v>
      </c>
      <c r="CM92" s="33" t="s">
        <v>5000</v>
      </c>
      <c r="CN92" s="17">
        <v>0</v>
      </c>
      <c r="CO92" s="17">
        <v>0</v>
      </c>
      <c r="CP92" s="17">
        <v>0</v>
      </c>
      <c r="CQ92" s="17">
        <v>0</v>
      </c>
      <c r="CR92" s="33" t="s">
        <v>4549</v>
      </c>
      <c r="CS92" s="33" t="s">
        <v>5001</v>
      </c>
      <c r="CT92" s="66">
        <v>0.64300000000000002</v>
      </c>
      <c r="CU92" s="33" t="s">
        <v>5002</v>
      </c>
      <c r="CV92" s="33"/>
      <c r="CW92" s="33"/>
      <c r="CX92" s="33" t="s">
        <v>461</v>
      </c>
      <c r="CY92" s="17">
        <v>1</v>
      </c>
      <c r="CZ92" s="33" t="s">
        <v>5003</v>
      </c>
      <c r="DA92" s="34" t="s">
        <v>5004</v>
      </c>
    </row>
    <row r="93" spans="1:105" customFormat="1" ht="28.5">
      <c r="A93" s="35">
        <v>1876</v>
      </c>
      <c r="B93" s="36">
        <v>45225</v>
      </c>
      <c r="C93" s="11" t="s">
        <v>952</v>
      </c>
      <c r="D93" s="36">
        <v>27934</v>
      </c>
      <c r="E93" s="44">
        <f ca="1">_xlfn.DAYS(NOW(),Tabella2[[#This Row],[Data Nascita]])/365.25</f>
        <v>49.114305270362763</v>
      </c>
      <c r="F93" s="37"/>
      <c r="G93" s="37" t="s">
        <v>5005</v>
      </c>
      <c r="H93" s="37" t="s">
        <v>1276</v>
      </c>
      <c r="I93" s="37" t="s">
        <v>3948</v>
      </c>
      <c r="J93" s="37" t="s">
        <v>4180</v>
      </c>
      <c r="K93" s="37"/>
      <c r="L93" s="37"/>
      <c r="M93" s="37"/>
      <c r="N93" s="37" t="s">
        <v>8</v>
      </c>
      <c r="O93" s="47">
        <v>0</v>
      </c>
      <c r="P93" s="47">
        <v>1</v>
      </c>
      <c r="Q93" s="37" t="s">
        <v>8</v>
      </c>
      <c r="R93" s="37" t="s">
        <v>5006</v>
      </c>
      <c r="S93" s="37"/>
      <c r="T93" s="37" t="s">
        <v>5007</v>
      </c>
      <c r="U93" s="46">
        <f>IF(ISERROR(SEARCH("null",Tabella2[[#This Row],[Patologia respiratoria nota]],1)),0,1)</f>
        <v>0</v>
      </c>
      <c r="V93" s="47">
        <f>IF(ISERROR(SEARCH("MUTA",Tabella2[[#This Row],[Patologia respiratoria nota]],1)),0,1)</f>
        <v>0</v>
      </c>
      <c r="W93" s="46">
        <f>IF(ISERROR(SEARCH("OSAS",Tabella2[[#This Row],[Patologia respiratoria nota]],1)),0,1)</f>
        <v>0</v>
      </c>
      <c r="X93" s="47">
        <f>IF(ISERROR(SEARCH("BPCO",Tabella2[[#This Row],[Patologia respiratoria nota]],1)),0,1)</f>
        <v>0</v>
      </c>
      <c r="Y93" s="47">
        <f>IF(ISERROR(SEARCH("ASMA",Tabella2[[#This Row],[Patologia respiratoria nota]],1)),0,1)</f>
        <v>0</v>
      </c>
      <c r="Z93" s="47">
        <f>IF(ISERROR(SEARCH("ASMA, OSAS",Tabella2[[#This Row],[Patologia respiratoria nota]],1)),0,1)</f>
        <v>0</v>
      </c>
      <c r="AA93" s="47">
        <f>IF(ISERROR(SEARCH("BPCO, OSAS",Tabella2[[#This Row],[Patologia respiratoria nota]],1)),0,1)</f>
        <v>0</v>
      </c>
      <c r="AB93" s="47">
        <f>IF(ISERROR(SEARCH("ASMA, BPCO, OSAS",Tabella2[[#This Row],[Patologia respiratoria nota]],1)),0,1)</f>
        <v>0</v>
      </c>
      <c r="AC93" s="37" t="s">
        <v>381</v>
      </c>
      <c r="AD93" s="46">
        <f>IF(ISERROR(SEARCH("NDD",Tabella2[[#This Row],[Tosse]],1)),0,1)</f>
        <v>0</v>
      </c>
      <c r="AE93" s="46">
        <f>IF(ISERROR(SEARCH("NEGA",Tabella2[[#This Row],[Tosse]],1)),0,1)</f>
        <v>0</v>
      </c>
      <c r="AF93" s="46">
        <f>IF(ISERROR(SEARCH("OCCASIONALMENTE",Tabella2[[#This Row],[Tosse]],1)),0,1)</f>
        <v>0</v>
      </c>
      <c r="AG93" s="46">
        <f>IF(ISERROR(SEARCH("RARAMENTE",Tabella2[[#This Row],[Tosse]],1)),0,1)</f>
        <v>0</v>
      </c>
      <c r="AH93" s="17">
        <v>1</v>
      </c>
      <c r="AI93" s="37" t="s">
        <v>5502</v>
      </c>
      <c r="AJ93" s="46">
        <f>IF(ISERROR(SEARCH("SI",Tabella2[[#This Row],[Espettorazione]],1)),0,1)</f>
        <v>1</v>
      </c>
      <c r="AK93" s="17">
        <v>0</v>
      </c>
      <c r="AL93" s="46">
        <f>IF(ISERROR(SEARCH("NDD",Tabella2[[#This Row],[Espettorazione]],1)),0,1)</f>
        <v>0</v>
      </c>
      <c r="AM93" s="37" t="s">
        <v>657</v>
      </c>
      <c r="AN93" s="47">
        <v>0</v>
      </c>
      <c r="AO93" s="37" t="s">
        <v>5008</v>
      </c>
      <c r="AP93" s="47">
        <f>IF(ISERROR(SEARCH("NEGA",Tabella2[[#This Row],[Dispnea da sforzo]],1)),0,1)</f>
        <v>0</v>
      </c>
      <c r="AQ93" s="47">
        <f>IF(ISERROR(SEARCH("NEGA",Tabella2[[#This Row],[Dispnea da sforzo]],1)),1,0)</f>
        <v>1</v>
      </c>
      <c r="AR93" s="47">
        <f>IF(ISERROR(SEARCH("LIEVI",Tabella2[[#This Row],[Dispnea da sforzo]],1)),0,1)</f>
        <v>0</v>
      </c>
      <c r="AS93" s="47">
        <f>IF(ISERROR(SEARCH("MODERATI",Tabella2[[#This Row],[Dispnea da sforzo]],1)),0,1)</f>
        <v>0</v>
      </c>
      <c r="AT93" s="47">
        <f>IF(ISERROR(SEARCH("INTENSI",Tabella2[[#This Row],[Dispnea da sforzo]],1)),0,1)</f>
        <v>0</v>
      </c>
      <c r="AU93" s="37" t="s">
        <v>657</v>
      </c>
      <c r="AV93" s="46">
        <f>IF(ISERROR(SEARCH("NEGA",Tabella2[[#This Row],[Dispnea a riposo]],1)),0,1)</f>
        <v>1</v>
      </c>
      <c r="AW93" s="46">
        <f>IF(ISERROR(SEARCH("NDD",Tabella2[[#This Row],[Dispnea a riposo]],1)),0,1)</f>
        <v>0</v>
      </c>
      <c r="AX93" s="37" t="s">
        <v>5009</v>
      </c>
      <c r="AY93" s="46">
        <v>1</v>
      </c>
      <c r="AZ93" s="37" t="s">
        <v>3718</v>
      </c>
      <c r="BA93" s="17">
        <v>1</v>
      </c>
      <c r="BB93" s="37" t="s">
        <v>1915</v>
      </c>
      <c r="BC93" s="17">
        <v>1</v>
      </c>
      <c r="BD93" s="37" t="s">
        <v>28</v>
      </c>
      <c r="BE93" s="17">
        <v>1</v>
      </c>
      <c r="BF93" s="37" t="s">
        <v>28</v>
      </c>
      <c r="BG93" s="17">
        <v>1</v>
      </c>
      <c r="BH93" s="37" t="s">
        <v>28</v>
      </c>
      <c r="BI93" s="18">
        <v>1</v>
      </c>
      <c r="BJ93" s="37">
        <v>20</v>
      </c>
      <c r="BK93" s="37" t="s">
        <v>5010</v>
      </c>
      <c r="BL93" s="46"/>
      <c r="BM93" s="46"/>
      <c r="BN93" s="46"/>
      <c r="BO93" s="46"/>
      <c r="BP93" s="46"/>
      <c r="BQ93" s="46"/>
      <c r="BR93" s="46"/>
      <c r="BS93" s="46"/>
      <c r="BT93" s="46"/>
      <c r="BU93" s="46"/>
      <c r="BV93" s="46"/>
      <c r="BW93" s="46"/>
      <c r="BX93" s="46"/>
      <c r="BY93" s="46"/>
      <c r="BZ93" s="46"/>
      <c r="CA93" s="46"/>
      <c r="CB93" s="46"/>
      <c r="CC93" s="46"/>
      <c r="CD93" s="46"/>
      <c r="CE93" s="46"/>
      <c r="CF93" s="46"/>
      <c r="CG93" s="37">
        <v>29</v>
      </c>
      <c r="CH93" s="37"/>
      <c r="CI93" s="37"/>
      <c r="CJ93" s="37"/>
      <c r="CK93" s="37" t="s">
        <v>5011</v>
      </c>
      <c r="CL93" s="37"/>
      <c r="CM93" s="37" t="s">
        <v>3914</v>
      </c>
      <c r="CN93" s="17">
        <v>0</v>
      </c>
      <c r="CO93" s="17">
        <v>1</v>
      </c>
      <c r="CP93" s="17">
        <v>0</v>
      </c>
      <c r="CQ93" s="17">
        <v>0</v>
      </c>
      <c r="CR93" s="37" t="s">
        <v>4549</v>
      </c>
      <c r="CS93" s="33" t="s">
        <v>5477</v>
      </c>
      <c r="CT93" s="63"/>
      <c r="CU93" s="37"/>
      <c r="CV93" s="37"/>
      <c r="CW93" s="37"/>
      <c r="CX93" s="7" t="s">
        <v>5477</v>
      </c>
      <c r="CY93" s="17">
        <v>0</v>
      </c>
      <c r="CZ93" s="37"/>
      <c r="DA93" s="38"/>
    </row>
    <row r="94" spans="1:105" ht="156.75">
      <c r="A94" s="5">
        <v>1914</v>
      </c>
      <c r="B94" s="6">
        <v>45243</v>
      </c>
      <c r="C94" s="7" t="s">
        <v>5012</v>
      </c>
      <c r="D94" s="6">
        <v>22871</v>
      </c>
      <c r="E94" s="51">
        <f ca="1">_xlfn.DAYS(NOW(),Tabella2[[#This Row],[Data Nascita]])/365.25</f>
        <v>62.976043805612591</v>
      </c>
      <c r="F94" s="7" t="s">
        <v>4588</v>
      </c>
      <c r="G94" s="7" t="s">
        <v>4935</v>
      </c>
      <c r="H94" s="7" t="s">
        <v>4280</v>
      </c>
      <c r="I94" s="7" t="s">
        <v>2238</v>
      </c>
      <c r="J94" s="7" t="s">
        <v>5013</v>
      </c>
      <c r="K94" s="7"/>
      <c r="L94" s="7"/>
      <c r="M94" s="7"/>
      <c r="N94" s="7" t="s">
        <v>8</v>
      </c>
      <c r="O94" s="17">
        <v>0</v>
      </c>
      <c r="P94" s="17">
        <v>1</v>
      </c>
      <c r="Q94" s="7" t="s">
        <v>8</v>
      </c>
      <c r="R94" s="7" t="s">
        <v>8</v>
      </c>
      <c r="S94" s="7" t="s">
        <v>5014</v>
      </c>
      <c r="T94" s="7" t="s">
        <v>5015</v>
      </c>
      <c r="U94" s="17">
        <f>IF(ISERROR(SEARCH("null",Tabella2[[#This Row],[Patologia respiratoria nota]],1)),0,1)</f>
        <v>0</v>
      </c>
      <c r="V94" s="17">
        <f>IF(ISERROR(SEARCH("MUTA",Tabella2[[#This Row],[Patologia respiratoria nota]],1)),0,1)</f>
        <v>0</v>
      </c>
      <c r="W94" s="17">
        <f>IF(ISERROR(SEARCH("OSAS",Tabella2[[#This Row],[Patologia respiratoria nota]],1)),0,1)</f>
        <v>1</v>
      </c>
      <c r="X94" s="17">
        <f>IF(ISERROR(SEARCH("BPCO",Tabella2[[#This Row],[Patologia respiratoria nota]],1)),0,1)</f>
        <v>0</v>
      </c>
      <c r="Y94" s="17">
        <f>IF(ISERROR(SEARCH("ASMA",Tabella2[[#This Row],[Patologia respiratoria nota]],1)),0,1)</f>
        <v>0</v>
      </c>
      <c r="Z94" s="17">
        <f>IF(ISERROR(SEARCH("ASMA, OSAS",Tabella2[[#This Row],[Patologia respiratoria nota]],1)),0,1)</f>
        <v>0</v>
      </c>
      <c r="AA94" s="17">
        <f>IF(ISERROR(SEARCH("BPCO, OSAS",Tabella2[[#This Row],[Patologia respiratoria nota]],1)),0,1)</f>
        <v>0</v>
      </c>
      <c r="AB94" s="17">
        <f>IF(ISERROR(SEARCH("ASMA, BPCO, OSAS",Tabella2[[#This Row],[Patologia respiratoria nota]],1)),0,1)</f>
        <v>0</v>
      </c>
      <c r="AC94" s="7" t="s">
        <v>381</v>
      </c>
      <c r="AD94" s="17">
        <f>IF(ISERROR(SEARCH("NDD",Tabella2[[#This Row],[Tosse]],1)),0,1)</f>
        <v>0</v>
      </c>
      <c r="AE94" s="17">
        <f>IF(ISERROR(SEARCH("NEGA",Tabella2[[#This Row],[Tosse]],1)),0,1)</f>
        <v>0</v>
      </c>
      <c r="AF94" s="17">
        <f>IF(ISERROR(SEARCH("OCCASIONALMENTE",Tabella2[[#This Row],[Tosse]],1)),0,1)</f>
        <v>0</v>
      </c>
      <c r="AG94" s="17">
        <f>IF(ISERROR(SEARCH("RARAMENTE",Tabella2[[#This Row],[Tosse]],1)),0,1)</f>
        <v>0</v>
      </c>
      <c r="AH94" s="17">
        <v>1</v>
      </c>
      <c r="AI94" s="7" t="s">
        <v>5505</v>
      </c>
      <c r="AJ94" s="17">
        <f>IF(ISERROR(SEARCH("SI",Tabella2[[#This Row],[Espettorazione]],1)),0,1)</f>
        <v>1</v>
      </c>
      <c r="AK94" s="17">
        <v>0</v>
      </c>
      <c r="AL94" s="17">
        <f>IF(ISERROR(SEARCH("NDD",Tabella2[[#This Row],[Espettorazione]],1)),0,1)</f>
        <v>0</v>
      </c>
      <c r="AM94" s="7" t="s">
        <v>7</v>
      </c>
      <c r="AN94" s="17">
        <v>1</v>
      </c>
      <c r="AO94" s="7" t="s">
        <v>7</v>
      </c>
      <c r="AP94" s="17">
        <f>IF(ISERROR(SEARCH("NEGA",Tabella2[[#This Row],[Dispnea da sforzo]],1)),0,1)</f>
        <v>0</v>
      </c>
      <c r="AQ94" s="17">
        <f>IF(ISERROR(SEARCH("NEGA",Tabella2[[#This Row],[Dispnea da sforzo]],1)),1,0)</f>
        <v>1</v>
      </c>
      <c r="AR94" s="17">
        <f>IF(ISERROR(SEARCH("LIEVI",Tabella2[[#This Row],[Dispnea da sforzo]],1)),0,1)</f>
        <v>0</v>
      </c>
      <c r="AS94" s="17">
        <f>IF(ISERROR(SEARCH("MODERATI",Tabella2[[#This Row],[Dispnea da sforzo]],1)),0,1)</f>
        <v>0</v>
      </c>
      <c r="AT94" s="17">
        <f>IF(ISERROR(SEARCH("INTENSI",Tabella2[[#This Row],[Dispnea da sforzo]],1)),0,1)</f>
        <v>0</v>
      </c>
      <c r="AU94" s="7" t="s">
        <v>657</v>
      </c>
      <c r="AV94" s="17">
        <f>IF(ISERROR(SEARCH("NEGA",Tabella2[[#This Row],[Dispnea a riposo]],1)),0,1)</f>
        <v>1</v>
      </c>
      <c r="AW94" s="17">
        <f>IF(ISERROR(SEARCH("NDD",Tabella2[[#This Row],[Dispnea a riposo]],1)),0,1)</f>
        <v>0</v>
      </c>
      <c r="AX94" s="7" t="s">
        <v>657</v>
      </c>
      <c r="AY94" s="17">
        <v>0</v>
      </c>
      <c r="AZ94" s="7" t="s">
        <v>5016</v>
      </c>
      <c r="BA94" s="17">
        <v>1</v>
      </c>
      <c r="BB94" s="7" t="s">
        <v>5017</v>
      </c>
      <c r="BC94" s="17">
        <v>1</v>
      </c>
      <c r="BD94" s="7" t="s">
        <v>7</v>
      </c>
      <c r="BE94" s="17">
        <v>1</v>
      </c>
      <c r="BF94" s="7" t="s">
        <v>657</v>
      </c>
      <c r="BG94" s="17">
        <v>0</v>
      </c>
      <c r="BH94" s="7" t="s">
        <v>272</v>
      </c>
      <c r="BI94" s="18">
        <v>1</v>
      </c>
      <c r="BJ94" s="7">
        <v>14</v>
      </c>
      <c r="BK94" s="7"/>
      <c r="BL94" s="17"/>
      <c r="BM94" s="17"/>
      <c r="BN94" s="17"/>
      <c r="BO94" s="17"/>
      <c r="BP94" s="17"/>
      <c r="BQ94" s="17"/>
      <c r="BR94" s="17"/>
      <c r="BS94" s="17"/>
      <c r="BT94" s="17"/>
      <c r="BU94" s="17"/>
      <c r="BV94" s="17"/>
      <c r="BW94" s="17"/>
      <c r="BX94" s="17"/>
      <c r="BY94" s="17"/>
      <c r="BZ94" s="17"/>
      <c r="CA94" s="17"/>
      <c r="CB94" s="17"/>
      <c r="CC94" s="17"/>
      <c r="CD94" s="17"/>
      <c r="CE94" s="17"/>
      <c r="CF94" s="17"/>
      <c r="CG94" s="7">
        <v>29</v>
      </c>
      <c r="CH94" s="7"/>
      <c r="CI94" s="7">
        <v>99</v>
      </c>
      <c r="CJ94" s="7">
        <v>81</v>
      </c>
      <c r="CK94" s="7" t="s">
        <v>2514</v>
      </c>
      <c r="CL94" s="7" t="s">
        <v>5018</v>
      </c>
      <c r="CM94" s="7" t="s">
        <v>4273</v>
      </c>
      <c r="CN94" s="17">
        <v>0</v>
      </c>
      <c r="CO94" s="17">
        <v>0</v>
      </c>
      <c r="CP94" s="17">
        <v>0</v>
      </c>
      <c r="CQ94" s="17">
        <v>1</v>
      </c>
      <c r="CR94" s="7" t="s">
        <v>3884</v>
      </c>
      <c r="CS94" s="7" t="s">
        <v>1181</v>
      </c>
      <c r="CT94" s="64">
        <v>1</v>
      </c>
      <c r="CU94" s="7" t="s">
        <v>5019</v>
      </c>
      <c r="CV94" s="7"/>
      <c r="CW94" s="7"/>
      <c r="CX94" s="7" t="s">
        <v>5020</v>
      </c>
      <c r="CY94" s="17">
        <v>1</v>
      </c>
      <c r="CZ94" s="7" t="s">
        <v>5021</v>
      </c>
      <c r="DA94" s="8" t="s">
        <v>5022</v>
      </c>
    </row>
    <row r="95" spans="1:105" ht="99.75">
      <c r="A95" s="9">
        <v>1918</v>
      </c>
      <c r="B95" s="10">
        <v>45244</v>
      </c>
      <c r="C95" s="11" t="s">
        <v>5023</v>
      </c>
      <c r="D95" s="10">
        <v>24475</v>
      </c>
      <c r="E95" s="52">
        <f ca="1">_xlfn.DAYS(NOW(),Tabella2[[#This Row],[Data Nascita]])/365.25</f>
        <v>58.5845311430527</v>
      </c>
      <c r="F95" s="11" t="s">
        <v>5024</v>
      </c>
      <c r="G95" s="11" t="s">
        <v>5025</v>
      </c>
      <c r="H95" s="11" t="s">
        <v>4280</v>
      </c>
      <c r="I95" s="11" t="s">
        <v>2238</v>
      </c>
      <c r="J95" s="11" t="s">
        <v>5026</v>
      </c>
      <c r="K95" s="11"/>
      <c r="L95" s="11"/>
      <c r="M95" s="11"/>
      <c r="N95" s="11" t="s">
        <v>8</v>
      </c>
      <c r="O95" s="17">
        <v>0</v>
      </c>
      <c r="P95" s="17">
        <v>1</v>
      </c>
      <c r="Q95" s="11" t="s">
        <v>8</v>
      </c>
      <c r="R95" s="11" t="s">
        <v>5027</v>
      </c>
      <c r="S95" s="11" t="s">
        <v>5028</v>
      </c>
      <c r="T95" s="11" t="s">
        <v>5434</v>
      </c>
      <c r="U95" s="18">
        <f>IF(ISERROR(SEARCH("null",Tabella2[[#This Row],[Patologia respiratoria nota]],1)),0,1)</f>
        <v>0</v>
      </c>
      <c r="V95" s="17">
        <f>IF(ISERROR(SEARCH("MUTA",Tabella2[[#This Row],[Patologia respiratoria nota]],1)),0,1)</f>
        <v>0</v>
      </c>
      <c r="W95" s="18">
        <f>IF(ISERROR(SEARCH("OSAS",Tabella2[[#This Row],[Patologia respiratoria nota]],1)),0,1)</f>
        <v>1</v>
      </c>
      <c r="X95" s="17">
        <f>IF(ISERROR(SEARCH("BPCO",Tabella2[[#This Row],[Patologia respiratoria nota]],1)),0,1)</f>
        <v>0</v>
      </c>
      <c r="Y95" s="17">
        <f>IF(ISERROR(SEARCH("ASMA",Tabella2[[#This Row],[Patologia respiratoria nota]],1)),0,1)</f>
        <v>0</v>
      </c>
      <c r="Z95" s="17">
        <f>IF(ISERROR(SEARCH("ASMA, OSAS",Tabella2[[#This Row],[Patologia respiratoria nota]],1)),0,1)</f>
        <v>0</v>
      </c>
      <c r="AA95" s="17">
        <f>IF(ISERROR(SEARCH("BPCO, OSAS",Tabella2[[#This Row],[Patologia respiratoria nota]],1)),0,1)</f>
        <v>0</v>
      </c>
      <c r="AB95" s="17">
        <f>IF(ISERROR(SEARCH("ASMA, BPCO, OSAS",Tabella2[[#This Row],[Patologia respiratoria nota]],1)),0,1)</f>
        <v>0</v>
      </c>
      <c r="AC95" s="15" t="s">
        <v>657</v>
      </c>
      <c r="AD95" s="19">
        <f>IF(ISERROR(SEARCH("NDD",Tabella2[[#This Row],[Tosse]],1)),0,1)</f>
        <v>0</v>
      </c>
      <c r="AE95" s="19">
        <f>IF(ISERROR(SEARCH("NEGA",Tabella2[[#This Row],[Tosse]],1)),0,1)</f>
        <v>1</v>
      </c>
      <c r="AF95" s="19">
        <f>IF(ISERROR(SEARCH("OCCASIONALMENTE",Tabella2[[#This Row],[Tosse]],1)),0,1)</f>
        <v>0</v>
      </c>
      <c r="AG95" s="19">
        <f>IF(ISERROR(SEARCH("RARAMENTE",Tabella2[[#This Row],[Tosse]],1)),0,1)</f>
        <v>0</v>
      </c>
      <c r="AH95" s="19">
        <f>IF(ISERROR(SEARCH("SI",Tabella2[[#This Row],[Tosse]],1)),0,1)</f>
        <v>0</v>
      </c>
      <c r="AI95" s="11" t="s">
        <v>657</v>
      </c>
      <c r="AJ95" s="18">
        <f>IF(ISERROR(SEARCH("SI",Tabella2[[#This Row],[Espettorazione]],1)),0,1)</f>
        <v>0</v>
      </c>
      <c r="AK95" s="18">
        <f>IF(ISERROR(SEARCH("NEGA",Tabella2[[#This Row],[Espettorazione]],1)),0,1)</f>
        <v>1</v>
      </c>
      <c r="AL95" s="18">
        <f>IF(ISERROR(SEARCH("NDD",Tabella2[[#This Row],[Espettorazione]],1)),0,1)</f>
        <v>0</v>
      </c>
      <c r="AM95" s="11" t="s">
        <v>657</v>
      </c>
      <c r="AN95" s="17">
        <v>0</v>
      </c>
      <c r="AO95" s="11" t="s">
        <v>7</v>
      </c>
      <c r="AP95" s="17">
        <f>IF(ISERROR(SEARCH("NEGA",Tabella2[[#This Row],[Dispnea da sforzo]],1)),0,1)</f>
        <v>0</v>
      </c>
      <c r="AQ95" s="17">
        <f>IF(ISERROR(SEARCH("NEGA",Tabella2[[#This Row],[Dispnea da sforzo]],1)),1,0)</f>
        <v>1</v>
      </c>
      <c r="AR95" s="17">
        <f>IF(ISERROR(SEARCH("LIEVI",Tabella2[[#This Row],[Dispnea da sforzo]],1)),0,1)</f>
        <v>0</v>
      </c>
      <c r="AS95" s="17">
        <f>IF(ISERROR(SEARCH("MODERATI",Tabella2[[#This Row],[Dispnea da sforzo]],1)),0,1)</f>
        <v>0</v>
      </c>
      <c r="AT95" s="17">
        <f>IF(ISERROR(SEARCH("INTENSI",Tabella2[[#This Row],[Dispnea da sforzo]],1)),0,1)</f>
        <v>0</v>
      </c>
      <c r="AU95" s="11" t="s">
        <v>657</v>
      </c>
      <c r="AV95" s="18">
        <f>IF(ISERROR(SEARCH("NEGA",Tabella2[[#This Row],[Dispnea a riposo]],1)),0,1)</f>
        <v>1</v>
      </c>
      <c r="AW95" s="18">
        <f>IF(ISERROR(SEARCH("NDD",Tabella2[[#This Row],[Dispnea a riposo]],1)),0,1)</f>
        <v>0</v>
      </c>
      <c r="AX95" s="11" t="s">
        <v>657</v>
      </c>
      <c r="AY95" s="17">
        <v>0</v>
      </c>
      <c r="AZ95" s="11" t="s">
        <v>657</v>
      </c>
      <c r="BA95" s="18">
        <v>0</v>
      </c>
      <c r="BB95" s="11" t="s">
        <v>2531</v>
      </c>
      <c r="BC95" s="17">
        <v>1</v>
      </c>
      <c r="BD95" s="11" t="s">
        <v>5029</v>
      </c>
      <c r="BE95" s="17">
        <v>1</v>
      </c>
      <c r="BF95" s="11" t="s">
        <v>5030</v>
      </c>
      <c r="BG95" s="17">
        <v>1</v>
      </c>
      <c r="BH95" s="11" t="s">
        <v>5031</v>
      </c>
      <c r="BI95" s="18">
        <v>1</v>
      </c>
      <c r="BJ95" s="11">
        <v>12</v>
      </c>
      <c r="BK95" s="11" t="s">
        <v>5032</v>
      </c>
      <c r="BL95" s="18"/>
      <c r="BM95" s="18"/>
      <c r="BN95" s="18"/>
      <c r="BO95" s="18"/>
      <c r="BP95" s="18"/>
      <c r="BQ95" s="18"/>
      <c r="BR95" s="18"/>
      <c r="BS95" s="18"/>
      <c r="BT95" s="18"/>
      <c r="BU95" s="18"/>
      <c r="BV95" s="18"/>
      <c r="BW95" s="18"/>
      <c r="BX95" s="18"/>
      <c r="BY95" s="18"/>
      <c r="BZ95" s="18"/>
      <c r="CA95" s="18"/>
      <c r="CB95" s="18"/>
      <c r="CC95" s="18"/>
      <c r="CD95" s="18"/>
      <c r="CE95" s="18"/>
      <c r="CF95" s="18"/>
      <c r="CG95" s="11">
        <v>29</v>
      </c>
      <c r="CH95" s="11"/>
      <c r="CI95" s="11">
        <v>95</v>
      </c>
      <c r="CJ95" s="11">
        <v>70</v>
      </c>
      <c r="CK95" s="11" t="s">
        <v>1165</v>
      </c>
      <c r="CL95" s="11" t="s">
        <v>5033</v>
      </c>
      <c r="CM95" s="11" t="s">
        <v>5034</v>
      </c>
      <c r="CN95" s="17">
        <v>0</v>
      </c>
      <c r="CO95" s="17">
        <v>0</v>
      </c>
      <c r="CP95" s="17">
        <v>1</v>
      </c>
      <c r="CQ95" s="17">
        <v>0</v>
      </c>
      <c r="CR95" s="11" t="s">
        <v>3884</v>
      </c>
      <c r="CS95" s="11" t="s">
        <v>1373</v>
      </c>
      <c r="CT95" s="65">
        <v>0.59</v>
      </c>
      <c r="CU95" s="11" t="s">
        <v>5035</v>
      </c>
      <c r="CV95" s="11"/>
      <c r="CW95" s="11"/>
      <c r="CX95" s="11" t="s">
        <v>4699</v>
      </c>
      <c r="CY95" s="17">
        <v>1</v>
      </c>
      <c r="CZ95" s="11" t="s">
        <v>5036</v>
      </c>
      <c r="DA95" s="12" t="s">
        <v>5037</v>
      </c>
    </row>
    <row r="96" spans="1:105" ht="71.25">
      <c r="A96" s="5">
        <v>1922</v>
      </c>
      <c r="B96" s="6">
        <v>45245</v>
      </c>
      <c r="C96" s="7" t="s">
        <v>1445</v>
      </c>
      <c r="D96" s="6">
        <v>14691</v>
      </c>
      <c r="E96" s="51">
        <f ca="1">_xlfn.DAYS(NOW(),Tabella2[[#This Row],[Data Nascita]])/365.25</f>
        <v>85.371663244353186</v>
      </c>
      <c r="F96" s="7" t="s">
        <v>1446</v>
      </c>
      <c r="G96" s="7" t="s">
        <v>1447</v>
      </c>
      <c r="H96" s="7" t="s">
        <v>4280</v>
      </c>
      <c r="I96" s="7" t="s">
        <v>5038</v>
      </c>
      <c r="J96" s="7" t="s">
        <v>5039</v>
      </c>
      <c r="K96" s="7"/>
      <c r="L96" s="7"/>
      <c r="M96" s="7"/>
      <c r="N96" s="7" t="s">
        <v>8</v>
      </c>
      <c r="O96" s="17">
        <v>0</v>
      </c>
      <c r="P96" s="17">
        <v>1</v>
      </c>
      <c r="Q96" s="7" t="s">
        <v>8</v>
      </c>
      <c r="R96" s="7" t="s">
        <v>8</v>
      </c>
      <c r="S96" s="7" t="s">
        <v>5040</v>
      </c>
      <c r="T96" s="7" t="s">
        <v>5435</v>
      </c>
      <c r="U96" s="17">
        <f>IF(ISERROR(SEARCH("null",Tabella2[[#This Row],[Patologia respiratoria nota]],1)),0,1)</f>
        <v>0</v>
      </c>
      <c r="V96" s="17">
        <f>IF(ISERROR(SEARCH("MUTA",Tabella2[[#This Row],[Patologia respiratoria nota]],1)),0,1)</f>
        <v>0</v>
      </c>
      <c r="W96" s="17">
        <f>IF(ISERROR(SEARCH("OSAS",Tabella2[[#This Row],[Patologia respiratoria nota]],1)),0,1)</f>
        <v>1</v>
      </c>
      <c r="X96" s="17">
        <f>IF(ISERROR(SEARCH("BPCO",Tabella2[[#This Row],[Patologia respiratoria nota]],1)),0,1)</f>
        <v>0</v>
      </c>
      <c r="Y96" s="17">
        <f>IF(ISERROR(SEARCH("ASMA",Tabella2[[#This Row],[Patologia respiratoria nota]],1)),0,1)</f>
        <v>0</v>
      </c>
      <c r="Z96" s="17">
        <f>IF(ISERROR(SEARCH("ASMA, OSAS",Tabella2[[#This Row],[Patologia respiratoria nota]],1)),0,1)</f>
        <v>0</v>
      </c>
      <c r="AA96" s="17">
        <f>IF(ISERROR(SEARCH("BPCO, OSAS",Tabella2[[#This Row],[Patologia respiratoria nota]],1)),0,1)</f>
        <v>0</v>
      </c>
      <c r="AB96" s="17">
        <f>IF(ISERROR(SEARCH("ASMA, BPCO, OSAS",Tabella2[[#This Row],[Patologia respiratoria nota]],1)),0,1)</f>
        <v>0</v>
      </c>
      <c r="AC96" s="7" t="s">
        <v>5466</v>
      </c>
      <c r="AD96" s="17">
        <f>IF(ISERROR(SEARCH("NDD",Tabella2[[#This Row],[Tosse]],1)),0,1)</f>
        <v>0</v>
      </c>
      <c r="AE96" s="17">
        <f>IF(ISERROR(SEARCH("NEGA",Tabella2[[#This Row],[Tosse]],1)),0,1)</f>
        <v>0</v>
      </c>
      <c r="AF96" s="17">
        <f>IF(ISERROR(SEARCH("OCCASIONALMENTE",Tabella2[[#This Row],[Tosse]],1)),0,1)</f>
        <v>1</v>
      </c>
      <c r="AG96" s="17">
        <f>IF(ISERROR(SEARCH("RARAMENTE",Tabella2[[#This Row],[Tosse]],1)),0,1)</f>
        <v>0</v>
      </c>
      <c r="AH96" s="17">
        <v>1</v>
      </c>
      <c r="AI96" s="7" t="s">
        <v>657</v>
      </c>
      <c r="AJ96" s="17">
        <f>IF(ISERROR(SEARCH("SI",Tabella2[[#This Row],[Espettorazione]],1)),0,1)</f>
        <v>0</v>
      </c>
      <c r="AK96" s="17">
        <f>IF(ISERROR(SEARCH("NEGA",Tabella2[[#This Row],[Espettorazione]],1)),0,1)</f>
        <v>1</v>
      </c>
      <c r="AL96" s="17">
        <f>IF(ISERROR(SEARCH("NDD",Tabella2[[#This Row],[Espettorazione]],1)),0,1)</f>
        <v>0</v>
      </c>
      <c r="AM96" s="7" t="s">
        <v>476</v>
      </c>
      <c r="AN96" s="17">
        <v>1</v>
      </c>
      <c r="AO96" s="7" t="s">
        <v>5477</v>
      </c>
      <c r="AP96" s="17">
        <f>IF(ISERROR(SEARCH("NEGA",Tabella2[[#This Row],[Dispnea da sforzo]],1)),0,1)</f>
        <v>0</v>
      </c>
      <c r="AQ96" s="17">
        <v>0</v>
      </c>
      <c r="AR96" s="17">
        <f>IF(ISERROR(SEARCH("LIEVI",Tabella2[[#This Row],[Dispnea da sforzo]],1)),0,1)</f>
        <v>0</v>
      </c>
      <c r="AS96" s="17">
        <f>IF(ISERROR(SEARCH("MODERATI",Tabella2[[#This Row],[Dispnea da sforzo]],1)),0,1)</f>
        <v>0</v>
      </c>
      <c r="AT96" s="17">
        <f>IF(ISERROR(SEARCH("INTENSI",Tabella2[[#This Row],[Dispnea da sforzo]],1)),0,1)</f>
        <v>0</v>
      </c>
      <c r="AU96" s="7" t="s">
        <v>657</v>
      </c>
      <c r="AV96" s="17">
        <f>IF(ISERROR(SEARCH("NEGA",Tabella2[[#This Row],[Dispnea a riposo]],1)),0,1)</f>
        <v>1</v>
      </c>
      <c r="AW96" s="17">
        <f>IF(ISERROR(SEARCH("NDD",Tabella2[[#This Row],[Dispnea a riposo]],1)),0,1)</f>
        <v>0</v>
      </c>
      <c r="AX96" s="7" t="s">
        <v>657</v>
      </c>
      <c r="AY96" s="17">
        <v>0</v>
      </c>
      <c r="AZ96" s="7" t="s">
        <v>657</v>
      </c>
      <c r="BA96" s="18">
        <v>0</v>
      </c>
      <c r="BB96" s="7" t="s">
        <v>657</v>
      </c>
      <c r="BC96" s="17">
        <v>0</v>
      </c>
      <c r="BD96" s="7" t="s">
        <v>7</v>
      </c>
      <c r="BE96" s="17">
        <v>1</v>
      </c>
      <c r="BF96" s="7" t="s">
        <v>476</v>
      </c>
      <c r="BG96" s="17">
        <v>1</v>
      </c>
      <c r="BH96" s="7" t="s">
        <v>657</v>
      </c>
      <c r="BI96" s="17">
        <v>0</v>
      </c>
      <c r="BJ96" s="7">
        <v>12</v>
      </c>
      <c r="BK96" s="7"/>
      <c r="BL96" s="17"/>
      <c r="BM96" s="17"/>
      <c r="BN96" s="17"/>
      <c r="BO96" s="17"/>
      <c r="BP96" s="17"/>
      <c r="BQ96" s="17"/>
      <c r="BR96" s="17"/>
      <c r="BS96" s="17"/>
      <c r="BT96" s="17"/>
      <c r="BU96" s="17"/>
      <c r="BV96" s="17"/>
      <c r="BW96" s="17"/>
      <c r="BX96" s="17"/>
      <c r="BY96" s="17"/>
      <c r="BZ96" s="17"/>
      <c r="CA96" s="17"/>
      <c r="CB96" s="17"/>
      <c r="CC96" s="17"/>
      <c r="CD96" s="17"/>
      <c r="CE96" s="17"/>
      <c r="CF96" s="17"/>
      <c r="CG96" s="7">
        <v>26</v>
      </c>
      <c r="CH96" s="7"/>
      <c r="CI96" s="7">
        <v>95</v>
      </c>
      <c r="CJ96" s="7">
        <v>62</v>
      </c>
      <c r="CK96" s="7" t="s">
        <v>5041</v>
      </c>
      <c r="CL96" s="7" t="s">
        <v>5042</v>
      </c>
      <c r="CM96" s="7" t="s">
        <v>5043</v>
      </c>
      <c r="CN96" s="17">
        <v>0</v>
      </c>
      <c r="CO96" s="17">
        <v>0</v>
      </c>
      <c r="CP96" s="17">
        <v>1</v>
      </c>
      <c r="CQ96" s="17">
        <v>0</v>
      </c>
      <c r="CR96" s="7" t="s">
        <v>3884</v>
      </c>
      <c r="CS96" s="7" t="s">
        <v>746</v>
      </c>
      <c r="CT96" s="64">
        <v>0.88</v>
      </c>
      <c r="CU96" s="7" t="s">
        <v>5044</v>
      </c>
      <c r="CV96" s="7"/>
      <c r="CW96" s="7"/>
      <c r="CX96" s="7" t="s">
        <v>5477</v>
      </c>
      <c r="CY96" s="17">
        <v>0</v>
      </c>
      <c r="CZ96" s="7" t="s">
        <v>5045</v>
      </c>
      <c r="DA96" s="8" t="s">
        <v>5046</v>
      </c>
    </row>
    <row r="97" spans="1:105" ht="71.25">
      <c r="A97" s="9">
        <v>1938</v>
      </c>
      <c r="B97" s="10">
        <v>45253</v>
      </c>
      <c r="C97" s="11" t="s">
        <v>5047</v>
      </c>
      <c r="D97" s="10">
        <v>26588</v>
      </c>
      <c r="E97" s="52">
        <f ca="1">_xlfn.DAYS(NOW(),Tabella2[[#This Row],[Data Nascita]])/365.25</f>
        <v>52.799452429842574</v>
      </c>
      <c r="F97" s="11" t="s">
        <v>1801</v>
      </c>
      <c r="G97" s="11" t="s">
        <v>1802</v>
      </c>
      <c r="H97" s="11" t="s">
        <v>5048</v>
      </c>
      <c r="I97" s="11" t="s">
        <v>5049</v>
      </c>
      <c r="J97" s="11"/>
      <c r="K97" s="11"/>
      <c r="L97" s="11"/>
      <c r="M97" s="11"/>
      <c r="N97" s="11" t="s">
        <v>8</v>
      </c>
      <c r="O97" s="17">
        <v>0</v>
      </c>
      <c r="P97" s="17">
        <v>1</v>
      </c>
      <c r="Q97" s="11" t="s">
        <v>8</v>
      </c>
      <c r="R97" s="11" t="s">
        <v>8</v>
      </c>
      <c r="S97" s="11" t="s">
        <v>5050</v>
      </c>
      <c r="T97" s="7" t="s">
        <v>5412</v>
      </c>
      <c r="U97" s="18">
        <f>IF(ISERROR(SEARCH("null",Tabella2[[#This Row],[Patologia respiratoria nota]],1)),0,1)</f>
        <v>1</v>
      </c>
      <c r="V97" s="17">
        <f>IF(ISERROR(SEARCH("MUTA",Tabella2[[#This Row],[Patologia respiratoria nota]],1)),0,1)</f>
        <v>0</v>
      </c>
      <c r="W97" s="18">
        <f>IF(ISERROR(SEARCH("OSAS",Tabella2[[#This Row],[Patologia respiratoria nota]],1)),0,1)</f>
        <v>0</v>
      </c>
      <c r="X97" s="17">
        <f>IF(ISERROR(SEARCH("BPCO",Tabella2[[#This Row],[Patologia respiratoria nota]],1)),0,1)</f>
        <v>0</v>
      </c>
      <c r="Y97" s="17">
        <f>IF(ISERROR(SEARCH("ASMA",Tabella2[[#This Row],[Patologia respiratoria nota]],1)),0,1)</f>
        <v>0</v>
      </c>
      <c r="Z97" s="17">
        <f>IF(ISERROR(SEARCH("ASMA, OSAS",Tabella2[[#This Row],[Patologia respiratoria nota]],1)),0,1)</f>
        <v>0</v>
      </c>
      <c r="AA97" s="17">
        <f>IF(ISERROR(SEARCH("BPCO, OSAS",Tabella2[[#This Row],[Patologia respiratoria nota]],1)),0,1)</f>
        <v>0</v>
      </c>
      <c r="AB97" s="17">
        <f>IF(ISERROR(SEARCH("ASMA, BPCO, OSAS",Tabella2[[#This Row],[Patologia respiratoria nota]],1)),0,1)</f>
        <v>0</v>
      </c>
      <c r="AC97" s="15" t="s">
        <v>657</v>
      </c>
      <c r="AD97" s="19">
        <f>IF(ISERROR(SEARCH("NDD",Tabella2[[#This Row],[Tosse]],1)),0,1)</f>
        <v>0</v>
      </c>
      <c r="AE97" s="19">
        <f>IF(ISERROR(SEARCH("NEGA",Tabella2[[#This Row],[Tosse]],1)),0,1)</f>
        <v>1</v>
      </c>
      <c r="AF97" s="19">
        <f>IF(ISERROR(SEARCH("OCCASIONALMENTE",Tabella2[[#This Row],[Tosse]],1)),0,1)</f>
        <v>0</v>
      </c>
      <c r="AG97" s="19">
        <f>IF(ISERROR(SEARCH("RARAMENTE",Tabella2[[#This Row],[Tosse]],1)),0,1)</f>
        <v>0</v>
      </c>
      <c r="AH97" s="19">
        <f>IF(ISERROR(SEARCH("SI",Tabella2[[#This Row],[Tosse]],1)),0,1)</f>
        <v>0</v>
      </c>
      <c r="AI97" s="11" t="s">
        <v>657</v>
      </c>
      <c r="AJ97" s="18">
        <f>IF(ISERROR(SEARCH("SI",Tabella2[[#This Row],[Espettorazione]],1)),0,1)</f>
        <v>0</v>
      </c>
      <c r="AK97" s="18">
        <f>IF(ISERROR(SEARCH("NEGA",Tabella2[[#This Row],[Espettorazione]],1)),0,1)</f>
        <v>1</v>
      </c>
      <c r="AL97" s="18">
        <f>IF(ISERROR(SEARCH("NDD",Tabella2[[#This Row],[Espettorazione]],1)),0,1)</f>
        <v>0</v>
      </c>
      <c r="AM97" s="11" t="s">
        <v>5051</v>
      </c>
      <c r="AN97" s="17">
        <v>1</v>
      </c>
      <c r="AO97" s="11" t="s">
        <v>7</v>
      </c>
      <c r="AP97" s="17">
        <f>IF(ISERROR(SEARCH("NEGA",Tabella2[[#This Row],[Dispnea da sforzo]],1)),0,1)</f>
        <v>0</v>
      </c>
      <c r="AQ97" s="17">
        <f>IF(ISERROR(SEARCH("NEGA",Tabella2[[#This Row],[Dispnea da sforzo]],1)),1,0)</f>
        <v>1</v>
      </c>
      <c r="AR97" s="17">
        <f>IF(ISERROR(SEARCH("LIEVI",Tabella2[[#This Row],[Dispnea da sforzo]],1)),0,1)</f>
        <v>0</v>
      </c>
      <c r="AS97" s="17">
        <f>IF(ISERROR(SEARCH("MODERATI",Tabella2[[#This Row],[Dispnea da sforzo]],1)),0,1)</f>
        <v>0</v>
      </c>
      <c r="AT97" s="17">
        <f>IF(ISERROR(SEARCH("INTENSI",Tabella2[[#This Row],[Dispnea da sforzo]],1)),0,1)</f>
        <v>0</v>
      </c>
      <c r="AU97" s="11" t="s">
        <v>657</v>
      </c>
      <c r="AV97" s="18">
        <f>IF(ISERROR(SEARCH("NEGA",Tabella2[[#This Row],[Dispnea a riposo]],1)),0,1)</f>
        <v>1</v>
      </c>
      <c r="AW97" s="18">
        <f>IF(ISERROR(SEARCH("NDD",Tabella2[[#This Row],[Dispnea a riposo]],1)),0,1)</f>
        <v>0</v>
      </c>
      <c r="AX97" s="11" t="s">
        <v>657</v>
      </c>
      <c r="AY97" s="17">
        <v>0</v>
      </c>
      <c r="AZ97" s="11" t="s">
        <v>5052</v>
      </c>
      <c r="BA97" s="17">
        <v>1</v>
      </c>
      <c r="BB97" s="11" t="s">
        <v>5051</v>
      </c>
      <c r="BC97" s="17">
        <v>1</v>
      </c>
      <c r="BD97" s="37" t="s">
        <v>657</v>
      </c>
      <c r="BE97" s="18">
        <v>0</v>
      </c>
      <c r="BF97" s="11" t="s">
        <v>7</v>
      </c>
      <c r="BG97" s="17">
        <v>1</v>
      </c>
      <c r="BH97" s="11" t="s">
        <v>657</v>
      </c>
      <c r="BI97" s="17">
        <v>0</v>
      </c>
      <c r="BJ97" s="11">
        <v>17</v>
      </c>
      <c r="BK97" s="11"/>
      <c r="BL97" s="18"/>
      <c r="BM97" s="18"/>
      <c r="BN97" s="18"/>
      <c r="BO97" s="18"/>
      <c r="BP97" s="18"/>
      <c r="BQ97" s="18"/>
      <c r="BR97" s="18"/>
      <c r="BS97" s="18"/>
      <c r="BT97" s="18"/>
      <c r="BU97" s="18"/>
      <c r="BV97" s="18"/>
      <c r="BW97" s="18"/>
      <c r="BX97" s="18"/>
      <c r="BY97" s="18"/>
      <c r="BZ97" s="18"/>
      <c r="CA97" s="18"/>
      <c r="CB97" s="18"/>
      <c r="CC97" s="18"/>
      <c r="CD97" s="18"/>
      <c r="CE97" s="18"/>
      <c r="CF97" s="18"/>
      <c r="CG97" s="11">
        <v>33</v>
      </c>
      <c r="CH97" s="11"/>
      <c r="CI97" s="11">
        <v>1</v>
      </c>
      <c r="CJ97" s="11">
        <v>78</v>
      </c>
      <c r="CK97" s="11" t="s">
        <v>1165</v>
      </c>
      <c r="CL97" s="11" t="s">
        <v>5053</v>
      </c>
      <c r="CM97" s="33" t="s">
        <v>5477</v>
      </c>
      <c r="CN97" s="47">
        <v>1</v>
      </c>
      <c r="CO97" s="17">
        <v>0</v>
      </c>
      <c r="CP97" s="17">
        <v>0</v>
      </c>
      <c r="CQ97" s="17">
        <v>0</v>
      </c>
      <c r="CR97" s="11"/>
      <c r="CS97" s="33" t="s">
        <v>5477</v>
      </c>
      <c r="CT97" s="65"/>
      <c r="CU97" s="11"/>
      <c r="CV97" s="11"/>
      <c r="CW97" s="11"/>
      <c r="CX97" s="11" t="s">
        <v>4541</v>
      </c>
      <c r="CY97" s="17">
        <v>1</v>
      </c>
      <c r="CZ97" s="11" t="s">
        <v>5054</v>
      </c>
      <c r="DA97" s="12" t="s">
        <v>5055</v>
      </c>
    </row>
    <row r="98" spans="1:105" customFormat="1" ht="85.5">
      <c r="A98" s="31">
        <v>1983</v>
      </c>
      <c r="B98" s="32">
        <v>45271</v>
      </c>
      <c r="C98" s="7" t="s">
        <v>952</v>
      </c>
      <c r="D98" s="32">
        <v>27934</v>
      </c>
      <c r="E98" s="43">
        <f ca="1">_xlfn.DAYS(NOW(),Tabella2[[#This Row],[Data Nascita]])/365.25</f>
        <v>49.114305270362763</v>
      </c>
      <c r="F98" s="33" t="s">
        <v>953</v>
      </c>
      <c r="G98" s="33" t="s">
        <v>954</v>
      </c>
      <c r="H98" s="33" t="s">
        <v>5056</v>
      </c>
      <c r="I98" s="33" t="s">
        <v>3948</v>
      </c>
      <c r="J98" s="33" t="s">
        <v>5057</v>
      </c>
      <c r="K98" s="33"/>
      <c r="L98" s="33"/>
      <c r="M98" s="33"/>
      <c r="N98" s="33" t="s">
        <v>8</v>
      </c>
      <c r="O98" s="47">
        <v>0</v>
      </c>
      <c r="P98" s="47">
        <v>1</v>
      </c>
      <c r="Q98" s="33" t="s">
        <v>8</v>
      </c>
      <c r="R98" s="33" t="s">
        <v>8</v>
      </c>
      <c r="S98" s="33" t="s">
        <v>8</v>
      </c>
      <c r="T98" s="33" t="s">
        <v>5414</v>
      </c>
      <c r="U98" s="47">
        <f>IF(ISERROR(SEARCH("null",Tabella2[[#This Row],[Patologia respiratoria nota]],1)),0,1)</f>
        <v>0</v>
      </c>
      <c r="V98" s="47">
        <f>IF(ISERROR(SEARCH("MUTA",Tabella2[[#This Row],[Patologia respiratoria nota]],1)),0,1)</f>
        <v>0</v>
      </c>
      <c r="W98" s="47">
        <f>IF(ISERROR(SEARCH("OSAS",Tabella2[[#This Row],[Patologia respiratoria nota]],1)),0,1)</f>
        <v>1</v>
      </c>
      <c r="X98" s="47">
        <f>IF(ISERROR(SEARCH("BPCO",Tabella2[[#This Row],[Patologia respiratoria nota]],1)),0,1)</f>
        <v>1</v>
      </c>
      <c r="Y98" s="47">
        <f>IF(ISERROR(SEARCH("ASMA",Tabella2[[#This Row],[Patologia respiratoria nota]],1)),0,1)</f>
        <v>0</v>
      </c>
      <c r="Z98" s="47">
        <f>IF(ISERROR(SEARCH("ASMA, OSAS",Tabella2[[#This Row],[Patologia respiratoria nota]],1)),0,1)</f>
        <v>0</v>
      </c>
      <c r="AA98" s="47">
        <f>IF(ISERROR(SEARCH("BPCO, OSAS",Tabella2[[#This Row],[Patologia respiratoria nota]],1)),0,1)</f>
        <v>1</v>
      </c>
      <c r="AB98" s="47">
        <f>IF(ISERROR(SEARCH("ASMA, BPCO, OSAS",Tabella2[[#This Row],[Patologia respiratoria nota]],1)),0,1)</f>
        <v>0</v>
      </c>
      <c r="AC98" s="33" t="s">
        <v>5460</v>
      </c>
      <c r="AD98" s="47">
        <f>IF(ISERROR(SEARCH("NDD",Tabella2[[#This Row],[Tosse]],1)),0,1)</f>
        <v>0</v>
      </c>
      <c r="AE98" s="47">
        <f>IF(ISERROR(SEARCH("NEGA",Tabella2[[#This Row],[Tosse]],1)),0,1)</f>
        <v>0</v>
      </c>
      <c r="AF98" s="47">
        <f>IF(ISERROR(SEARCH("OCCASIONALMENTE",Tabella2[[#This Row],[Tosse]],1)),0,1)</f>
        <v>0</v>
      </c>
      <c r="AG98" s="47">
        <f>IF(ISERROR(SEARCH("RARAMENTE",Tabella2[[#This Row],[Tosse]],1)),0,1)</f>
        <v>0</v>
      </c>
      <c r="AH98" s="17">
        <v>1</v>
      </c>
      <c r="AI98" s="33" t="s">
        <v>5492</v>
      </c>
      <c r="AJ98" s="47">
        <f>IF(ISERROR(SEARCH("SI",Tabella2[[#This Row],[Espettorazione]],1)),0,1)</f>
        <v>1</v>
      </c>
      <c r="AK98" s="17">
        <v>0</v>
      </c>
      <c r="AL98" s="47">
        <f>IF(ISERROR(SEARCH("NDD",Tabella2[[#This Row],[Espettorazione]],1)),0,1)</f>
        <v>0</v>
      </c>
      <c r="AM98" s="33" t="s">
        <v>28</v>
      </c>
      <c r="AN98" s="47">
        <v>1</v>
      </c>
      <c r="AO98" s="33" t="s">
        <v>5058</v>
      </c>
      <c r="AP98" s="47">
        <f>IF(ISERROR(SEARCH("NEGA",Tabella2[[#This Row],[Dispnea da sforzo]],1)),0,1)</f>
        <v>0</v>
      </c>
      <c r="AQ98" s="47">
        <f>IF(ISERROR(SEARCH("NEGA",Tabella2[[#This Row],[Dispnea da sforzo]],1)),1,0)</f>
        <v>1</v>
      </c>
      <c r="AR98" s="47">
        <f>IF(ISERROR(SEARCH("LIEVI",Tabella2[[#This Row],[Dispnea da sforzo]],1)),0,1)</f>
        <v>0</v>
      </c>
      <c r="AS98" s="47">
        <f>IF(ISERROR(SEARCH("MODERATI",Tabella2[[#This Row],[Dispnea da sforzo]],1)),0,1)</f>
        <v>0</v>
      </c>
      <c r="AT98" s="47">
        <f>IF(ISERROR(SEARCH("INTENSI",Tabella2[[#This Row],[Dispnea da sforzo]],1)),0,1)</f>
        <v>0</v>
      </c>
      <c r="AU98" s="33" t="s">
        <v>657</v>
      </c>
      <c r="AV98" s="47">
        <f>IF(ISERROR(SEARCH("NEGA",Tabella2[[#This Row],[Dispnea a riposo]],1)),0,1)</f>
        <v>1</v>
      </c>
      <c r="AW98" s="47">
        <f>IF(ISERROR(SEARCH("NDD",Tabella2[[#This Row],[Dispnea a riposo]],1)),0,1)</f>
        <v>0</v>
      </c>
      <c r="AX98" s="33" t="s">
        <v>2737</v>
      </c>
      <c r="AY98" s="46">
        <v>1</v>
      </c>
      <c r="AZ98" s="33" t="s">
        <v>28</v>
      </c>
      <c r="BA98" s="17">
        <v>1</v>
      </c>
      <c r="BB98" s="33" t="s">
        <v>5059</v>
      </c>
      <c r="BC98" s="17">
        <v>1</v>
      </c>
      <c r="BD98" s="33" t="s">
        <v>28</v>
      </c>
      <c r="BE98" s="17">
        <v>1</v>
      </c>
      <c r="BF98" s="33" t="s">
        <v>28</v>
      </c>
      <c r="BG98" s="17">
        <v>1</v>
      </c>
      <c r="BH98" s="33" t="s">
        <v>28</v>
      </c>
      <c r="BI98" s="18">
        <v>1</v>
      </c>
      <c r="BJ98" s="33">
        <v>19</v>
      </c>
      <c r="BK98" s="33"/>
      <c r="BL98" s="47"/>
      <c r="BM98" s="47"/>
      <c r="BN98" s="47"/>
      <c r="BO98" s="47"/>
      <c r="BP98" s="47"/>
      <c r="BQ98" s="47"/>
      <c r="BR98" s="47"/>
      <c r="BS98" s="47"/>
      <c r="BT98" s="47"/>
      <c r="BU98" s="47"/>
      <c r="BV98" s="47"/>
      <c r="BW98" s="47"/>
      <c r="BX98" s="47"/>
      <c r="BY98" s="47"/>
      <c r="BZ98" s="47"/>
      <c r="CA98" s="47"/>
      <c r="CB98" s="47"/>
      <c r="CC98" s="47"/>
      <c r="CD98" s="47"/>
      <c r="CE98" s="47"/>
      <c r="CF98" s="47"/>
      <c r="CG98" s="33">
        <v>29</v>
      </c>
      <c r="CH98" s="33"/>
      <c r="CI98" s="33">
        <v>93</v>
      </c>
      <c r="CJ98" s="33">
        <v>70</v>
      </c>
      <c r="CK98" s="33"/>
      <c r="CL98" s="33" t="s">
        <v>5060</v>
      </c>
      <c r="CM98" s="33" t="s">
        <v>3883</v>
      </c>
      <c r="CN98" s="17">
        <v>0</v>
      </c>
      <c r="CO98" s="17">
        <v>0</v>
      </c>
      <c r="CP98" s="17">
        <v>1</v>
      </c>
      <c r="CQ98" s="17">
        <v>0</v>
      </c>
      <c r="CR98" s="33" t="s">
        <v>3884</v>
      </c>
      <c r="CS98" s="33" t="s">
        <v>5061</v>
      </c>
      <c r="CT98" s="66">
        <v>0.49</v>
      </c>
      <c r="CU98" s="33" t="s">
        <v>5062</v>
      </c>
      <c r="CV98" s="33"/>
      <c r="CW98" s="33"/>
      <c r="CX98" s="33" t="s">
        <v>5063</v>
      </c>
      <c r="CY98" s="17">
        <v>1</v>
      </c>
      <c r="CZ98" s="33"/>
      <c r="DA98" s="34"/>
    </row>
    <row r="99" spans="1:105" ht="85.5">
      <c r="A99" s="9">
        <v>2072</v>
      </c>
      <c r="B99" s="10">
        <v>45322</v>
      </c>
      <c r="C99" s="11" t="s">
        <v>5064</v>
      </c>
      <c r="D99" s="10">
        <v>19235</v>
      </c>
      <c r="E99" s="52">
        <f ca="1">_xlfn.DAYS(NOW(),Tabella2[[#This Row],[Data Nascita]])/365.25</f>
        <v>72.930869267624914</v>
      </c>
      <c r="F99" s="11" t="s">
        <v>5065</v>
      </c>
      <c r="G99" s="11" t="s">
        <v>5066</v>
      </c>
      <c r="H99" s="11" t="s">
        <v>4241</v>
      </c>
      <c r="I99" s="11" t="s">
        <v>5038</v>
      </c>
      <c r="J99" s="11" t="s">
        <v>5067</v>
      </c>
      <c r="K99" s="11"/>
      <c r="L99" s="11" t="s">
        <v>5068</v>
      </c>
      <c r="M99" s="11" t="s">
        <v>5069</v>
      </c>
      <c r="N99" s="11" t="s">
        <v>309</v>
      </c>
      <c r="O99" s="17">
        <v>0</v>
      </c>
      <c r="P99" s="17">
        <v>1</v>
      </c>
      <c r="Q99" s="11" t="s">
        <v>309</v>
      </c>
      <c r="R99" s="11" t="s">
        <v>309</v>
      </c>
      <c r="S99" s="11" t="s">
        <v>5070</v>
      </c>
      <c r="T99" s="11" t="s">
        <v>5436</v>
      </c>
      <c r="U99" s="18">
        <f>IF(ISERROR(SEARCH("null",Tabella2[[#This Row],[Patologia respiratoria nota]],1)),0,1)</f>
        <v>0</v>
      </c>
      <c r="V99" s="17">
        <f>IF(ISERROR(SEARCH("MUTA",Tabella2[[#This Row],[Patologia respiratoria nota]],1)),0,1)</f>
        <v>0</v>
      </c>
      <c r="W99" s="18">
        <f>IF(ISERROR(SEARCH("OSAS",Tabella2[[#This Row],[Patologia respiratoria nota]],1)),0,1)</f>
        <v>1</v>
      </c>
      <c r="X99" s="17">
        <f>IF(ISERROR(SEARCH("BPCO",Tabella2[[#This Row],[Patologia respiratoria nota]],1)),0,1)</f>
        <v>0</v>
      </c>
      <c r="Y99" s="17">
        <f>IF(ISERROR(SEARCH("ASMA",Tabella2[[#This Row],[Patologia respiratoria nota]],1)),0,1)</f>
        <v>0</v>
      </c>
      <c r="Z99" s="17">
        <f>IF(ISERROR(SEARCH("ASMA, OSAS",Tabella2[[#This Row],[Patologia respiratoria nota]],1)),0,1)</f>
        <v>0</v>
      </c>
      <c r="AA99" s="17">
        <f>IF(ISERROR(SEARCH("BPCO, OSAS",Tabella2[[#This Row],[Patologia respiratoria nota]],1)),0,1)</f>
        <v>0</v>
      </c>
      <c r="AB99" s="17">
        <f>IF(ISERROR(SEARCH("ASMA, BPCO, OSAS",Tabella2[[#This Row],[Patologia respiratoria nota]],1)),0,1)</f>
        <v>0</v>
      </c>
      <c r="AC99" s="11" t="s">
        <v>5461</v>
      </c>
      <c r="AD99" s="18">
        <f>IF(ISERROR(SEARCH("NDD",Tabella2[[#This Row],[Tosse]],1)),0,1)</f>
        <v>0</v>
      </c>
      <c r="AE99" s="18">
        <f>IF(ISERROR(SEARCH("NEGA",Tabella2[[#This Row],[Tosse]],1)),0,1)</f>
        <v>0</v>
      </c>
      <c r="AF99" s="18">
        <f>IF(ISERROR(SEARCH("OCCASIONALMENTE",Tabella2[[#This Row],[Tosse]],1)),0,1)</f>
        <v>0</v>
      </c>
      <c r="AG99" s="18">
        <f>IF(ISERROR(SEARCH("RARAMENTE",Tabella2[[#This Row],[Tosse]],1)),0,1)</f>
        <v>0</v>
      </c>
      <c r="AH99" s="17">
        <v>1</v>
      </c>
      <c r="AI99" s="11" t="s">
        <v>657</v>
      </c>
      <c r="AJ99" s="18">
        <f>IF(ISERROR(SEARCH("SI",Tabella2[[#This Row],[Espettorazione]],1)),0,1)</f>
        <v>0</v>
      </c>
      <c r="AK99" s="18">
        <f>IF(ISERROR(SEARCH("NEGA",Tabella2[[#This Row],[Espettorazione]],1)),0,1)</f>
        <v>1</v>
      </c>
      <c r="AL99" s="18">
        <f>IF(ISERROR(SEARCH("NDD",Tabella2[[#This Row],[Espettorazione]],1)),0,1)</f>
        <v>0</v>
      </c>
      <c r="AM99" s="11" t="s">
        <v>657</v>
      </c>
      <c r="AN99" s="17">
        <v>0</v>
      </c>
      <c r="AO99" s="11" t="s">
        <v>5559</v>
      </c>
      <c r="AP99" s="17">
        <f>IF(ISERROR(SEARCH("NEGA",Tabella2[[#This Row],[Dispnea da sforzo]],1)),0,1)</f>
        <v>0</v>
      </c>
      <c r="AQ99" s="17">
        <f>IF(ISERROR(SEARCH("NEGA",Tabella2[[#This Row],[Dispnea da sforzo]],1)),1,0)</f>
        <v>1</v>
      </c>
      <c r="AR99" s="17">
        <f>IF(ISERROR(SEARCH("LIEVI",Tabella2[[#This Row],[Dispnea da sforzo]],1)),0,1)</f>
        <v>1</v>
      </c>
      <c r="AS99" s="17">
        <f>IF(ISERROR(SEARCH("MODERATI",Tabella2[[#This Row],[Dispnea da sforzo]],1)),0,1)</f>
        <v>1</v>
      </c>
      <c r="AT99" s="17">
        <f>IF(ISERROR(SEARCH("INTENSI",Tabella2[[#This Row],[Dispnea da sforzo]],1)),0,1)</f>
        <v>0</v>
      </c>
      <c r="AU99" s="11" t="s">
        <v>657</v>
      </c>
      <c r="AV99" s="18">
        <f>IF(ISERROR(SEARCH("NEGA",Tabella2[[#This Row],[Dispnea a riposo]],1)),0,1)</f>
        <v>1</v>
      </c>
      <c r="AW99" s="18">
        <f>IF(ISERROR(SEARCH("NDD",Tabella2[[#This Row],[Dispnea a riposo]],1)),0,1)</f>
        <v>0</v>
      </c>
      <c r="AX99" s="11" t="s">
        <v>657</v>
      </c>
      <c r="AY99" s="17">
        <v>0</v>
      </c>
      <c r="AZ99" s="11" t="s">
        <v>5071</v>
      </c>
      <c r="BA99" s="17">
        <v>1</v>
      </c>
      <c r="BB99" s="11" t="s">
        <v>3578</v>
      </c>
      <c r="BC99" s="17">
        <v>1</v>
      </c>
      <c r="BD99" s="37" t="s">
        <v>657</v>
      </c>
      <c r="BE99" s="18">
        <v>0</v>
      </c>
      <c r="BF99" s="11" t="s">
        <v>657</v>
      </c>
      <c r="BG99" s="17">
        <v>0</v>
      </c>
      <c r="BH99" s="11" t="s">
        <v>657</v>
      </c>
      <c r="BI99" s="17">
        <v>0</v>
      </c>
      <c r="BJ99" s="11">
        <v>14</v>
      </c>
      <c r="BK99" s="11" t="s">
        <v>5072</v>
      </c>
      <c r="BL99" s="18" t="s">
        <v>5731</v>
      </c>
      <c r="BM99" s="18"/>
      <c r="BN99" s="18"/>
      <c r="BO99" s="18"/>
      <c r="BP99" s="18"/>
      <c r="BQ99" s="18"/>
      <c r="BR99" s="18"/>
      <c r="BS99" s="18"/>
      <c r="BT99" s="18"/>
      <c r="BU99" s="18"/>
      <c r="BV99" s="18"/>
      <c r="BW99" s="18"/>
      <c r="BX99" s="18"/>
      <c r="BY99" s="18"/>
      <c r="BZ99" s="18"/>
      <c r="CA99" s="18"/>
      <c r="CB99" s="18"/>
      <c r="CC99" s="18"/>
      <c r="CD99" s="18"/>
      <c r="CE99" s="18"/>
      <c r="CF99" s="18"/>
      <c r="CG99" s="11">
        <v>43</v>
      </c>
      <c r="CH99" s="11">
        <v>0</v>
      </c>
      <c r="CI99" s="11">
        <v>91</v>
      </c>
      <c r="CJ99" s="11">
        <v>78</v>
      </c>
      <c r="CK99" s="11" t="s">
        <v>5073</v>
      </c>
      <c r="CL99" s="11" t="s">
        <v>5074</v>
      </c>
      <c r="CM99" s="11" t="s">
        <v>4179</v>
      </c>
      <c r="CN99" s="17">
        <v>0</v>
      </c>
      <c r="CO99" s="17">
        <v>0</v>
      </c>
      <c r="CP99" s="17">
        <v>1</v>
      </c>
      <c r="CQ99" s="17">
        <v>0</v>
      </c>
      <c r="CR99" s="11" t="s">
        <v>5075</v>
      </c>
      <c r="CS99" s="33" t="s">
        <v>5477</v>
      </c>
      <c r="CT99" s="65"/>
      <c r="CU99" s="11" t="s">
        <v>5076</v>
      </c>
      <c r="CV99" s="11"/>
      <c r="CW99" s="11" t="s">
        <v>5077</v>
      </c>
      <c r="CX99" s="11" t="s">
        <v>4541</v>
      </c>
      <c r="CY99" s="17">
        <v>1</v>
      </c>
      <c r="CZ99" s="11" t="s">
        <v>5078</v>
      </c>
      <c r="DA99" s="12"/>
    </row>
    <row r="100" spans="1:105" s="54" customFormat="1" ht="85.5">
      <c r="A100" s="5">
        <v>2111</v>
      </c>
      <c r="B100" s="6">
        <v>45338</v>
      </c>
      <c r="C100" s="7" t="s">
        <v>901</v>
      </c>
      <c r="D100" s="6">
        <v>19826</v>
      </c>
      <c r="E100" s="51">
        <f ca="1">_xlfn.DAYS(NOW(),Tabella2[[#This Row],[Data Nascita]])/365.25</f>
        <v>71.312799452429843</v>
      </c>
      <c r="F100" s="7" t="s">
        <v>902</v>
      </c>
      <c r="G100" s="7" t="s">
        <v>903</v>
      </c>
      <c r="H100" s="7" t="s">
        <v>5079</v>
      </c>
      <c r="I100" s="7" t="s">
        <v>5038</v>
      </c>
      <c r="J100" s="7" t="s">
        <v>5080</v>
      </c>
      <c r="K100" s="7"/>
      <c r="L100" s="7" t="s">
        <v>5081</v>
      </c>
      <c r="M100" s="7" t="s">
        <v>5082</v>
      </c>
      <c r="N100" s="7" t="s">
        <v>382</v>
      </c>
      <c r="O100" s="17">
        <v>0</v>
      </c>
      <c r="P100" s="17">
        <v>1</v>
      </c>
      <c r="Q100" s="7" t="s">
        <v>382</v>
      </c>
      <c r="R100" s="7" t="s">
        <v>382</v>
      </c>
      <c r="S100" s="7" t="s">
        <v>5083</v>
      </c>
      <c r="T100" s="7" t="s">
        <v>3804</v>
      </c>
      <c r="U100" s="17">
        <f>IF(ISERROR(SEARCH("null",Tabella2[[#This Row],[Patologia respiratoria nota]],1)),0,1)</f>
        <v>0</v>
      </c>
      <c r="V100" s="17">
        <f>IF(ISERROR(SEARCH("MUTA",Tabella2[[#This Row],[Patologia respiratoria nota]],1)),0,1)</f>
        <v>0</v>
      </c>
      <c r="W100" s="17">
        <f>IF(ISERROR(SEARCH("OSAS",Tabella2[[#This Row],[Patologia respiratoria nota]],1)),0,1)</f>
        <v>1</v>
      </c>
      <c r="X100" s="17">
        <f>IF(ISERROR(SEARCH("BPCO",Tabella2[[#This Row],[Patologia respiratoria nota]],1)),0,1)</f>
        <v>0</v>
      </c>
      <c r="Y100" s="17">
        <f>IF(ISERROR(SEARCH("ASMA",Tabella2[[#This Row],[Patologia respiratoria nota]],1)),0,1)</f>
        <v>1</v>
      </c>
      <c r="Z100" s="17">
        <f>IF(ISERROR(SEARCH("ASMA, OSAS",Tabella2[[#This Row],[Patologia respiratoria nota]],1)),0,1)</f>
        <v>1</v>
      </c>
      <c r="AA100" s="17">
        <f>IF(ISERROR(SEARCH("BPCO, OSAS",Tabella2[[#This Row],[Patologia respiratoria nota]],1)),0,1)</f>
        <v>0</v>
      </c>
      <c r="AB100" s="17">
        <f>IF(ISERROR(SEARCH("ASMA, BPCO, OSAS",Tabella2[[#This Row],[Patologia respiratoria nota]],1)),0,1)</f>
        <v>0</v>
      </c>
      <c r="AC100" s="7" t="s">
        <v>5462</v>
      </c>
      <c r="AD100" s="17">
        <f>IF(ISERROR(SEARCH("NDD",Tabella2[[#This Row],[Tosse]],1)),0,1)</f>
        <v>0</v>
      </c>
      <c r="AE100" s="17">
        <f>IF(ISERROR(SEARCH("NEGA",Tabella2[[#This Row],[Tosse]],1)),0,1)</f>
        <v>0</v>
      </c>
      <c r="AF100" s="17">
        <f>IF(ISERROR(SEARCH("OCCASIONALMENTE",Tabella2[[#This Row],[Tosse]],1)),0,1)</f>
        <v>0</v>
      </c>
      <c r="AG100" s="17">
        <f>IF(ISERROR(SEARCH("RARAMENTE",Tabella2[[#This Row],[Tosse]],1)),0,1)</f>
        <v>0</v>
      </c>
      <c r="AH100" s="17">
        <v>1</v>
      </c>
      <c r="AI100" s="7" t="s">
        <v>657</v>
      </c>
      <c r="AJ100" s="17">
        <f>IF(ISERROR(SEARCH("SI",Tabella2[[#This Row],[Espettorazione]],1)),0,1)</f>
        <v>0</v>
      </c>
      <c r="AK100" s="17">
        <f>IF(ISERROR(SEARCH("NEGA",Tabella2[[#This Row],[Espettorazione]],1)),0,1)</f>
        <v>1</v>
      </c>
      <c r="AL100" s="17">
        <f>IF(ISERROR(SEARCH("NDD",Tabella2[[#This Row],[Espettorazione]],1)),0,1)</f>
        <v>0</v>
      </c>
      <c r="AM100" s="7" t="s">
        <v>657</v>
      </c>
      <c r="AN100" s="17">
        <v>0</v>
      </c>
      <c r="AO100" s="7" t="s">
        <v>5560</v>
      </c>
      <c r="AP100" s="17">
        <f>IF(ISERROR(SEARCH("NEGA",Tabella2[[#This Row],[Dispnea da sforzo]],1)),0,1)</f>
        <v>0</v>
      </c>
      <c r="AQ100" s="17">
        <f>IF(ISERROR(SEARCH("NEGA",Tabella2[[#This Row],[Dispnea da sforzo]],1)),1,0)</f>
        <v>1</v>
      </c>
      <c r="AR100" s="17">
        <f>IF(ISERROR(SEARCH("LIEVI",Tabella2[[#This Row],[Dispnea da sforzo]],1)),0,1)</f>
        <v>0</v>
      </c>
      <c r="AS100" s="17">
        <f>IF(ISERROR(SEARCH("MODERATI",Tabella2[[#This Row],[Dispnea da sforzo]],1)),0,1)</f>
        <v>1</v>
      </c>
      <c r="AT100" s="17">
        <f>IF(ISERROR(SEARCH("INTENSI",Tabella2[[#This Row],[Dispnea da sforzo]],1)),0,1)</f>
        <v>0</v>
      </c>
      <c r="AU100" s="7" t="s">
        <v>657</v>
      </c>
      <c r="AV100" s="17">
        <f>IF(ISERROR(SEARCH("NEGA",Tabella2[[#This Row],[Dispnea a riposo]],1)),0,1)</f>
        <v>1</v>
      </c>
      <c r="AW100" s="17">
        <f>IF(ISERROR(SEARCH("NDD",Tabella2[[#This Row],[Dispnea a riposo]],1)),0,1)</f>
        <v>0</v>
      </c>
      <c r="AX100" s="7" t="s">
        <v>5084</v>
      </c>
      <c r="AY100" s="18">
        <v>1</v>
      </c>
      <c r="AZ100" s="7" t="s">
        <v>657</v>
      </c>
      <c r="BA100" s="18">
        <v>0</v>
      </c>
      <c r="BB100" s="7" t="s">
        <v>3578</v>
      </c>
      <c r="BC100" s="17">
        <v>1</v>
      </c>
      <c r="BD100" s="33" t="s">
        <v>657</v>
      </c>
      <c r="BE100" s="18">
        <v>0</v>
      </c>
      <c r="BF100" s="7" t="s">
        <v>5085</v>
      </c>
      <c r="BG100" s="17">
        <v>1</v>
      </c>
      <c r="BH100" s="7" t="s">
        <v>657</v>
      </c>
      <c r="BI100" s="17">
        <v>0</v>
      </c>
      <c r="BJ100" s="7">
        <v>12</v>
      </c>
      <c r="BK100" s="7" t="s">
        <v>5086</v>
      </c>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7">
        <v>39</v>
      </c>
      <c r="CH100" s="7">
        <v>0</v>
      </c>
      <c r="CI100" s="7">
        <v>0</v>
      </c>
      <c r="CJ100" s="7">
        <v>0</v>
      </c>
      <c r="CK100" s="7" t="s">
        <v>5087</v>
      </c>
      <c r="CL100" s="7" t="s">
        <v>5088</v>
      </c>
      <c r="CM100" s="7" t="s">
        <v>4164</v>
      </c>
      <c r="CN100" s="17">
        <v>0</v>
      </c>
      <c r="CO100" s="17">
        <v>0</v>
      </c>
      <c r="CP100" s="17">
        <v>0</v>
      </c>
      <c r="CQ100" s="17">
        <v>1</v>
      </c>
      <c r="CR100" s="7" t="s">
        <v>5089</v>
      </c>
      <c r="CS100" s="7" t="s">
        <v>5090</v>
      </c>
      <c r="CT100" s="64">
        <v>0.95</v>
      </c>
      <c r="CU100" s="7" t="s">
        <v>5091</v>
      </c>
      <c r="CV100" s="7" t="s">
        <v>5092</v>
      </c>
      <c r="CW100" s="7" t="s">
        <v>5093</v>
      </c>
      <c r="CX100" s="7" t="s">
        <v>5477</v>
      </c>
      <c r="CY100" s="17">
        <v>0</v>
      </c>
      <c r="CZ100" s="7"/>
      <c r="DA100" s="8" t="s">
        <v>5094</v>
      </c>
    </row>
    <row r="101" spans="1:105" s="54" customFormat="1" ht="57">
      <c r="A101" s="9">
        <v>2147</v>
      </c>
      <c r="B101" s="10">
        <v>45357</v>
      </c>
      <c r="C101" s="11" t="s">
        <v>5095</v>
      </c>
      <c r="D101" s="10">
        <v>17752</v>
      </c>
      <c r="E101" s="52">
        <f ca="1">_xlfn.DAYS(NOW(),Tabella2[[#This Row],[Data Nascita]])/365.25</f>
        <v>76.991101984941821</v>
      </c>
      <c r="F101" s="11" t="s">
        <v>5096</v>
      </c>
      <c r="G101" s="11" t="s">
        <v>5097</v>
      </c>
      <c r="H101" s="11" t="s">
        <v>4241</v>
      </c>
      <c r="I101" s="11" t="s">
        <v>5038</v>
      </c>
      <c r="J101" s="11" t="s">
        <v>5098</v>
      </c>
      <c r="K101" s="11"/>
      <c r="L101" s="11" t="s">
        <v>5099</v>
      </c>
      <c r="M101" s="11" t="s">
        <v>5082</v>
      </c>
      <c r="N101" s="11" t="s">
        <v>195</v>
      </c>
      <c r="O101" s="17">
        <v>0</v>
      </c>
      <c r="P101" s="17">
        <v>1</v>
      </c>
      <c r="Q101" s="11" t="s">
        <v>195</v>
      </c>
      <c r="R101" s="11" t="s">
        <v>195</v>
      </c>
      <c r="S101" s="11" t="s">
        <v>5100</v>
      </c>
      <c r="T101" s="11" t="s">
        <v>5437</v>
      </c>
      <c r="U101" s="18">
        <f>IF(ISERROR(SEARCH("null",Tabella2[[#This Row],[Patologia respiratoria nota]],1)),0,1)</f>
        <v>0</v>
      </c>
      <c r="V101" s="17">
        <f>IF(ISERROR(SEARCH("MUTA",Tabella2[[#This Row],[Patologia respiratoria nota]],1)),0,1)</f>
        <v>0</v>
      </c>
      <c r="W101" s="18">
        <f>IF(ISERROR(SEARCH("OSAS",Tabella2[[#This Row],[Patologia respiratoria nota]],1)),0,1)</f>
        <v>1</v>
      </c>
      <c r="X101" s="17">
        <f>IF(ISERROR(SEARCH("BPCO",Tabella2[[#This Row],[Patologia respiratoria nota]],1)),0,1)</f>
        <v>0</v>
      </c>
      <c r="Y101" s="17">
        <f>IF(ISERROR(SEARCH("ASMA",Tabella2[[#This Row],[Patologia respiratoria nota]],1)),0,1)</f>
        <v>0</v>
      </c>
      <c r="Z101" s="17">
        <f>IF(ISERROR(SEARCH("ASMA, OSAS",Tabella2[[#This Row],[Patologia respiratoria nota]],1)),0,1)</f>
        <v>0</v>
      </c>
      <c r="AA101" s="17">
        <f>IF(ISERROR(SEARCH("BPCO, OSAS",Tabella2[[#This Row],[Patologia respiratoria nota]],1)),0,1)</f>
        <v>0</v>
      </c>
      <c r="AB101" s="17">
        <f>IF(ISERROR(SEARCH("ASMA, BPCO, OSAS",Tabella2[[#This Row],[Patologia respiratoria nota]],1)),0,1)</f>
        <v>0</v>
      </c>
      <c r="AC101" s="15" t="s">
        <v>657</v>
      </c>
      <c r="AD101" s="19">
        <f>IF(ISERROR(SEARCH("NDD",Tabella2[[#This Row],[Tosse]],1)),0,1)</f>
        <v>0</v>
      </c>
      <c r="AE101" s="19">
        <f>IF(ISERROR(SEARCH("NEGA",Tabella2[[#This Row],[Tosse]],1)),0,1)</f>
        <v>1</v>
      </c>
      <c r="AF101" s="19">
        <f>IF(ISERROR(SEARCH("OCCASIONALMENTE",Tabella2[[#This Row],[Tosse]],1)),0,1)</f>
        <v>0</v>
      </c>
      <c r="AG101" s="19">
        <f>IF(ISERROR(SEARCH("RARAMENTE",Tabella2[[#This Row],[Tosse]],1)),0,1)</f>
        <v>0</v>
      </c>
      <c r="AH101" s="19">
        <f>IF(ISERROR(SEARCH("SI",Tabella2[[#This Row],[Tosse]],1)),0,1)</f>
        <v>0</v>
      </c>
      <c r="AI101" s="11" t="s">
        <v>657</v>
      </c>
      <c r="AJ101" s="18">
        <f>IF(ISERROR(SEARCH("SI",Tabella2[[#This Row],[Espettorazione]],1)),0,1)</f>
        <v>0</v>
      </c>
      <c r="AK101" s="18">
        <f>IF(ISERROR(SEARCH("NEGA",Tabella2[[#This Row],[Espettorazione]],1)),0,1)</f>
        <v>1</v>
      </c>
      <c r="AL101" s="18">
        <f>IF(ISERROR(SEARCH("NDD",Tabella2[[#This Row],[Espettorazione]],1)),0,1)</f>
        <v>0</v>
      </c>
      <c r="AM101" s="11" t="s">
        <v>5101</v>
      </c>
      <c r="AN101" s="17">
        <v>1</v>
      </c>
      <c r="AO101" s="11" t="s">
        <v>5561</v>
      </c>
      <c r="AP101" s="17">
        <f>IF(ISERROR(SEARCH("NEGA",Tabella2[[#This Row],[Dispnea da sforzo]],1)),0,1)</f>
        <v>0</v>
      </c>
      <c r="AQ101" s="17">
        <f>IF(ISERROR(SEARCH("NEGA",Tabella2[[#This Row],[Dispnea da sforzo]],1)),1,0)</f>
        <v>1</v>
      </c>
      <c r="AR101" s="17">
        <f>IF(ISERROR(SEARCH("LIEVI",Tabella2[[#This Row],[Dispnea da sforzo]],1)),0,1)</f>
        <v>0</v>
      </c>
      <c r="AS101" s="17">
        <f>IF(ISERROR(SEARCH("MODERATI",Tabella2[[#This Row],[Dispnea da sforzo]],1)),0,1)</f>
        <v>1</v>
      </c>
      <c r="AT101" s="17">
        <f>IF(ISERROR(SEARCH("INTENSI",Tabella2[[#This Row],[Dispnea da sforzo]],1)),0,1)</f>
        <v>0</v>
      </c>
      <c r="AU101" s="11" t="s">
        <v>657</v>
      </c>
      <c r="AV101" s="18">
        <f>IF(ISERROR(SEARCH("NEGA",Tabella2[[#This Row],[Dispnea a riposo]],1)),0,1)</f>
        <v>1</v>
      </c>
      <c r="AW101" s="18">
        <f>IF(ISERROR(SEARCH("NDD",Tabella2[[#This Row],[Dispnea a riposo]],1)),0,1)</f>
        <v>0</v>
      </c>
      <c r="AX101" s="11" t="s">
        <v>5102</v>
      </c>
      <c r="AY101" s="18">
        <v>1</v>
      </c>
      <c r="AZ101" s="11" t="s">
        <v>657</v>
      </c>
      <c r="BA101" s="18">
        <v>0</v>
      </c>
      <c r="BB101" s="11" t="s">
        <v>5103</v>
      </c>
      <c r="BC101" s="17">
        <v>1</v>
      </c>
      <c r="BD101" s="37" t="s">
        <v>5589</v>
      </c>
      <c r="BE101" s="18">
        <v>0</v>
      </c>
      <c r="BF101" s="11" t="s">
        <v>657</v>
      </c>
      <c r="BG101" s="17">
        <v>0</v>
      </c>
      <c r="BH101" s="11" t="s">
        <v>657</v>
      </c>
      <c r="BI101" s="17">
        <v>0</v>
      </c>
      <c r="BJ101" s="11">
        <v>12</v>
      </c>
      <c r="BK101" s="11"/>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1">
        <v>32</v>
      </c>
      <c r="CH101" s="11">
        <v>0</v>
      </c>
      <c r="CI101" s="11">
        <v>96</v>
      </c>
      <c r="CJ101" s="11">
        <v>60</v>
      </c>
      <c r="CK101" s="11" t="s">
        <v>5104</v>
      </c>
      <c r="CL101" s="11" t="s">
        <v>5105</v>
      </c>
      <c r="CM101" s="11" t="s">
        <v>4179</v>
      </c>
      <c r="CN101" s="17">
        <v>0</v>
      </c>
      <c r="CO101" s="17">
        <v>0</v>
      </c>
      <c r="CP101" s="17">
        <v>1</v>
      </c>
      <c r="CQ101" s="17">
        <v>0</v>
      </c>
      <c r="CR101" s="11" t="s">
        <v>3884</v>
      </c>
      <c r="CS101" s="11" t="s">
        <v>5106</v>
      </c>
      <c r="CT101" s="65">
        <v>0.21</v>
      </c>
      <c r="CU101" s="11" t="s">
        <v>5107</v>
      </c>
      <c r="CV101" s="11" t="s">
        <v>4311</v>
      </c>
      <c r="CW101" s="11" t="s">
        <v>5108</v>
      </c>
      <c r="CX101" s="7" t="s">
        <v>5477</v>
      </c>
      <c r="CY101" s="17">
        <v>0</v>
      </c>
      <c r="CZ101" s="11"/>
      <c r="DA101" s="12" t="s">
        <v>5109</v>
      </c>
    </row>
    <row r="102" spans="1:105" ht="71.25">
      <c r="A102" s="5">
        <v>2151</v>
      </c>
      <c r="B102" s="6">
        <v>45358</v>
      </c>
      <c r="C102" s="7" t="s">
        <v>5110</v>
      </c>
      <c r="D102" s="6">
        <v>14512</v>
      </c>
      <c r="E102" s="51">
        <f ca="1">_xlfn.DAYS(NOW(),Tabella2[[#This Row],[Data Nascita]])/365.25</f>
        <v>85.861738535249827</v>
      </c>
      <c r="F102" s="7" t="s">
        <v>5111</v>
      </c>
      <c r="G102" s="7" t="s">
        <v>5112</v>
      </c>
      <c r="H102" s="7" t="s">
        <v>4241</v>
      </c>
      <c r="I102" s="7" t="s">
        <v>5038</v>
      </c>
      <c r="J102" s="7" t="s">
        <v>5113</v>
      </c>
      <c r="K102" s="7"/>
      <c r="L102" s="7" t="s">
        <v>5114</v>
      </c>
      <c r="M102" s="7" t="s">
        <v>5082</v>
      </c>
      <c r="N102" s="7" t="s">
        <v>8</v>
      </c>
      <c r="O102" s="17">
        <v>0</v>
      </c>
      <c r="P102" s="17">
        <v>1</v>
      </c>
      <c r="Q102" s="7" t="s">
        <v>195</v>
      </c>
      <c r="R102" s="7" t="s">
        <v>195</v>
      </c>
      <c r="S102" s="7" t="s">
        <v>5115</v>
      </c>
      <c r="T102" s="7" t="s">
        <v>5438</v>
      </c>
      <c r="U102" s="17">
        <f>IF(ISERROR(SEARCH("null",Tabella2[[#This Row],[Patologia respiratoria nota]],1)),0,1)</f>
        <v>0</v>
      </c>
      <c r="V102" s="17">
        <f>IF(ISERROR(SEARCH("MUTA",Tabella2[[#This Row],[Patologia respiratoria nota]],1)),0,1)</f>
        <v>0</v>
      </c>
      <c r="W102" s="17">
        <f>IF(ISERROR(SEARCH("OSAS",Tabella2[[#This Row],[Patologia respiratoria nota]],1)),0,1)</f>
        <v>1</v>
      </c>
      <c r="X102" s="17">
        <f>IF(ISERROR(SEARCH("BPCO",Tabella2[[#This Row],[Patologia respiratoria nota]],1)),0,1)</f>
        <v>0</v>
      </c>
      <c r="Y102" s="17">
        <f>IF(ISERROR(SEARCH("ASMA",Tabella2[[#This Row],[Patologia respiratoria nota]],1)),0,1)</f>
        <v>0</v>
      </c>
      <c r="Z102" s="17">
        <f>IF(ISERROR(SEARCH("ASMA, OSAS",Tabella2[[#This Row],[Patologia respiratoria nota]],1)),0,1)</f>
        <v>0</v>
      </c>
      <c r="AA102" s="17">
        <f>IF(ISERROR(SEARCH("BPCO, OSAS",Tabella2[[#This Row],[Patologia respiratoria nota]],1)),0,1)</f>
        <v>0</v>
      </c>
      <c r="AB102" s="17">
        <f>IF(ISERROR(SEARCH("ASMA, BPCO, OSAS",Tabella2[[#This Row],[Patologia respiratoria nota]],1)),0,1)</f>
        <v>0</v>
      </c>
      <c r="AC102" s="7" t="s">
        <v>5452</v>
      </c>
      <c r="AD102" s="17">
        <f>IF(ISERROR(SEARCH("NDD",Tabella2[[#This Row],[Tosse]],1)),0,1)</f>
        <v>0</v>
      </c>
      <c r="AE102" s="17">
        <f>IF(ISERROR(SEARCH("NEGA",Tabella2[[#This Row],[Tosse]],1)),0,1)</f>
        <v>0</v>
      </c>
      <c r="AF102" s="17">
        <f>IF(ISERROR(SEARCH("OCCASIONALMENTE",Tabella2[[#This Row],[Tosse]],1)),0,1)</f>
        <v>0</v>
      </c>
      <c r="AG102" s="17">
        <f>IF(ISERROR(SEARCH("RARAMENTE",Tabella2[[#This Row],[Tosse]],1)),0,1)</f>
        <v>0</v>
      </c>
      <c r="AH102" s="17">
        <v>1</v>
      </c>
      <c r="AI102" s="7" t="s">
        <v>5493</v>
      </c>
      <c r="AJ102" s="17">
        <f>IF(ISERROR(SEARCH("SI",Tabella2[[#This Row],[Espettorazione]],1)),0,1)</f>
        <v>1</v>
      </c>
      <c r="AK102" s="17">
        <v>0</v>
      </c>
      <c r="AL102" s="17">
        <f>IF(ISERROR(SEARCH("NDD",Tabella2[[#This Row],[Espettorazione]],1)),0,1)</f>
        <v>0</v>
      </c>
      <c r="AM102" s="7" t="s">
        <v>5517</v>
      </c>
      <c r="AN102" s="17">
        <v>0</v>
      </c>
      <c r="AO102" s="7" t="s">
        <v>5573</v>
      </c>
      <c r="AP102" s="17">
        <f>IF(ISERROR(SEARCH("NEGA",Tabella2[[#This Row],[Dispnea da sforzo]],1)),0,1)</f>
        <v>0</v>
      </c>
      <c r="AQ102" s="17">
        <f>IF(ISERROR(SEARCH("NEGA",Tabella2[[#This Row],[Dispnea da sforzo]],1)),1,0)</f>
        <v>1</v>
      </c>
      <c r="AR102" s="17">
        <f>IF(ISERROR(SEARCH("LIEVI",Tabella2[[#This Row],[Dispnea da sforzo]],1)),0,1)</f>
        <v>1</v>
      </c>
      <c r="AS102" s="17">
        <f>IF(ISERROR(SEARCH("MODERATI",Tabella2[[#This Row],[Dispnea da sforzo]],1)),0,1)</f>
        <v>1</v>
      </c>
      <c r="AT102" s="17">
        <f>IF(ISERROR(SEARCH("INTENSI",Tabella2[[#This Row],[Dispnea da sforzo]],1)),0,1)</f>
        <v>0</v>
      </c>
      <c r="AU102" s="7" t="s">
        <v>657</v>
      </c>
      <c r="AV102" s="17">
        <f>IF(ISERROR(SEARCH("NEGA",Tabella2[[#This Row],[Dispnea a riposo]],1)),0,1)</f>
        <v>1</v>
      </c>
      <c r="AW102" s="17">
        <f>IF(ISERROR(SEARCH("NDD",Tabella2[[#This Row],[Dispnea a riposo]],1)),0,1)</f>
        <v>0</v>
      </c>
      <c r="AX102" s="7" t="s">
        <v>657</v>
      </c>
      <c r="AY102" s="17">
        <v>0</v>
      </c>
      <c r="AZ102" s="7" t="s">
        <v>28</v>
      </c>
      <c r="BA102" s="17">
        <v>1</v>
      </c>
      <c r="BB102" s="7" t="s">
        <v>3578</v>
      </c>
      <c r="BC102" s="17">
        <v>1</v>
      </c>
      <c r="BD102" s="7" t="s">
        <v>28</v>
      </c>
      <c r="BE102" s="17">
        <v>1</v>
      </c>
      <c r="BF102" s="7" t="s">
        <v>5116</v>
      </c>
      <c r="BG102" s="17">
        <v>1</v>
      </c>
      <c r="BH102" s="7" t="s">
        <v>657</v>
      </c>
      <c r="BI102" s="17">
        <v>0</v>
      </c>
      <c r="BJ102" s="7">
        <v>16</v>
      </c>
      <c r="BK102" s="7" t="s">
        <v>5117</v>
      </c>
      <c r="BL102" s="17" t="s">
        <v>5732</v>
      </c>
      <c r="BM102" s="17"/>
      <c r="BN102" s="17"/>
      <c r="BO102" s="17"/>
      <c r="BP102" s="17"/>
      <c r="BQ102" s="17"/>
      <c r="BR102" s="17"/>
      <c r="BS102" s="17"/>
      <c r="BT102" s="17"/>
      <c r="BU102" s="17"/>
      <c r="BV102" s="17"/>
      <c r="BW102" s="17"/>
      <c r="BX102" s="17"/>
      <c r="BY102" s="17"/>
      <c r="BZ102" s="17"/>
      <c r="CA102" s="17"/>
      <c r="CB102" s="17"/>
      <c r="CC102" s="17"/>
      <c r="CD102" s="17"/>
      <c r="CE102" s="17"/>
      <c r="CF102" s="17"/>
      <c r="CG102" s="7">
        <v>29</v>
      </c>
      <c r="CH102" s="7">
        <v>0</v>
      </c>
      <c r="CI102" s="7">
        <v>98</v>
      </c>
      <c r="CJ102" s="7">
        <v>52</v>
      </c>
      <c r="CK102" s="7" t="s">
        <v>5118</v>
      </c>
      <c r="CL102" s="7" t="s">
        <v>5119</v>
      </c>
      <c r="CM102" s="7" t="s">
        <v>3997</v>
      </c>
      <c r="CN102" s="17">
        <v>0</v>
      </c>
      <c r="CO102" s="17">
        <v>1</v>
      </c>
      <c r="CP102" s="17">
        <v>0</v>
      </c>
      <c r="CQ102" s="17">
        <v>0</v>
      </c>
      <c r="CR102" s="7" t="s">
        <v>5120</v>
      </c>
      <c r="CS102" s="7" t="s">
        <v>5121</v>
      </c>
      <c r="CT102" s="64">
        <v>0.879</v>
      </c>
      <c r="CU102" s="7" t="s">
        <v>5122</v>
      </c>
      <c r="CV102" s="7" t="s">
        <v>5123</v>
      </c>
      <c r="CW102" s="7" t="s">
        <v>5124</v>
      </c>
      <c r="CX102" s="7" t="s">
        <v>5125</v>
      </c>
      <c r="CY102" s="17">
        <v>1</v>
      </c>
      <c r="CZ102" s="7"/>
      <c r="DA102" s="8"/>
    </row>
    <row r="103" spans="1:105" customFormat="1" ht="57">
      <c r="A103" s="35">
        <v>2211</v>
      </c>
      <c r="B103" s="36">
        <v>45394</v>
      </c>
      <c r="C103" s="11" t="s">
        <v>5126</v>
      </c>
      <c r="D103" s="36">
        <v>18457</v>
      </c>
      <c r="E103" s="44">
        <f ca="1">_xlfn.DAYS(NOW(),Tabella2[[#This Row],[Data Nascita]])/365.25</f>
        <v>75.060917180013689</v>
      </c>
      <c r="F103" s="37" t="s">
        <v>5127</v>
      </c>
      <c r="G103" s="37" t="s">
        <v>5128</v>
      </c>
      <c r="H103" s="37" t="s">
        <v>4241</v>
      </c>
      <c r="I103" s="37" t="s">
        <v>5038</v>
      </c>
      <c r="J103" s="37" t="s">
        <v>5129</v>
      </c>
      <c r="K103" s="37"/>
      <c r="L103" s="37" t="s">
        <v>5130</v>
      </c>
      <c r="M103" s="37" t="s">
        <v>5069</v>
      </c>
      <c r="N103" s="37" t="s">
        <v>195</v>
      </c>
      <c r="O103" s="47">
        <v>0</v>
      </c>
      <c r="P103" s="47">
        <v>1</v>
      </c>
      <c r="Q103" s="37" t="s">
        <v>195</v>
      </c>
      <c r="R103" s="37" t="s">
        <v>195</v>
      </c>
      <c r="S103" s="37" t="s">
        <v>5131</v>
      </c>
      <c r="T103" s="37" t="s">
        <v>5439</v>
      </c>
      <c r="U103" s="46">
        <f>IF(ISERROR(SEARCH("null",Tabella2[[#This Row],[Patologia respiratoria nota]],1)),0,1)</f>
        <v>0</v>
      </c>
      <c r="V103" s="47">
        <f>IF(ISERROR(SEARCH("MUTA",Tabella2[[#This Row],[Patologia respiratoria nota]],1)),0,1)</f>
        <v>0</v>
      </c>
      <c r="W103" s="46">
        <f>IF(ISERROR(SEARCH("OSAS",Tabella2[[#This Row],[Patologia respiratoria nota]],1)),0,1)</f>
        <v>1</v>
      </c>
      <c r="X103" s="47">
        <f>IF(ISERROR(SEARCH("BPCO",Tabella2[[#This Row],[Patologia respiratoria nota]],1)),0,1)</f>
        <v>1</v>
      </c>
      <c r="Y103" s="47">
        <f>IF(ISERROR(SEARCH("ASMA",Tabella2[[#This Row],[Patologia respiratoria nota]],1)),0,1)</f>
        <v>0</v>
      </c>
      <c r="Z103" s="47">
        <f>IF(ISERROR(SEARCH("ASMA, OSAS",Tabella2[[#This Row],[Patologia respiratoria nota]],1)),0,1)</f>
        <v>0</v>
      </c>
      <c r="AA103" s="47">
        <f>IF(ISERROR(SEARCH("BPCO, OSAS",Tabella2[[#This Row],[Patologia respiratoria nota]],1)),0,1)</f>
        <v>0</v>
      </c>
      <c r="AB103" s="47">
        <f>IF(ISERROR(SEARCH("ASMA, BPCO, OSAS",Tabella2[[#This Row],[Patologia respiratoria nota]],1)),0,1)</f>
        <v>0</v>
      </c>
      <c r="AC103" s="41" t="s">
        <v>657</v>
      </c>
      <c r="AD103" s="48">
        <f>IF(ISERROR(SEARCH("NDD",Tabella2[[#This Row],[Tosse]],1)),0,1)</f>
        <v>0</v>
      </c>
      <c r="AE103" s="48">
        <f>IF(ISERROR(SEARCH("NEGA",Tabella2[[#This Row],[Tosse]],1)),0,1)</f>
        <v>1</v>
      </c>
      <c r="AF103" s="48">
        <f>IF(ISERROR(SEARCH("OCCASIONALMENTE",Tabella2[[#This Row],[Tosse]],1)),0,1)</f>
        <v>0</v>
      </c>
      <c r="AG103" s="48">
        <f>IF(ISERROR(SEARCH("RARAMENTE",Tabella2[[#This Row],[Tosse]],1)),0,1)</f>
        <v>0</v>
      </c>
      <c r="AH103" s="48">
        <f>IF(ISERROR(SEARCH("SI",Tabella2[[#This Row],[Tosse]],1)),0,1)</f>
        <v>0</v>
      </c>
      <c r="AI103" s="37" t="s">
        <v>5510</v>
      </c>
      <c r="AJ103" s="46">
        <f>IF(ISERROR(SEARCH("SI",Tabella2[[#This Row],[Espettorazione]],1)),0,1)</f>
        <v>1</v>
      </c>
      <c r="AK103" s="17">
        <v>0</v>
      </c>
      <c r="AL103" s="46">
        <f>IF(ISERROR(SEARCH("NDD",Tabella2[[#This Row],[Espettorazione]],1)),0,1)</f>
        <v>0</v>
      </c>
      <c r="AM103" s="37" t="s">
        <v>657</v>
      </c>
      <c r="AN103" s="47">
        <v>0</v>
      </c>
      <c r="AO103" s="37" t="s">
        <v>5562</v>
      </c>
      <c r="AP103" s="47">
        <f>IF(ISERROR(SEARCH("NEGA",Tabella2[[#This Row],[Dispnea da sforzo]],1)),0,1)</f>
        <v>0</v>
      </c>
      <c r="AQ103" s="47">
        <f>IF(ISERROR(SEARCH("NEGA",Tabella2[[#This Row],[Dispnea da sforzo]],1)),1,0)</f>
        <v>1</v>
      </c>
      <c r="AR103" s="47">
        <f>IF(ISERROR(SEARCH("LIEVI",Tabella2[[#This Row],[Dispnea da sforzo]],1)),0,1)</f>
        <v>0</v>
      </c>
      <c r="AS103" s="47">
        <f>IF(ISERROR(SEARCH("MODERATI",Tabella2[[#This Row],[Dispnea da sforzo]],1)),0,1)</f>
        <v>1</v>
      </c>
      <c r="AT103" s="47">
        <f>IF(ISERROR(SEARCH("INTENSI",Tabella2[[#This Row],[Dispnea da sforzo]],1)),0,1)</f>
        <v>0</v>
      </c>
      <c r="AU103" s="37" t="s">
        <v>657</v>
      </c>
      <c r="AV103" s="46">
        <f>IF(ISERROR(SEARCH("NEGA",Tabella2[[#This Row],[Dispnea a riposo]],1)),0,1)</f>
        <v>1</v>
      </c>
      <c r="AW103" s="46">
        <f>IF(ISERROR(SEARCH("NDD",Tabella2[[#This Row],[Dispnea a riposo]],1)),0,1)</f>
        <v>0</v>
      </c>
      <c r="AX103" s="37" t="s">
        <v>5132</v>
      </c>
      <c r="AY103" s="46">
        <v>1</v>
      </c>
      <c r="AZ103" s="37" t="s">
        <v>5587</v>
      </c>
      <c r="BA103" s="18">
        <v>0</v>
      </c>
      <c r="BB103" s="37" t="s">
        <v>354</v>
      </c>
      <c r="BC103" s="17">
        <v>1</v>
      </c>
      <c r="BD103" s="37" t="s">
        <v>28</v>
      </c>
      <c r="BE103" s="17">
        <v>1</v>
      </c>
      <c r="BF103" s="37" t="s">
        <v>312</v>
      </c>
      <c r="BG103" s="17">
        <v>1</v>
      </c>
      <c r="BH103" s="37" t="s">
        <v>657</v>
      </c>
      <c r="BI103" s="17">
        <v>0</v>
      </c>
      <c r="BJ103" s="37">
        <v>12</v>
      </c>
      <c r="BK103" s="37" t="s">
        <v>5133</v>
      </c>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37">
        <v>35</v>
      </c>
      <c r="CH103" s="37">
        <v>0</v>
      </c>
      <c r="CI103" s="37">
        <v>1</v>
      </c>
      <c r="CJ103" s="37">
        <v>59</v>
      </c>
      <c r="CK103" s="37" t="s">
        <v>5134</v>
      </c>
      <c r="CL103" s="37" t="s">
        <v>5135</v>
      </c>
      <c r="CM103" s="37" t="s">
        <v>5136</v>
      </c>
      <c r="CN103" s="17">
        <v>0</v>
      </c>
      <c r="CO103" s="17">
        <v>0</v>
      </c>
      <c r="CP103" s="17">
        <v>0</v>
      </c>
      <c r="CQ103" s="17">
        <v>0</v>
      </c>
      <c r="CR103" s="37"/>
      <c r="CS103" s="33" t="s">
        <v>5477</v>
      </c>
      <c r="CT103" s="63"/>
      <c r="CU103" s="37"/>
      <c r="CV103" s="37"/>
      <c r="CW103" s="37"/>
      <c r="CX103" s="7" t="s">
        <v>5477</v>
      </c>
      <c r="CY103" s="17">
        <v>0</v>
      </c>
      <c r="CZ103" s="37" t="s">
        <v>5137</v>
      </c>
      <c r="DA103" s="38"/>
    </row>
    <row r="104" spans="1:105" ht="114">
      <c r="A104" s="5">
        <v>2212</v>
      </c>
      <c r="B104" s="6">
        <v>45398</v>
      </c>
      <c r="C104" s="7" t="s">
        <v>5138</v>
      </c>
      <c r="D104" s="6">
        <v>19458</v>
      </c>
      <c r="E104" s="51">
        <f ca="1">_xlfn.DAYS(NOW(),Tabella2[[#This Row],[Data Nascita]])/365.25</f>
        <v>72.320328542094458</v>
      </c>
      <c r="F104" s="7" t="s">
        <v>748</v>
      </c>
      <c r="G104" s="7" t="s">
        <v>749</v>
      </c>
      <c r="H104" s="7" t="s">
        <v>4241</v>
      </c>
      <c r="I104" s="7" t="s">
        <v>5038</v>
      </c>
      <c r="J104" s="7" t="s">
        <v>5139</v>
      </c>
      <c r="K104" s="7"/>
      <c r="L104" s="7" t="s">
        <v>5140</v>
      </c>
      <c r="M104" s="7" t="s">
        <v>5141</v>
      </c>
      <c r="N104" s="7" t="s">
        <v>8</v>
      </c>
      <c r="O104" s="17">
        <v>0</v>
      </c>
      <c r="P104" s="17">
        <v>1</v>
      </c>
      <c r="Q104" s="7" t="s">
        <v>8</v>
      </c>
      <c r="R104" s="7" t="s">
        <v>8</v>
      </c>
      <c r="S104" s="7" t="s">
        <v>5142</v>
      </c>
      <c r="T104" s="7" t="s">
        <v>5440</v>
      </c>
      <c r="U104" s="17">
        <f>IF(ISERROR(SEARCH("null",Tabella2[[#This Row],[Patologia respiratoria nota]],1)),0,1)</f>
        <v>0</v>
      </c>
      <c r="V104" s="17">
        <f>IF(ISERROR(SEARCH("MUTA",Tabella2[[#This Row],[Patologia respiratoria nota]],1)),0,1)</f>
        <v>0</v>
      </c>
      <c r="W104" s="17">
        <f>IF(ISERROR(SEARCH("OSAS",Tabella2[[#This Row],[Patologia respiratoria nota]],1)),0,1)</f>
        <v>1</v>
      </c>
      <c r="X104" s="17">
        <f>IF(ISERROR(SEARCH("BPCO",Tabella2[[#This Row],[Patologia respiratoria nota]],1)),0,1)</f>
        <v>1</v>
      </c>
      <c r="Y104" s="17">
        <f>IF(ISERROR(SEARCH("ASMA",Tabella2[[#This Row],[Patologia respiratoria nota]],1)),0,1)</f>
        <v>0</v>
      </c>
      <c r="Z104" s="17">
        <f>IF(ISERROR(SEARCH("ASMA, OSAS",Tabella2[[#This Row],[Patologia respiratoria nota]],1)),0,1)</f>
        <v>0</v>
      </c>
      <c r="AA104" s="17">
        <f>IF(ISERROR(SEARCH("BPCO, OSAS",Tabella2[[#This Row],[Patologia respiratoria nota]],1)),0,1)</f>
        <v>0</v>
      </c>
      <c r="AB104" s="17">
        <f>IF(ISERROR(SEARCH("ASMA, BPCO, OSAS",Tabella2[[#This Row],[Patologia respiratoria nota]],1)),0,1)</f>
        <v>0</v>
      </c>
      <c r="AC104" s="7" t="s">
        <v>5474</v>
      </c>
      <c r="AD104" s="17">
        <f>IF(ISERROR(SEARCH("NDD",Tabella2[[#This Row],[Tosse]],1)),0,1)</f>
        <v>0</v>
      </c>
      <c r="AE104" s="17">
        <f>IF(ISERROR(SEARCH("NEGA",Tabella2[[#This Row],[Tosse]],1)),0,1)</f>
        <v>0</v>
      </c>
      <c r="AF104" s="17">
        <f>IF(ISERROR(SEARCH("OCCASIONALMENTE",Tabella2[[#This Row],[Tosse]],1)),0,1)</f>
        <v>0</v>
      </c>
      <c r="AG104" s="17">
        <f>IF(ISERROR(SEARCH("RARAMENTE",Tabella2[[#This Row],[Tosse]],1)),0,1)</f>
        <v>1</v>
      </c>
      <c r="AH104" s="17">
        <v>1</v>
      </c>
      <c r="AI104" s="7" t="s">
        <v>5494</v>
      </c>
      <c r="AJ104" s="17">
        <f>IF(ISERROR(SEARCH("SI",Tabella2[[#This Row],[Espettorazione]],1)),0,1)</f>
        <v>1</v>
      </c>
      <c r="AK104" s="17">
        <v>0</v>
      </c>
      <c r="AL104" s="17">
        <f>IF(ISERROR(SEARCH("NDD",Tabella2[[#This Row],[Espettorazione]],1)),0,1)</f>
        <v>0</v>
      </c>
      <c r="AM104" s="7" t="s">
        <v>5143</v>
      </c>
      <c r="AN104" s="17">
        <v>1</v>
      </c>
      <c r="AO104" s="7" t="s">
        <v>5563</v>
      </c>
      <c r="AP104" s="17">
        <f>IF(ISERROR(SEARCH("NEGA",Tabella2[[#This Row],[Dispnea da sforzo]],1)),0,1)</f>
        <v>0</v>
      </c>
      <c r="AQ104" s="17">
        <f>IF(ISERROR(SEARCH("NEGA",Tabella2[[#This Row],[Dispnea da sforzo]],1)),1,0)</f>
        <v>1</v>
      </c>
      <c r="AR104" s="17">
        <f>IF(ISERROR(SEARCH("LIEVI",Tabella2[[#This Row],[Dispnea da sforzo]],1)),0,1)</f>
        <v>1</v>
      </c>
      <c r="AS104" s="17">
        <f>IF(ISERROR(SEARCH("MODERATI",Tabella2[[#This Row],[Dispnea da sforzo]],1)),0,1)</f>
        <v>1</v>
      </c>
      <c r="AT104" s="17">
        <f>IF(ISERROR(SEARCH("INTENSI",Tabella2[[#This Row],[Dispnea da sforzo]],1)),0,1)</f>
        <v>0</v>
      </c>
      <c r="AU104" s="7" t="s">
        <v>657</v>
      </c>
      <c r="AV104" s="17">
        <f>IF(ISERROR(SEARCH("NEGA",Tabella2[[#This Row],[Dispnea a riposo]],1)),0,1)</f>
        <v>1</v>
      </c>
      <c r="AW104" s="17">
        <f>IF(ISERROR(SEARCH("NDD",Tabella2[[#This Row],[Dispnea a riposo]],1)),0,1)</f>
        <v>0</v>
      </c>
      <c r="AX104" s="7" t="s">
        <v>657</v>
      </c>
      <c r="AY104" s="17">
        <v>0</v>
      </c>
      <c r="AZ104" s="7" t="s">
        <v>387</v>
      </c>
      <c r="BA104" s="17">
        <v>1</v>
      </c>
      <c r="BB104" s="7" t="s">
        <v>2488</v>
      </c>
      <c r="BC104" s="17">
        <v>1</v>
      </c>
      <c r="BD104" s="7" t="s">
        <v>194</v>
      </c>
      <c r="BE104" s="17">
        <v>1</v>
      </c>
      <c r="BF104" s="7" t="s">
        <v>5144</v>
      </c>
      <c r="BG104" s="17">
        <v>1</v>
      </c>
      <c r="BH104" s="7" t="s">
        <v>657</v>
      </c>
      <c r="BI104" s="17">
        <v>0</v>
      </c>
      <c r="BJ104" s="7">
        <v>18</v>
      </c>
      <c r="BK104" s="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7">
        <v>30</v>
      </c>
      <c r="CH104" s="7">
        <v>0</v>
      </c>
      <c r="CI104" s="7">
        <v>96</v>
      </c>
      <c r="CJ104" s="7">
        <v>60</v>
      </c>
      <c r="CK104" s="7" t="s">
        <v>5145</v>
      </c>
      <c r="CL104" s="7" t="s">
        <v>5146</v>
      </c>
      <c r="CM104" s="7" t="s">
        <v>5147</v>
      </c>
      <c r="CN104" s="17">
        <v>0</v>
      </c>
      <c r="CO104" s="17">
        <v>0</v>
      </c>
      <c r="CP104" s="17">
        <v>1</v>
      </c>
      <c r="CQ104" s="17">
        <v>0</v>
      </c>
      <c r="CR104" s="7" t="s">
        <v>5148</v>
      </c>
      <c r="CS104" s="7" t="s">
        <v>5149</v>
      </c>
      <c r="CT104" s="64">
        <v>0.47</v>
      </c>
      <c r="CU104" s="7" t="s">
        <v>5150</v>
      </c>
      <c r="CV104" s="7" t="s">
        <v>1944</v>
      </c>
      <c r="CW104" s="7" t="s">
        <v>5151</v>
      </c>
      <c r="CX104" s="7" t="s">
        <v>5477</v>
      </c>
      <c r="CY104" s="17">
        <v>0</v>
      </c>
      <c r="CZ104" s="7"/>
      <c r="DA104" s="8" t="s">
        <v>5152</v>
      </c>
    </row>
    <row r="105" spans="1:105" customFormat="1" ht="71.25">
      <c r="A105" s="35">
        <v>2220</v>
      </c>
      <c r="B105" s="36">
        <v>45400</v>
      </c>
      <c r="C105" s="11" t="s">
        <v>5153</v>
      </c>
      <c r="D105" s="36">
        <v>17887</v>
      </c>
      <c r="E105" s="44">
        <f ca="1">_xlfn.DAYS(NOW(),Tabella2[[#This Row],[Data Nascita]])/365.25</f>
        <v>76.62149212867898</v>
      </c>
      <c r="F105" s="37" t="s">
        <v>5154</v>
      </c>
      <c r="G105" s="37" t="s">
        <v>5155</v>
      </c>
      <c r="H105" s="37" t="s">
        <v>4241</v>
      </c>
      <c r="I105" s="37" t="s">
        <v>5038</v>
      </c>
      <c r="J105" s="37" t="s">
        <v>5156</v>
      </c>
      <c r="K105" s="37"/>
      <c r="L105" s="37" t="s">
        <v>5157</v>
      </c>
      <c r="M105" s="37" t="s">
        <v>5082</v>
      </c>
      <c r="N105" s="37" t="s">
        <v>195</v>
      </c>
      <c r="O105" s="47">
        <v>0</v>
      </c>
      <c r="P105" s="47">
        <v>1</v>
      </c>
      <c r="Q105" s="37" t="s">
        <v>195</v>
      </c>
      <c r="R105" s="37" t="s">
        <v>195</v>
      </c>
      <c r="S105" s="37" t="s">
        <v>5158</v>
      </c>
      <c r="T105" s="37" t="s">
        <v>5441</v>
      </c>
      <c r="U105" s="46">
        <f>IF(ISERROR(SEARCH("null",Tabella2[[#This Row],[Patologia respiratoria nota]],1)),0,1)</f>
        <v>0</v>
      </c>
      <c r="V105" s="47">
        <f>IF(ISERROR(SEARCH("MUTA",Tabella2[[#This Row],[Patologia respiratoria nota]],1)),0,1)</f>
        <v>0</v>
      </c>
      <c r="W105" s="46">
        <f>IF(ISERROR(SEARCH("OSAS",Tabella2[[#This Row],[Patologia respiratoria nota]],1)),0,1)</f>
        <v>1</v>
      </c>
      <c r="X105" s="47">
        <f>IF(ISERROR(SEARCH("BPCO",Tabella2[[#This Row],[Patologia respiratoria nota]],1)),0,1)</f>
        <v>0</v>
      </c>
      <c r="Y105" s="47">
        <f>IF(ISERROR(SEARCH("ASMA",Tabella2[[#This Row],[Patologia respiratoria nota]],1)),0,1)</f>
        <v>0</v>
      </c>
      <c r="Z105" s="47">
        <f>IF(ISERROR(SEARCH("ASMA, OSAS",Tabella2[[#This Row],[Patologia respiratoria nota]],1)),0,1)</f>
        <v>0</v>
      </c>
      <c r="AA105" s="47">
        <f>IF(ISERROR(SEARCH("BPCO, OSAS",Tabella2[[#This Row],[Patologia respiratoria nota]],1)),0,1)</f>
        <v>0</v>
      </c>
      <c r="AB105" s="47">
        <f>IF(ISERROR(SEARCH("ASMA, BPCO, OSAS",Tabella2[[#This Row],[Patologia respiratoria nota]],1)),0,1)</f>
        <v>0</v>
      </c>
      <c r="AC105" s="37" t="s">
        <v>381</v>
      </c>
      <c r="AD105" s="46">
        <f>IF(ISERROR(SEARCH("NDD",Tabella2[[#This Row],[Tosse]],1)),0,1)</f>
        <v>0</v>
      </c>
      <c r="AE105" s="46">
        <f>IF(ISERROR(SEARCH("NEGA",Tabella2[[#This Row],[Tosse]],1)),0,1)</f>
        <v>0</v>
      </c>
      <c r="AF105" s="46">
        <f>IF(ISERROR(SEARCH("OCCASIONALMENTE",Tabella2[[#This Row],[Tosse]],1)),0,1)</f>
        <v>0</v>
      </c>
      <c r="AG105" s="46">
        <f>IF(ISERROR(SEARCH("RARAMENTE",Tabella2[[#This Row],[Tosse]],1)),0,1)</f>
        <v>0</v>
      </c>
      <c r="AH105" s="17">
        <v>1</v>
      </c>
      <c r="AI105" s="37" t="s">
        <v>5495</v>
      </c>
      <c r="AJ105" s="46">
        <f>IF(ISERROR(SEARCH("SI",Tabella2[[#This Row],[Espettorazione]],1)),0,1)</f>
        <v>1</v>
      </c>
      <c r="AK105" s="17">
        <v>0</v>
      </c>
      <c r="AL105" s="46">
        <f>IF(ISERROR(SEARCH("NDD",Tabella2[[#This Row],[Espettorazione]],1)),0,1)</f>
        <v>0</v>
      </c>
      <c r="AM105" s="37" t="s">
        <v>5159</v>
      </c>
      <c r="AN105" s="47">
        <v>1</v>
      </c>
      <c r="AO105" s="37" t="s">
        <v>5564</v>
      </c>
      <c r="AP105" s="47">
        <f>IF(ISERROR(SEARCH("NEGA",Tabella2[[#This Row],[Dispnea da sforzo]],1)),0,1)</f>
        <v>0</v>
      </c>
      <c r="AQ105" s="47">
        <f>IF(ISERROR(SEARCH("NEGA",Tabella2[[#This Row],[Dispnea da sforzo]],1)),1,0)</f>
        <v>1</v>
      </c>
      <c r="AR105" s="47">
        <f>IF(ISERROR(SEARCH("LIEVI",Tabella2[[#This Row],[Dispnea da sforzo]],1)),0,1)</f>
        <v>0</v>
      </c>
      <c r="AS105" s="47">
        <f>IF(ISERROR(SEARCH("MODERATI",Tabella2[[#This Row],[Dispnea da sforzo]],1)),0,1)</f>
        <v>1</v>
      </c>
      <c r="AT105" s="47">
        <f>IF(ISERROR(SEARCH("INTENSI",Tabella2[[#This Row],[Dispnea da sforzo]],1)),0,1)</f>
        <v>0</v>
      </c>
      <c r="AU105" s="37" t="s">
        <v>657</v>
      </c>
      <c r="AV105" s="46">
        <f>IF(ISERROR(SEARCH("NEGA",Tabella2[[#This Row],[Dispnea a riposo]],1)),0,1)</f>
        <v>1</v>
      </c>
      <c r="AW105" s="46">
        <f>IF(ISERROR(SEARCH("NDD",Tabella2[[#This Row],[Dispnea a riposo]],1)),0,1)</f>
        <v>0</v>
      </c>
      <c r="AX105" s="37" t="s">
        <v>5160</v>
      </c>
      <c r="AY105" s="46">
        <v>1</v>
      </c>
      <c r="AZ105" s="37" t="s">
        <v>194</v>
      </c>
      <c r="BA105" s="17">
        <v>1</v>
      </c>
      <c r="BB105" s="37" t="s">
        <v>2585</v>
      </c>
      <c r="BC105" s="17">
        <v>1</v>
      </c>
      <c r="BD105" s="37" t="s">
        <v>28</v>
      </c>
      <c r="BE105" s="17">
        <v>1</v>
      </c>
      <c r="BF105" s="37" t="s">
        <v>47</v>
      </c>
      <c r="BG105" s="17">
        <v>1</v>
      </c>
      <c r="BH105" s="37" t="s">
        <v>657</v>
      </c>
      <c r="BI105" s="17">
        <v>0</v>
      </c>
      <c r="BJ105" s="37">
        <v>15</v>
      </c>
      <c r="BK105" s="37" t="s">
        <v>5161</v>
      </c>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37">
        <v>31</v>
      </c>
      <c r="CH105" s="37">
        <v>0</v>
      </c>
      <c r="CI105" s="37">
        <v>95</v>
      </c>
      <c r="CJ105" s="37">
        <v>98</v>
      </c>
      <c r="CK105" s="37" t="s">
        <v>5162</v>
      </c>
      <c r="CL105" s="37" t="s">
        <v>5163</v>
      </c>
      <c r="CM105" s="37" t="s">
        <v>5164</v>
      </c>
      <c r="CN105" s="17">
        <v>0</v>
      </c>
      <c r="CO105" s="17">
        <v>0</v>
      </c>
      <c r="CP105" s="17">
        <v>1</v>
      </c>
      <c r="CQ105" s="17">
        <v>0</v>
      </c>
      <c r="CR105" s="37"/>
      <c r="CS105" s="33" t="s">
        <v>5477</v>
      </c>
      <c r="CT105" s="63"/>
      <c r="CU105" s="37"/>
      <c r="CV105" s="37"/>
      <c r="CW105" s="37"/>
      <c r="CX105" s="37" t="s">
        <v>5165</v>
      </c>
      <c r="CY105" s="17">
        <v>1</v>
      </c>
      <c r="CZ105" s="37"/>
      <c r="DA105" s="38" t="s">
        <v>5166</v>
      </c>
    </row>
    <row r="106" spans="1:105" customFormat="1" ht="57">
      <c r="A106" s="31">
        <v>2253</v>
      </c>
      <c r="B106" s="32">
        <v>45428</v>
      </c>
      <c r="C106" s="7" t="s">
        <v>5167</v>
      </c>
      <c r="D106" s="32">
        <v>26884</v>
      </c>
      <c r="E106" s="43">
        <f ca="1">_xlfn.DAYS(NOW(),Tabella2[[#This Row],[Data Nascita]])/365.25</f>
        <v>51.989048596851468</v>
      </c>
      <c r="F106" s="33" t="s">
        <v>5168</v>
      </c>
      <c r="G106" s="33" t="s">
        <v>5169</v>
      </c>
      <c r="H106" s="33" t="s">
        <v>5170</v>
      </c>
      <c r="I106" s="33" t="s">
        <v>2238</v>
      </c>
      <c r="J106" s="33" t="s">
        <v>5171</v>
      </c>
      <c r="K106" s="33"/>
      <c r="L106" s="33" t="s">
        <v>5172</v>
      </c>
      <c r="M106" s="33" t="s">
        <v>5173</v>
      </c>
      <c r="N106" s="33" t="s">
        <v>2800</v>
      </c>
      <c r="O106" s="47">
        <v>0</v>
      </c>
      <c r="P106" s="47">
        <v>1</v>
      </c>
      <c r="Q106" s="33" t="s">
        <v>2800</v>
      </c>
      <c r="R106" s="33" t="s">
        <v>2800</v>
      </c>
      <c r="S106" s="33"/>
      <c r="T106" s="33" t="s">
        <v>5174</v>
      </c>
      <c r="U106" s="47">
        <f>IF(ISERROR(SEARCH("null",Tabella2[[#This Row],[Patologia respiratoria nota]],1)),0,1)</f>
        <v>0</v>
      </c>
      <c r="V106" s="47">
        <f>IF(ISERROR(SEARCH("MUTA",Tabella2[[#This Row],[Patologia respiratoria nota]],1)),0,1)</f>
        <v>0</v>
      </c>
      <c r="W106" s="47">
        <f>IF(ISERROR(SEARCH("OSAS",Tabella2[[#This Row],[Patologia respiratoria nota]],1)),0,1)</f>
        <v>0</v>
      </c>
      <c r="X106" s="47">
        <f>IF(ISERROR(SEARCH("BPCO",Tabella2[[#This Row],[Patologia respiratoria nota]],1)),0,1)</f>
        <v>0</v>
      </c>
      <c r="Y106" s="47">
        <f>IF(ISERROR(SEARCH("ASMA",Tabella2[[#This Row],[Patologia respiratoria nota]],1)),0,1)</f>
        <v>0</v>
      </c>
      <c r="Z106" s="47">
        <f>IF(ISERROR(SEARCH("ASMA, OSAS",Tabella2[[#This Row],[Patologia respiratoria nota]],1)),0,1)</f>
        <v>0</v>
      </c>
      <c r="AA106" s="47">
        <f>IF(ISERROR(SEARCH("BPCO, OSAS",Tabella2[[#This Row],[Patologia respiratoria nota]],1)),0,1)</f>
        <v>0</v>
      </c>
      <c r="AB106" s="47">
        <f>IF(ISERROR(SEARCH("ASMA, BPCO, OSAS",Tabella2[[#This Row],[Patologia respiratoria nota]],1)),0,1)</f>
        <v>0</v>
      </c>
      <c r="AC106" s="33" t="s">
        <v>5463</v>
      </c>
      <c r="AD106" s="47">
        <f>IF(ISERROR(SEARCH("NDD",Tabella2[[#This Row],[Tosse]],1)),0,1)</f>
        <v>0</v>
      </c>
      <c r="AE106" s="47">
        <f>IF(ISERROR(SEARCH("NEGA",Tabella2[[#This Row],[Tosse]],1)),0,1)</f>
        <v>0</v>
      </c>
      <c r="AF106" s="47">
        <f>IF(ISERROR(SEARCH("OCCASIONALMENTE",Tabella2[[#This Row],[Tosse]],1)),0,1)</f>
        <v>0</v>
      </c>
      <c r="AG106" s="47">
        <f>IF(ISERROR(SEARCH("RARAMENTE",Tabella2[[#This Row],[Tosse]],1)),0,1)</f>
        <v>0</v>
      </c>
      <c r="AH106" s="17">
        <v>1</v>
      </c>
      <c r="AI106" s="33" t="s">
        <v>5511</v>
      </c>
      <c r="AJ106" s="47">
        <f>IF(ISERROR(SEARCH("SI",Tabella2[[#This Row],[Espettorazione]],1)),0,1)</f>
        <v>1</v>
      </c>
      <c r="AK106" s="17">
        <v>0</v>
      </c>
      <c r="AL106" s="47">
        <f>IF(ISERROR(SEARCH("NDD",Tabella2[[#This Row],[Espettorazione]],1)),0,1)</f>
        <v>0</v>
      </c>
      <c r="AM106" s="33" t="s">
        <v>5175</v>
      </c>
      <c r="AN106" s="47">
        <v>1</v>
      </c>
      <c r="AO106" s="33" t="s">
        <v>5531</v>
      </c>
      <c r="AP106" s="47">
        <f>IF(ISERROR(SEARCH("NEGA",Tabella2[[#This Row],[Dispnea da sforzo]],1)),0,1)</f>
        <v>0</v>
      </c>
      <c r="AQ106" s="47">
        <f>IF(ISERROR(SEARCH("NEGA",Tabella2[[#This Row],[Dispnea da sforzo]],1)),1,0)</f>
        <v>1</v>
      </c>
      <c r="AR106" s="47">
        <f>IF(ISERROR(SEARCH("LIEVI",Tabella2[[#This Row],[Dispnea da sforzo]],1)),0,1)</f>
        <v>1</v>
      </c>
      <c r="AS106" s="47">
        <f>IF(ISERROR(SEARCH("MODERATI",Tabella2[[#This Row],[Dispnea da sforzo]],1)),0,1)</f>
        <v>0</v>
      </c>
      <c r="AT106" s="47">
        <f>IF(ISERROR(SEARCH("INTENSI",Tabella2[[#This Row],[Dispnea da sforzo]],1)),0,1)</f>
        <v>0</v>
      </c>
      <c r="AU106" s="33" t="s">
        <v>657</v>
      </c>
      <c r="AV106" s="47">
        <f>IF(ISERROR(SEARCH("NEGA",Tabella2[[#This Row],[Dispnea a riposo]],1)),0,1)</f>
        <v>1</v>
      </c>
      <c r="AW106" s="47">
        <f>IF(ISERROR(SEARCH("NDD",Tabella2[[#This Row],[Dispnea a riposo]],1)),0,1)</f>
        <v>0</v>
      </c>
      <c r="AX106" s="33" t="s">
        <v>5176</v>
      </c>
      <c r="AY106" s="46">
        <v>1</v>
      </c>
      <c r="AZ106" s="33" t="s">
        <v>5177</v>
      </c>
      <c r="BA106" s="17">
        <v>1</v>
      </c>
      <c r="BB106" s="33" t="s">
        <v>5178</v>
      </c>
      <c r="BC106" s="17">
        <v>1</v>
      </c>
      <c r="BD106" s="33" t="s">
        <v>5179</v>
      </c>
      <c r="BE106" s="17">
        <v>1</v>
      </c>
      <c r="BF106" s="33" t="s">
        <v>5180</v>
      </c>
      <c r="BG106" s="17">
        <v>1</v>
      </c>
      <c r="BH106" s="33" t="s">
        <v>5181</v>
      </c>
      <c r="BI106" s="18">
        <v>1</v>
      </c>
      <c r="BJ106" s="33">
        <v>15</v>
      </c>
      <c r="BK106" s="33"/>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33"/>
      <c r="CH106" s="33">
        <v>0</v>
      </c>
      <c r="CI106" s="33">
        <v>0</v>
      </c>
      <c r="CJ106" s="33">
        <v>0</v>
      </c>
      <c r="CK106" s="33" t="s">
        <v>5182</v>
      </c>
      <c r="CL106" s="33"/>
      <c r="CM106" s="33" t="s">
        <v>5183</v>
      </c>
      <c r="CN106" s="17">
        <v>0</v>
      </c>
      <c r="CO106" s="17">
        <v>0</v>
      </c>
      <c r="CP106" s="17">
        <v>1</v>
      </c>
      <c r="CQ106" s="17">
        <v>0</v>
      </c>
      <c r="CR106" s="33" t="s">
        <v>5184</v>
      </c>
      <c r="CS106" s="33" t="s">
        <v>5185</v>
      </c>
      <c r="CT106" s="66">
        <v>0.75</v>
      </c>
      <c r="CU106" s="33" t="s">
        <v>5186</v>
      </c>
      <c r="CV106" s="33" t="s">
        <v>5187</v>
      </c>
      <c r="CW106" s="33" t="s">
        <v>5188</v>
      </c>
      <c r="CX106" s="33" t="s">
        <v>5189</v>
      </c>
      <c r="CY106" s="17">
        <v>1</v>
      </c>
      <c r="CZ106" s="33"/>
      <c r="DA106" s="34"/>
    </row>
    <row r="107" spans="1:105" ht="28.5">
      <c r="A107" s="9">
        <v>2365</v>
      </c>
      <c r="B107" s="10">
        <v>45539</v>
      </c>
      <c r="C107" s="11" t="s">
        <v>5190</v>
      </c>
      <c r="D107" s="10">
        <v>28209</v>
      </c>
      <c r="E107" s="52">
        <f ca="1">_xlfn.DAYS(NOW(),Tabella2[[#This Row],[Data Nascita]])/365.25</f>
        <v>48.361396303901437</v>
      </c>
      <c r="F107" s="11" t="s">
        <v>5191</v>
      </c>
      <c r="G107" s="11" t="s">
        <v>5192</v>
      </c>
      <c r="H107" s="11" t="s">
        <v>5193</v>
      </c>
      <c r="I107" s="11" t="s">
        <v>1358</v>
      </c>
      <c r="J107" s="11"/>
      <c r="K107" s="11"/>
      <c r="L107" s="11"/>
      <c r="M107" s="11"/>
      <c r="N107" s="11"/>
      <c r="O107" s="17" t="s">
        <v>5412</v>
      </c>
      <c r="P107" s="17">
        <v>0</v>
      </c>
      <c r="Q107" s="11"/>
      <c r="R107" s="11"/>
      <c r="S107" s="11"/>
      <c r="T107" s="7" t="s">
        <v>5412</v>
      </c>
      <c r="U107" s="18">
        <f>IF(ISERROR(SEARCH("null",Tabella2[[#This Row],[Patologia respiratoria nota]],1)),0,1)</f>
        <v>1</v>
      </c>
      <c r="V107" s="17">
        <f>IF(ISERROR(SEARCH("MUTA",Tabella2[[#This Row],[Patologia respiratoria nota]],1)),0,1)</f>
        <v>0</v>
      </c>
      <c r="W107" s="18">
        <f>IF(ISERROR(SEARCH("OSAS",Tabella2[[#This Row],[Patologia respiratoria nota]],1)),0,1)</f>
        <v>0</v>
      </c>
      <c r="X107" s="17">
        <f>IF(ISERROR(SEARCH("BPCO",Tabella2[[#This Row],[Patologia respiratoria nota]],1)),0,1)</f>
        <v>0</v>
      </c>
      <c r="Y107" s="17">
        <f>IF(ISERROR(SEARCH("ASMA",Tabella2[[#This Row],[Patologia respiratoria nota]],1)),0,1)</f>
        <v>0</v>
      </c>
      <c r="Z107" s="17">
        <f>IF(ISERROR(SEARCH("ASMA, OSAS",Tabella2[[#This Row],[Patologia respiratoria nota]],1)),0,1)</f>
        <v>0</v>
      </c>
      <c r="AA107" s="17">
        <f>IF(ISERROR(SEARCH("BPCO, OSAS",Tabella2[[#This Row],[Patologia respiratoria nota]],1)),0,1)</f>
        <v>0</v>
      </c>
      <c r="AB107" s="17">
        <f>IF(ISERROR(SEARCH("ASMA, BPCO, OSAS",Tabella2[[#This Row],[Patologia respiratoria nota]],1)),0,1)</f>
        <v>0</v>
      </c>
      <c r="AC107" s="11" t="s">
        <v>5464</v>
      </c>
      <c r="AD107" s="18">
        <f>IF(ISERROR(SEARCH("NDD",Tabella2[[#This Row],[Tosse]],1)),0,1)</f>
        <v>0</v>
      </c>
      <c r="AE107" s="18">
        <f>IF(ISERROR(SEARCH("NEGA",Tabella2[[#This Row],[Tosse]],1)),0,1)</f>
        <v>0</v>
      </c>
      <c r="AF107" s="18">
        <f>IF(ISERROR(SEARCH("OCCASIONALMENTE",Tabella2[[#This Row],[Tosse]],1)),0,1)</f>
        <v>0</v>
      </c>
      <c r="AG107" s="18">
        <f>IF(ISERROR(SEARCH("RARAMENTE",Tabella2[[#This Row],[Tosse]],1)),0,1)</f>
        <v>0</v>
      </c>
      <c r="AH107" s="17">
        <v>1</v>
      </c>
      <c r="AI107" s="11" t="s">
        <v>657</v>
      </c>
      <c r="AJ107" s="18">
        <f>IF(ISERROR(SEARCH("SI",Tabella2[[#This Row],[Espettorazione]],1)),0,1)</f>
        <v>0</v>
      </c>
      <c r="AK107" s="18">
        <f>IF(ISERROR(SEARCH("NEGA",Tabella2[[#This Row],[Espettorazione]],1)),0,1)</f>
        <v>1</v>
      </c>
      <c r="AL107" s="18">
        <f>IF(ISERROR(SEARCH("NDD",Tabella2[[#This Row],[Espettorazione]],1)),0,1)</f>
        <v>0</v>
      </c>
      <c r="AM107" s="11" t="s">
        <v>657</v>
      </c>
      <c r="AN107" s="17">
        <v>0</v>
      </c>
      <c r="AO107" s="11" t="s">
        <v>381</v>
      </c>
      <c r="AP107" s="17">
        <f>IF(ISERROR(SEARCH("NEGA",Tabella2[[#This Row],[Dispnea da sforzo]],1)),0,1)</f>
        <v>0</v>
      </c>
      <c r="AQ107" s="17">
        <f>IF(ISERROR(SEARCH("NEGA",Tabella2[[#This Row],[Dispnea da sforzo]],1)),1,0)</f>
        <v>1</v>
      </c>
      <c r="AR107" s="17">
        <f>IF(ISERROR(SEARCH("LIEVI",Tabella2[[#This Row],[Dispnea da sforzo]],1)),0,1)</f>
        <v>0</v>
      </c>
      <c r="AS107" s="17">
        <f>IF(ISERROR(SEARCH("MODERATI",Tabella2[[#This Row],[Dispnea da sforzo]],1)),0,1)</f>
        <v>0</v>
      </c>
      <c r="AT107" s="17">
        <f>IF(ISERROR(SEARCH("INTENSI",Tabella2[[#This Row],[Dispnea da sforzo]],1)),0,1)</f>
        <v>0</v>
      </c>
      <c r="AU107" s="11" t="s">
        <v>657</v>
      </c>
      <c r="AV107" s="18">
        <f>IF(ISERROR(SEARCH("NEGA",Tabella2[[#This Row],[Dispnea a riposo]],1)),0,1)</f>
        <v>1</v>
      </c>
      <c r="AW107" s="18">
        <f>IF(ISERROR(SEARCH("NDD",Tabella2[[#This Row],[Dispnea a riposo]],1)),0,1)</f>
        <v>0</v>
      </c>
      <c r="AX107" s="11" t="s">
        <v>657</v>
      </c>
      <c r="AY107" s="17">
        <v>0</v>
      </c>
      <c r="AZ107" s="11" t="s">
        <v>657</v>
      </c>
      <c r="BA107" s="18">
        <v>0</v>
      </c>
      <c r="BB107" s="11" t="s">
        <v>5194</v>
      </c>
      <c r="BC107" s="17">
        <v>1</v>
      </c>
      <c r="BD107" s="11" t="s">
        <v>194</v>
      </c>
      <c r="BE107" s="17">
        <v>1</v>
      </c>
      <c r="BF107" s="11" t="s">
        <v>194</v>
      </c>
      <c r="BG107" s="17">
        <v>1</v>
      </c>
      <c r="BH107" s="11" t="s">
        <v>194</v>
      </c>
      <c r="BI107" s="18">
        <v>1</v>
      </c>
      <c r="BJ107" s="11">
        <v>19</v>
      </c>
      <c r="BK107" s="11"/>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1">
        <v>29</v>
      </c>
      <c r="CH107" s="11">
        <v>0</v>
      </c>
      <c r="CI107" s="11">
        <v>0</v>
      </c>
      <c r="CJ107" s="11">
        <v>0</v>
      </c>
      <c r="CK107" s="11"/>
      <c r="CL107" s="11"/>
      <c r="CM107" s="33" t="s">
        <v>5477</v>
      </c>
      <c r="CN107" s="47">
        <v>1</v>
      </c>
      <c r="CO107" s="17">
        <v>0</v>
      </c>
      <c r="CP107" s="17">
        <v>0</v>
      </c>
      <c r="CQ107" s="17">
        <v>0</v>
      </c>
      <c r="CR107" s="11"/>
      <c r="CS107" s="33" t="s">
        <v>5477</v>
      </c>
      <c r="CT107" s="65"/>
      <c r="CU107" s="11"/>
      <c r="CV107" s="11"/>
      <c r="CW107" s="11"/>
      <c r="CX107" s="7" t="s">
        <v>5477</v>
      </c>
      <c r="CY107" s="17">
        <v>0</v>
      </c>
      <c r="CZ107" s="11"/>
      <c r="DA107" s="12"/>
    </row>
    <row r="108" spans="1:105">
      <c r="A108" s="5">
        <v>2392</v>
      </c>
      <c r="B108" s="6">
        <v>45559</v>
      </c>
      <c r="C108" s="7" t="s">
        <v>4251</v>
      </c>
      <c r="D108" s="6">
        <v>18435</v>
      </c>
      <c r="E108" s="51">
        <f ca="1">_xlfn.DAYS(NOW(),Tabella2[[#This Row],[Data Nascita]])/365.25</f>
        <v>75.121149897330596</v>
      </c>
      <c r="F108" s="7" t="s">
        <v>4252</v>
      </c>
      <c r="G108" s="7"/>
      <c r="H108" s="7" t="s">
        <v>5195</v>
      </c>
      <c r="I108" s="7" t="s">
        <v>2238</v>
      </c>
      <c r="J108" s="7" t="s">
        <v>5196</v>
      </c>
      <c r="K108" s="7"/>
      <c r="L108" s="7" t="s">
        <v>5197</v>
      </c>
      <c r="M108" s="7" t="s">
        <v>5198</v>
      </c>
      <c r="N108" s="7" t="s">
        <v>195</v>
      </c>
      <c r="O108" s="17">
        <v>0</v>
      </c>
      <c r="P108" s="17">
        <v>1</v>
      </c>
      <c r="Q108" s="7" t="s">
        <v>195</v>
      </c>
      <c r="R108" s="7" t="s">
        <v>5199</v>
      </c>
      <c r="S108" s="7" t="s">
        <v>5200</v>
      </c>
      <c r="T108" s="7" t="s">
        <v>439</v>
      </c>
      <c r="U108" s="17">
        <f>IF(ISERROR(SEARCH("null",Tabella2[[#This Row],[Patologia respiratoria nota]],1)),0,1)</f>
        <v>0</v>
      </c>
      <c r="V108" s="17">
        <f>IF(ISERROR(SEARCH("MUTA",Tabella2[[#This Row],[Patologia respiratoria nota]],1)),0,1)</f>
        <v>0</v>
      </c>
      <c r="W108" s="17">
        <f>IF(ISERROR(SEARCH("OSAS",Tabella2[[#This Row],[Patologia respiratoria nota]],1)),0,1)</f>
        <v>1</v>
      </c>
      <c r="X108" s="17">
        <f>IF(ISERROR(SEARCH("BPCO",Tabella2[[#This Row],[Patologia respiratoria nota]],1)),0,1)</f>
        <v>0</v>
      </c>
      <c r="Y108" s="17">
        <f>IF(ISERROR(SEARCH("ASMA",Tabella2[[#This Row],[Patologia respiratoria nota]],1)),0,1)</f>
        <v>0</v>
      </c>
      <c r="Z108" s="17">
        <f>IF(ISERROR(SEARCH("ASMA, OSAS",Tabella2[[#This Row],[Patologia respiratoria nota]],1)),0,1)</f>
        <v>0</v>
      </c>
      <c r="AA108" s="17">
        <f>IF(ISERROR(SEARCH("BPCO, OSAS",Tabella2[[#This Row],[Patologia respiratoria nota]],1)),0,1)</f>
        <v>0</v>
      </c>
      <c r="AB108" s="17">
        <f>IF(ISERROR(SEARCH("ASMA, BPCO, OSAS",Tabella2[[#This Row],[Patologia respiratoria nota]],1)),0,1)</f>
        <v>0</v>
      </c>
      <c r="AC108" s="15" t="s">
        <v>657</v>
      </c>
      <c r="AD108" s="19">
        <f>IF(ISERROR(SEARCH("NDD",Tabella2[[#This Row],[Tosse]],1)),0,1)</f>
        <v>0</v>
      </c>
      <c r="AE108" s="19">
        <f>IF(ISERROR(SEARCH("NEGA",Tabella2[[#This Row],[Tosse]],1)),0,1)</f>
        <v>1</v>
      </c>
      <c r="AF108" s="19">
        <f>IF(ISERROR(SEARCH("OCCASIONALMENTE",Tabella2[[#This Row],[Tosse]],1)),0,1)</f>
        <v>0</v>
      </c>
      <c r="AG108" s="19">
        <f>IF(ISERROR(SEARCH("RARAMENTE",Tabella2[[#This Row],[Tosse]],1)),0,1)</f>
        <v>0</v>
      </c>
      <c r="AH108" s="19">
        <f>IF(ISERROR(SEARCH("SI",Tabella2[[#This Row],[Tosse]],1)),0,1)</f>
        <v>0</v>
      </c>
      <c r="AI108" s="7" t="s">
        <v>657</v>
      </c>
      <c r="AJ108" s="17">
        <f>IF(ISERROR(SEARCH("SI",Tabella2[[#This Row],[Espettorazione]],1)),0,1)</f>
        <v>0</v>
      </c>
      <c r="AK108" s="17">
        <f>IF(ISERROR(SEARCH("NEGA",Tabella2[[#This Row],[Espettorazione]],1)),0,1)</f>
        <v>1</v>
      </c>
      <c r="AL108" s="17">
        <f>IF(ISERROR(SEARCH("NDD",Tabella2[[#This Row],[Espettorazione]],1)),0,1)</f>
        <v>0</v>
      </c>
      <c r="AM108" s="7" t="s">
        <v>657</v>
      </c>
      <c r="AN108" s="17">
        <v>0</v>
      </c>
      <c r="AO108" s="11" t="s">
        <v>657</v>
      </c>
      <c r="AP108" s="17">
        <f>IF(ISERROR(SEARCH("NEGA",Tabella2[[#This Row],[Dispnea da sforzo]],1)),0,1)</f>
        <v>1</v>
      </c>
      <c r="AQ108" s="17">
        <f>IF(ISERROR(SEARCH("NEGA",Tabella2[[#This Row],[Dispnea da sforzo]],1)),1,0)</f>
        <v>0</v>
      </c>
      <c r="AR108" s="17">
        <f>IF(ISERROR(SEARCH("LIEVI",Tabella2[[#This Row],[Dispnea da sforzo]],1)),0,1)</f>
        <v>0</v>
      </c>
      <c r="AS108" s="17">
        <f>IF(ISERROR(SEARCH("MODERATI",Tabella2[[#This Row],[Dispnea da sforzo]],1)),0,1)</f>
        <v>0</v>
      </c>
      <c r="AT108" s="17">
        <f>IF(ISERROR(SEARCH("INTENSI",Tabella2[[#This Row],[Dispnea da sforzo]],1)),0,1)</f>
        <v>0</v>
      </c>
      <c r="AU108" s="7" t="s">
        <v>657</v>
      </c>
      <c r="AV108" s="17">
        <f>IF(ISERROR(SEARCH("NEGA",Tabella2[[#This Row],[Dispnea a riposo]],1)),0,1)</f>
        <v>1</v>
      </c>
      <c r="AW108" s="17">
        <f>IF(ISERROR(SEARCH("NDD",Tabella2[[#This Row],[Dispnea a riposo]],1)),0,1)</f>
        <v>0</v>
      </c>
      <c r="AX108" s="7" t="s">
        <v>657</v>
      </c>
      <c r="AY108" s="17">
        <v>0</v>
      </c>
      <c r="AZ108" s="7" t="s">
        <v>657</v>
      </c>
      <c r="BA108" s="18">
        <v>0</v>
      </c>
      <c r="BB108" s="7" t="s">
        <v>5201</v>
      </c>
      <c r="BC108" s="17">
        <v>1</v>
      </c>
      <c r="BD108" s="7" t="s">
        <v>28</v>
      </c>
      <c r="BE108" s="17">
        <v>1</v>
      </c>
      <c r="BF108" s="7" t="s">
        <v>28</v>
      </c>
      <c r="BG108" s="17">
        <v>1</v>
      </c>
      <c r="BH108" s="7" t="s">
        <v>657</v>
      </c>
      <c r="BI108" s="17">
        <v>0</v>
      </c>
      <c r="BJ108" s="7">
        <v>13</v>
      </c>
      <c r="BK108" s="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7">
        <v>24</v>
      </c>
      <c r="CH108" s="7">
        <v>0</v>
      </c>
      <c r="CI108" s="7">
        <v>0</v>
      </c>
      <c r="CJ108" s="7">
        <v>0</v>
      </c>
      <c r="CK108" s="7"/>
      <c r="CL108" s="7"/>
      <c r="CM108" s="33" t="s">
        <v>5477</v>
      </c>
      <c r="CN108" s="47">
        <v>1</v>
      </c>
      <c r="CO108" s="17">
        <v>0</v>
      </c>
      <c r="CP108" s="17">
        <v>0</v>
      </c>
      <c r="CQ108" s="17">
        <v>0</v>
      </c>
      <c r="CR108" s="7"/>
      <c r="CS108" s="33" t="s">
        <v>5477</v>
      </c>
      <c r="CT108" s="64"/>
      <c r="CU108" s="7"/>
      <c r="CV108" s="7"/>
      <c r="CW108" s="7"/>
      <c r="CX108" s="7" t="s">
        <v>5477</v>
      </c>
      <c r="CY108" s="17">
        <v>0</v>
      </c>
      <c r="CZ108" s="7"/>
      <c r="DA108" s="8"/>
    </row>
    <row r="109" spans="1:105" ht="28.5">
      <c r="A109" s="9">
        <v>2397</v>
      </c>
      <c r="B109" s="10">
        <v>45562</v>
      </c>
      <c r="C109" s="11" t="s">
        <v>5202</v>
      </c>
      <c r="D109" s="10">
        <v>16994</v>
      </c>
      <c r="E109" s="52">
        <f ca="1">_xlfn.DAYS(NOW(),Tabella2[[#This Row],[Data Nascita]])/365.25</f>
        <v>79.066392881587959</v>
      </c>
      <c r="F109" s="11" t="s">
        <v>4186</v>
      </c>
      <c r="G109" s="11" t="s">
        <v>4187</v>
      </c>
      <c r="H109" s="11" t="s">
        <v>5203</v>
      </c>
      <c r="I109" s="11" t="s">
        <v>3948</v>
      </c>
      <c r="J109" s="11" t="s">
        <v>5204</v>
      </c>
      <c r="K109" s="11"/>
      <c r="L109" s="11" t="s">
        <v>5205</v>
      </c>
      <c r="M109" s="11" t="s">
        <v>5206</v>
      </c>
      <c r="N109" s="11" t="s">
        <v>195</v>
      </c>
      <c r="O109" s="17">
        <v>0</v>
      </c>
      <c r="P109" s="17">
        <v>1</v>
      </c>
      <c r="Q109" s="11" t="s">
        <v>195</v>
      </c>
      <c r="R109" s="11" t="s">
        <v>195</v>
      </c>
      <c r="S109" s="11" t="s">
        <v>5207</v>
      </c>
      <c r="T109" s="11" t="s">
        <v>439</v>
      </c>
      <c r="U109" s="18">
        <f>IF(ISERROR(SEARCH("null",Tabella2[[#This Row],[Patologia respiratoria nota]],1)),0,1)</f>
        <v>0</v>
      </c>
      <c r="V109" s="17">
        <f>IF(ISERROR(SEARCH("MUTA",Tabella2[[#This Row],[Patologia respiratoria nota]],1)),0,1)</f>
        <v>0</v>
      </c>
      <c r="W109" s="18">
        <f>IF(ISERROR(SEARCH("OSAS",Tabella2[[#This Row],[Patologia respiratoria nota]],1)),0,1)</f>
        <v>1</v>
      </c>
      <c r="X109" s="17">
        <f>IF(ISERROR(SEARCH("BPCO",Tabella2[[#This Row],[Patologia respiratoria nota]],1)),0,1)</f>
        <v>0</v>
      </c>
      <c r="Y109" s="17">
        <f>IF(ISERROR(SEARCH("ASMA",Tabella2[[#This Row],[Patologia respiratoria nota]],1)),0,1)</f>
        <v>0</v>
      </c>
      <c r="Z109" s="17">
        <f>IF(ISERROR(SEARCH("ASMA, OSAS",Tabella2[[#This Row],[Patologia respiratoria nota]],1)),0,1)</f>
        <v>0</v>
      </c>
      <c r="AA109" s="17">
        <f>IF(ISERROR(SEARCH("BPCO, OSAS",Tabella2[[#This Row],[Patologia respiratoria nota]],1)),0,1)</f>
        <v>0</v>
      </c>
      <c r="AB109" s="17">
        <f>IF(ISERROR(SEARCH("ASMA, BPCO, OSAS",Tabella2[[#This Row],[Patologia respiratoria nota]],1)),0,1)</f>
        <v>0</v>
      </c>
      <c r="AC109" s="15" t="s">
        <v>657</v>
      </c>
      <c r="AD109" s="19">
        <f>IF(ISERROR(SEARCH("NDD",Tabella2[[#This Row],[Tosse]],1)),0,1)</f>
        <v>0</v>
      </c>
      <c r="AE109" s="19">
        <f>IF(ISERROR(SEARCH("NEGA",Tabella2[[#This Row],[Tosse]],1)),0,1)</f>
        <v>1</v>
      </c>
      <c r="AF109" s="19">
        <f>IF(ISERROR(SEARCH("OCCASIONALMENTE",Tabella2[[#This Row],[Tosse]],1)),0,1)</f>
        <v>0</v>
      </c>
      <c r="AG109" s="19">
        <f>IF(ISERROR(SEARCH("RARAMENTE",Tabella2[[#This Row],[Tosse]],1)),0,1)</f>
        <v>0</v>
      </c>
      <c r="AH109" s="19">
        <f>IF(ISERROR(SEARCH("SI",Tabella2[[#This Row],[Tosse]],1)),0,1)</f>
        <v>0</v>
      </c>
      <c r="AI109" s="11" t="s">
        <v>657</v>
      </c>
      <c r="AJ109" s="18">
        <f>IF(ISERROR(SEARCH("SI",Tabella2[[#This Row],[Espettorazione]],1)),0,1)</f>
        <v>0</v>
      </c>
      <c r="AK109" s="18">
        <f>IF(ISERROR(SEARCH("NEGA",Tabella2[[#This Row],[Espettorazione]],1)),0,1)</f>
        <v>1</v>
      </c>
      <c r="AL109" s="18">
        <f>IF(ISERROR(SEARCH("NDD",Tabella2[[#This Row],[Espettorazione]],1)),0,1)</f>
        <v>0</v>
      </c>
      <c r="AM109" s="11" t="s">
        <v>657</v>
      </c>
      <c r="AN109" s="17">
        <v>0</v>
      </c>
      <c r="AO109" s="11" t="s">
        <v>28</v>
      </c>
      <c r="AP109" s="17">
        <f>IF(ISERROR(SEARCH("NEGA",Tabella2[[#This Row],[Dispnea da sforzo]],1)),0,1)</f>
        <v>0</v>
      </c>
      <c r="AQ109" s="17">
        <f>IF(ISERROR(SEARCH("NEGA",Tabella2[[#This Row],[Dispnea da sforzo]],1)),1,0)</f>
        <v>1</v>
      </c>
      <c r="AR109" s="17">
        <f>IF(ISERROR(SEARCH("LIEVI",Tabella2[[#This Row],[Dispnea da sforzo]],1)),0,1)</f>
        <v>0</v>
      </c>
      <c r="AS109" s="17">
        <f>IF(ISERROR(SEARCH("MODERATI",Tabella2[[#This Row],[Dispnea da sforzo]],1)),0,1)</f>
        <v>0</v>
      </c>
      <c r="AT109" s="17">
        <f>IF(ISERROR(SEARCH("INTENSI",Tabella2[[#This Row],[Dispnea da sforzo]],1)),0,1)</f>
        <v>0</v>
      </c>
      <c r="AU109" s="11" t="s">
        <v>657</v>
      </c>
      <c r="AV109" s="18">
        <f>IF(ISERROR(SEARCH("NEGA",Tabella2[[#This Row],[Dispnea a riposo]],1)),0,1)</f>
        <v>1</v>
      </c>
      <c r="AW109" s="18">
        <f>IF(ISERROR(SEARCH("NDD",Tabella2[[#This Row],[Dispnea a riposo]],1)),0,1)</f>
        <v>0</v>
      </c>
      <c r="AX109" s="11" t="s">
        <v>657</v>
      </c>
      <c r="AY109" s="17">
        <v>0</v>
      </c>
      <c r="AZ109" s="11" t="s">
        <v>26</v>
      </c>
      <c r="BA109" s="17">
        <v>1</v>
      </c>
      <c r="BB109" s="11" t="s">
        <v>5208</v>
      </c>
      <c r="BC109" s="17">
        <v>1</v>
      </c>
      <c r="BD109" s="11" t="s">
        <v>47</v>
      </c>
      <c r="BE109" s="17">
        <v>1</v>
      </c>
      <c r="BF109" s="11" t="s">
        <v>657</v>
      </c>
      <c r="BG109" s="17">
        <v>0</v>
      </c>
      <c r="BH109" s="11" t="s">
        <v>657</v>
      </c>
      <c r="BI109" s="17">
        <v>0</v>
      </c>
      <c r="BJ109" s="11">
        <v>12</v>
      </c>
      <c r="BK109" s="11"/>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1">
        <v>29</v>
      </c>
      <c r="CH109" s="11">
        <v>0</v>
      </c>
      <c r="CI109" s="11">
        <v>0</v>
      </c>
      <c r="CJ109" s="11">
        <v>0</v>
      </c>
      <c r="CK109" s="11"/>
      <c r="CL109" s="11"/>
      <c r="CM109" s="33" t="s">
        <v>5477</v>
      </c>
      <c r="CN109" s="47">
        <v>1</v>
      </c>
      <c r="CO109" s="17">
        <v>0</v>
      </c>
      <c r="CP109" s="17">
        <v>0</v>
      </c>
      <c r="CQ109" s="17">
        <v>0</v>
      </c>
      <c r="CR109" s="11"/>
      <c r="CS109" s="33" t="s">
        <v>5477</v>
      </c>
      <c r="CT109" s="65"/>
      <c r="CU109" s="11"/>
      <c r="CV109" s="11"/>
      <c r="CW109" s="11"/>
      <c r="CX109" s="7" t="s">
        <v>5477</v>
      </c>
      <c r="CY109" s="17">
        <v>0</v>
      </c>
      <c r="CZ109" s="11"/>
      <c r="DA109" s="12"/>
    </row>
    <row r="110" spans="1:105" customFormat="1" ht="128.25">
      <c r="A110" s="31">
        <v>2401</v>
      </c>
      <c r="B110" s="32">
        <v>45562</v>
      </c>
      <c r="C110" s="7" t="s">
        <v>2139</v>
      </c>
      <c r="D110" s="32">
        <v>26847</v>
      </c>
      <c r="E110" s="43">
        <f ca="1">_xlfn.DAYS(NOW(),Tabella2[[#This Row],[Data Nascita]])/365.25</f>
        <v>52.090349075975361</v>
      </c>
      <c r="F110" s="33" t="s">
        <v>2140</v>
      </c>
      <c r="G110" s="33" t="s">
        <v>2141</v>
      </c>
      <c r="H110" s="33" t="s">
        <v>5209</v>
      </c>
      <c r="I110" s="33" t="s">
        <v>5210</v>
      </c>
      <c r="J110" s="33" t="s">
        <v>5211</v>
      </c>
      <c r="K110" s="33"/>
      <c r="L110" s="33" t="s">
        <v>5212</v>
      </c>
      <c r="M110" s="33" t="s">
        <v>5082</v>
      </c>
      <c r="N110" s="33" t="s">
        <v>25</v>
      </c>
      <c r="O110" s="47">
        <v>0</v>
      </c>
      <c r="P110" s="47">
        <v>1</v>
      </c>
      <c r="Q110" s="33" t="s">
        <v>25</v>
      </c>
      <c r="R110" s="33" t="s">
        <v>25</v>
      </c>
      <c r="S110" s="33" t="s">
        <v>5213</v>
      </c>
      <c r="T110" s="33" t="s">
        <v>5214</v>
      </c>
      <c r="U110" s="47">
        <f>IF(ISERROR(SEARCH("null",Tabella2[[#This Row],[Patologia respiratoria nota]],1)),0,1)</f>
        <v>0</v>
      </c>
      <c r="V110" s="47">
        <f>IF(ISERROR(SEARCH("MUTA",Tabella2[[#This Row],[Patologia respiratoria nota]],1)),0,1)</f>
        <v>0</v>
      </c>
      <c r="W110" s="47">
        <f>IF(ISERROR(SEARCH("OSAS",Tabella2[[#This Row],[Patologia respiratoria nota]],1)),0,1)</f>
        <v>1</v>
      </c>
      <c r="X110" s="47">
        <f>IF(ISERROR(SEARCH("BPCO",Tabella2[[#This Row],[Patologia respiratoria nota]],1)),0,1)</f>
        <v>0</v>
      </c>
      <c r="Y110" s="47">
        <f>IF(ISERROR(SEARCH("ASMA",Tabella2[[#This Row],[Patologia respiratoria nota]],1)),0,1)</f>
        <v>0</v>
      </c>
      <c r="Z110" s="47">
        <f>IF(ISERROR(SEARCH("ASMA, OSAS",Tabella2[[#This Row],[Patologia respiratoria nota]],1)),0,1)</f>
        <v>0</v>
      </c>
      <c r="AA110" s="47">
        <f>IF(ISERROR(SEARCH("BPCO, OSAS",Tabella2[[#This Row],[Patologia respiratoria nota]],1)),0,1)</f>
        <v>0</v>
      </c>
      <c r="AB110" s="47">
        <f>IF(ISERROR(SEARCH("ASMA, BPCO, OSAS",Tabella2[[#This Row],[Patologia respiratoria nota]],1)),0,1)</f>
        <v>0</v>
      </c>
      <c r="AC110" s="33" t="s">
        <v>5457</v>
      </c>
      <c r="AD110" s="47">
        <f>IF(ISERROR(SEARCH("NDD",Tabella2[[#This Row],[Tosse]],1)),0,1)</f>
        <v>0</v>
      </c>
      <c r="AE110" s="47">
        <f>IF(ISERROR(SEARCH("NEGA",Tabella2[[#This Row],[Tosse]],1)),0,1)</f>
        <v>0</v>
      </c>
      <c r="AF110" s="47">
        <f>IF(ISERROR(SEARCH("OCCASIONALMENTE",Tabella2[[#This Row],[Tosse]],1)),0,1)</f>
        <v>0</v>
      </c>
      <c r="AG110" s="47">
        <f>IF(ISERROR(SEARCH("RARAMENTE",Tabella2[[#This Row],[Tosse]],1)),0,1)</f>
        <v>0</v>
      </c>
      <c r="AH110" s="17">
        <v>1</v>
      </c>
      <c r="AI110" s="33" t="s">
        <v>5496</v>
      </c>
      <c r="AJ110" s="47">
        <f>IF(ISERROR(SEARCH("SI",Tabella2[[#This Row],[Espettorazione]],1)),0,1)</f>
        <v>1</v>
      </c>
      <c r="AK110" s="17">
        <v>0</v>
      </c>
      <c r="AL110" s="47">
        <f>IF(ISERROR(SEARCH("NDD",Tabella2[[#This Row],[Espettorazione]],1)),0,1)</f>
        <v>0</v>
      </c>
      <c r="AM110" s="33" t="s">
        <v>657</v>
      </c>
      <c r="AN110" s="47">
        <v>0</v>
      </c>
      <c r="AO110" s="33" t="s">
        <v>5215</v>
      </c>
      <c r="AP110" s="47">
        <f>IF(ISERROR(SEARCH("NEGA",Tabella2[[#This Row],[Dispnea da sforzo]],1)),0,1)</f>
        <v>0</v>
      </c>
      <c r="AQ110" s="47">
        <f>IF(ISERROR(SEARCH("NEGA",Tabella2[[#This Row],[Dispnea da sforzo]],1)),1,0)</f>
        <v>1</v>
      </c>
      <c r="AR110" s="47">
        <f>IF(ISERROR(SEARCH("LIEVI",Tabella2[[#This Row],[Dispnea da sforzo]],1)),0,1)</f>
        <v>0</v>
      </c>
      <c r="AS110" s="47">
        <f>IF(ISERROR(SEARCH("MODERATI",Tabella2[[#This Row],[Dispnea da sforzo]],1)),0,1)</f>
        <v>0</v>
      </c>
      <c r="AT110" s="47">
        <f>IF(ISERROR(SEARCH("INTENSI",Tabella2[[#This Row],[Dispnea da sforzo]],1)),0,1)</f>
        <v>0</v>
      </c>
      <c r="AU110" s="33" t="s">
        <v>657</v>
      </c>
      <c r="AV110" s="47">
        <f>IF(ISERROR(SEARCH("NEGA",Tabella2[[#This Row],[Dispnea a riposo]],1)),0,1)</f>
        <v>1</v>
      </c>
      <c r="AW110" s="47">
        <f>IF(ISERROR(SEARCH("NDD",Tabella2[[#This Row],[Dispnea a riposo]],1)),0,1)</f>
        <v>0</v>
      </c>
      <c r="AX110" s="33" t="s">
        <v>5216</v>
      </c>
      <c r="AY110" s="46">
        <v>1</v>
      </c>
      <c r="AZ110" s="33" t="s">
        <v>5217</v>
      </c>
      <c r="BA110" s="17">
        <v>1</v>
      </c>
      <c r="BB110" s="33" t="s">
        <v>5218</v>
      </c>
      <c r="BC110" s="17">
        <v>1</v>
      </c>
      <c r="BD110" s="33" t="s">
        <v>1036</v>
      </c>
      <c r="BE110" s="17">
        <v>1</v>
      </c>
      <c r="BF110" s="33" t="s">
        <v>28</v>
      </c>
      <c r="BG110" s="17">
        <v>1</v>
      </c>
      <c r="BH110" s="33" t="s">
        <v>657</v>
      </c>
      <c r="BI110" s="17">
        <v>0</v>
      </c>
      <c r="BJ110" s="33">
        <v>15</v>
      </c>
      <c r="BK110" s="33"/>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33">
        <v>24</v>
      </c>
      <c r="CH110" s="33">
        <v>0</v>
      </c>
      <c r="CI110" s="33">
        <v>97</v>
      </c>
      <c r="CJ110" s="33">
        <v>66</v>
      </c>
      <c r="CK110" s="33" t="s">
        <v>5219</v>
      </c>
      <c r="CL110" s="33" t="s">
        <v>5220</v>
      </c>
      <c r="CM110" s="33" t="s">
        <v>3914</v>
      </c>
      <c r="CN110" s="17">
        <v>0</v>
      </c>
      <c r="CO110" s="17">
        <v>1</v>
      </c>
      <c r="CP110" s="17">
        <v>0</v>
      </c>
      <c r="CQ110" s="17">
        <v>0</v>
      </c>
      <c r="CR110" s="33" t="s">
        <v>3884</v>
      </c>
      <c r="CS110" s="33" t="s">
        <v>998</v>
      </c>
      <c r="CT110" s="66">
        <v>0.98</v>
      </c>
      <c r="CU110" s="33" t="s">
        <v>5221</v>
      </c>
      <c r="CV110" s="33" t="s">
        <v>3938</v>
      </c>
      <c r="CW110" s="33" t="s">
        <v>4750</v>
      </c>
      <c r="CX110" s="33" t="s">
        <v>461</v>
      </c>
      <c r="CY110" s="17">
        <v>1</v>
      </c>
      <c r="CZ110" s="33" t="s">
        <v>5222</v>
      </c>
      <c r="DA110" s="34" t="s">
        <v>5223</v>
      </c>
    </row>
    <row r="111" spans="1:105" customFormat="1" ht="42.75">
      <c r="A111" s="35">
        <v>2411</v>
      </c>
      <c r="B111" s="36">
        <v>45567</v>
      </c>
      <c r="C111" s="11" t="s">
        <v>5224</v>
      </c>
      <c r="D111" s="36">
        <v>23121</v>
      </c>
      <c r="E111" s="44">
        <f ca="1">_xlfn.DAYS(NOW(),Tabella2[[#This Row],[Data Nascita]])/365.25</f>
        <v>62.291581108829568</v>
      </c>
      <c r="F111" s="37" t="s">
        <v>5225</v>
      </c>
      <c r="G111" s="37" t="s">
        <v>5226</v>
      </c>
      <c r="H111" s="37" t="s">
        <v>5203</v>
      </c>
      <c r="I111" s="37" t="s">
        <v>2238</v>
      </c>
      <c r="J111" s="37" t="s">
        <v>5227</v>
      </c>
      <c r="K111" s="37"/>
      <c r="L111" s="37" t="s">
        <v>5228</v>
      </c>
      <c r="M111" s="37" t="s">
        <v>5229</v>
      </c>
      <c r="N111" s="37" t="s">
        <v>8</v>
      </c>
      <c r="O111" s="47">
        <v>0</v>
      </c>
      <c r="P111" s="47">
        <v>1</v>
      </c>
      <c r="Q111" s="37" t="s">
        <v>8</v>
      </c>
      <c r="R111" s="37" t="s">
        <v>8</v>
      </c>
      <c r="S111" s="37" t="s">
        <v>5230</v>
      </c>
      <c r="T111" s="37" t="s">
        <v>439</v>
      </c>
      <c r="U111" s="46">
        <f>IF(ISERROR(SEARCH("null",Tabella2[[#This Row],[Patologia respiratoria nota]],1)),0,1)</f>
        <v>0</v>
      </c>
      <c r="V111" s="47">
        <f>IF(ISERROR(SEARCH("MUTA",Tabella2[[#This Row],[Patologia respiratoria nota]],1)),0,1)</f>
        <v>0</v>
      </c>
      <c r="W111" s="46">
        <f>IF(ISERROR(SEARCH("OSAS",Tabella2[[#This Row],[Patologia respiratoria nota]],1)),0,1)</f>
        <v>1</v>
      </c>
      <c r="X111" s="47">
        <f>IF(ISERROR(SEARCH("BPCO",Tabella2[[#This Row],[Patologia respiratoria nota]],1)),0,1)</f>
        <v>0</v>
      </c>
      <c r="Y111" s="47">
        <f>IF(ISERROR(SEARCH("ASMA",Tabella2[[#This Row],[Patologia respiratoria nota]],1)),0,1)</f>
        <v>0</v>
      </c>
      <c r="Z111" s="47">
        <f>IF(ISERROR(SEARCH("ASMA, OSAS",Tabella2[[#This Row],[Patologia respiratoria nota]],1)),0,1)</f>
        <v>0</v>
      </c>
      <c r="AA111" s="47">
        <f>IF(ISERROR(SEARCH("BPCO, OSAS",Tabella2[[#This Row],[Patologia respiratoria nota]],1)),0,1)</f>
        <v>0</v>
      </c>
      <c r="AB111" s="47">
        <f>IF(ISERROR(SEARCH("ASMA, BPCO, OSAS",Tabella2[[#This Row],[Patologia respiratoria nota]],1)),0,1)</f>
        <v>0</v>
      </c>
      <c r="AC111" s="37" t="s">
        <v>5477</v>
      </c>
      <c r="AD111" s="46">
        <f>IF(ISERROR(SEARCH("NDD",Tabella2[[#This Row],[Tosse]],1)),0,1)</f>
        <v>1</v>
      </c>
      <c r="AE111" s="46">
        <f>IF(ISERROR(SEARCH("NEGA",Tabella2[[#This Row],[Tosse]],1)),0,1)</f>
        <v>0</v>
      </c>
      <c r="AF111" s="46">
        <f>IF(ISERROR(SEARCH("OCCASIONALMENTE",Tabella2[[#This Row],[Tosse]],1)),0,1)</f>
        <v>0</v>
      </c>
      <c r="AG111" s="46">
        <f>IF(ISERROR(SEARCH("RARAMENTE",Tabella2[[#This Row],[Tosse]],1)),0,1)</f>
        <v>0</v>
      </c>
      <c r="AH111" s="17">
        <v>0</v>
      </c>
      <c r="AI111" s="37" t="s">
        <v>5477</v>
      </c>
      <c r="AJ111" s="46">
        <f>IF(ISERROR(SEARCH("SI",Tabella2[[#This Row],[Espettorazione]],1)),0,1)</f>
        <v>0</v>
      </c>
      <c r="AK111" s="46">
        <f>IF(ISERROR(SEARCH("NEGA",Tabella2[[#This Row],[Espettorazione]],1)),0,1)</f>
        <v>0</v>
      </c>
      <c r="AL111" s="46">
        <f>IF(ISERROR(SEARCH("NDD",Tabella2[[#This Row],[Espettorazione]],1)),0,1)</f>
        <v>1</v>
      </c>
      <c r="AM111" s="37" t="s">
        <v>5477</v>
      </c>
      <c r="AN111" s="47"/>
      <c r="AO111" s="37" t="s">
        <v>5477</v>
      </c>
      <c r="AP111" s="47">
        <f>IF(ISERROR(SEARCH("NEGA",Tabella2[[#This Row],[Dispnea da sforzo]],1)),0,1)</f>
        <v>0</v>
      </c>
      <c r="AQ111" s="47">
        <v>0</v>
      </c>
      <c r="AR111" s="47">
        <f>IF(ISERROR(SEARCH("LIEVI",Tabella2[[#This Row],[Dispnea da sforzo]],1)),0,1)</f>
        <v>0</v>
      </c>
      <c r="AS111" s="47">
        <f>IF(ISERROR(SEARCH("MODERATI",Tabella2[[#This Row],[Dispnea da sforzo]],1)),0,1)</f>
        <v>0</v>
      </c>
      <c r="AT111" s="47">
        <f>IF(ISERROR(SEARCH("INTENSI",Tabella2[[#This Row],[Dispnea da sforzo]],1)),0,1)</f>
        <v>0</v>
      </c>
      <c r="AU111" s="37" t="s">
        <v>5477</v>
      </c>
      <c r="AV111" s="46">
        <f>IF(ISERROR(SEARCH("NEGA",Tabella2[[#This Row],[Dispnea a riposo]],1)),0,1)</f>
        <v>0</v>
      </c>
      <c r="AW111" s="46">
        <f>IF(ISERROR(SEARCH("NDD",Tabella2[[#This Row],[Dispnea a riposo]],1)),0,1)</f>
        <v>1</v>
      </c>
      <c r="AX111" s="37" t="s">
        <v>5477</v>
      </c>
      <c r="AY111" s="46">
        <v>0</v>
      </c>
      <c r="AZ111" s="37" t="s">
        <v>5477</v>
      </c>
      <c r="BA111" s="46">
        <v>0</v>
      </c>
      <c r="BB111" s="37" t="s">
        <v>5477</v>
      </c>
      <c r="BC111" s="46">
        <v>0</v>
      </c>
      <c r="BD111" s="37" t="s">
        <v>5477</v>
      </c>
      <c r="BE111" s="46">
        <v>0</v>
      </c>
      <c r="BF111" s="37" t="s">
        <v>5477</v>
      </c>
      <c r="BG111" s="17">
        <v>0</v>
      </c>
      <c r="BH111" s="37" t="s">
        <v>5477</v>
      </c>
      <c r="BI111" s="46">
        <v>0</v>
      </c>
      <c r="BJ111" s="37">
        <v>15</v>
      </c>
      <c r="BK111" s="37"/>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37">
        <v>24</v>
      </c>
      <c r="CH111" s="37">
        <v>0</v>
      </c>
      <c r="CI111" s="37">
        <v>0</v>
      </c>
      <c r="CJ111" s="37">
        <v>0</v>
      </c>
      <c r="CK111" s="37"/>
      <c r="CL111" s="37"/>
      <c r="CM111" s="37" t="s">
        <v>3883</v>
      </c>
      <c r="CN111" s="17">
        <v>0</v>
      </c>
      <c r="CO111" s="17">
        <v>0</v>
      </c>
      <c r="CP111" s="17">
        <v>1</v>
      </c>
      <c r="CQ111" s="17">
        <v>0</v>
      </c>
      <c r="CR111" s="37" t="s">
        <v>5231</v>
      </c>
      <c r="CS111" s="37" t="s">
        <v>5232</v>
      </c>
      <c r="CT111" s="63">
        <v>0.95699999999999996</v>
      </c>
      <c r="CU111" s="37" t="s">
        <v>5233</v>
      </c>
      <c r="CV111" s="37" t="s">
        <v>5234</v>
      </c>
      <c r="CW111" s="37" t="s">
        <v>218</v>
      </c>
      <c r="CX111" s="37" t="s">
        <v>195</v>
      </c>
      <c r="CY111" s="17">
        <v>0</v>
      </c>
      <c r="CZ111" s="37" t="s">
        <v>5235</v>
      </c>
      <c r="DA111" s="38"/>
    </row>
    <row r="112" spans="1:105" ht="99.75">
      <c r="A112" s="5">
        <v>2432</v>
      </c>
      <c r="B112" s="6">
        <v>45587</v>
      </c>
      <c r="C112" s="7" t="s">
        <v>5236</v>
      </c>
      <c r="D112" s="6">
        <v>18028</v>
      </c>
      <c r="E112" s="51">
        <f ca="1">_xlfn.DAYS(NOW(),Tabella2[[#This Row],[Data Nascita]])/365.25</f>
        <v>76.23545516769336</v>
      </c>
      <c r="F112" s="7" t="s">
        <v>5237</v>
      </c>
      <c r="G112" s="7" t="s">
        <v>5238</v>
      </c>
      <c r="H112" s="7" t="s">
        <v>5239</v>
      </c>
      <c r="I112" s="7" t="s">
        <v>5240</v>
      </c>
      <c r="J112" s="7" t="s">
        <v>5241</v>
      </c>
      <c r="K112" s="7"/>
      <c r="L112" s="7" t="s">
        <v>5212</v>
      </c>
      <c r="M112" s="7" t="s">
        <v>5242</v>
      </c>
      <c r="N112" s="7" t="s">
        <v>5243</v>
      </c>
      <c r="O112" s="17">
        <v>0</v>
      </c>
      <c r="P112" s="17">
        <v>1</v>
      </c>
      <c r="Q112" s="7" t="s">
        <v>195</v>
      </c>
      <c r="R112" s="7" t="s">
        <v>195</v>
      </c>
      <c r="S112" s="7" t="s">
        <v>5244</v>
      </c>
      <c r="T112" s="7" t="s">
        <v>5245</v>
      </c>
      <c r="U112" s="17">
        <f>IF(ISERROR(SEARCH("null",Tabella2[[#This Row],[Patologia respiratoria nota]],1)),0,1)</f>
        <v>0</v>
      </c>
      <c r="V112" s="17">
        <f>IF(ISERROR(SEARCH("MUTA",Tabella2[[#This Row],[Patologia respiratoria nota]],1)),0,1)</f>
        <v>0</v>
      </c>
      <c r="W112" s="17">
        <f>IF(ISERROR(SEARCH("OSAS",Tabella2[[#This Row],[Patologia respiratoria nota]],1)),0,1)</f>
        <v>1</v>
      </c>
      <c r="X112" s="17">
        <f>IF(ISERROR(SEARCH("BPCO",Tabella2[[#This Row],[Patologia respiratoria nota]],1)),0,1)</f>
        <v>1</v>
      </c>
      <c r="Y112" s="17">
        <f>IF(ISERROR(SEARCH("ASMA",Tabella2[[#This Row],[Patologia respiratoria nota]],1)),0,1)</f>
        <v>0</v>
      </c>
      <c r="Z112" s="17">
        <f>IF(ISERROR(SEARCH("ASMA, OSAS",Tabella2[[#This Row],[Patologia respiratoria nota]],1)),0,1)</f>
        <v>0</v>
      </c>
      <c r="AA112" s="17">
        <f>IF(ISERROR(SEARCH("BPCO, OSAS",Tabella2[[#This Row],[Patologia respiratoria nota]],1)),0,1)</f>
        <v>0</v>
      </c>
      <c r="AB112" s="17">
        <f>IF(ISERROR(SEARCH("ASMA, BPCO, OSAS",Tabella2[[#This Row],[Patologia respiratoria nota]],1)),0,1)</f>
        <v>0</v>
      </c>
      <c r="AC112" s="7" t="s">
        <v>5465</v>
      </c>
      <c r="AD112" s="17">
        <f>IF(ISERROR(SEARCH("NDD",Tabella2[[#This Row],[Tosse]],1)),0,1)</f>
        <v>0</v>
      </c>
      <c r="AE112" s="17">
        <f>IF(ISERROR(SEARCH("NEGA",Tabella2[[#This Row],[Tosse]],1)),0,1)</f>
        <v>0</v>
      </c>
      <c r="AF112" s="17">
        <f>IF(ISERROR(SEARCH("OCCASIONALMENTE",Tabella2[[#This Row],[Tosse]],1)),0,1)</f>
        <v>0</v>
      </c>
      <c r="AG112" s="17">
        <f>IF(ISERROR(SEARCH("RARAMENTE",Tabella2[[#This Row],[Tosse]],1)),0,1)</f>
        <v>0</v>
      </c>
      <c r="AH112" s="17">
        <v>1</v>
      </c>
      <c r="AI112" s="7" t="s">
        <v>657</v>
      </c>
      <c r="AJ112" s="17">
        <f>IF(ISERROR(SEARCH("SI",Tabella2[[#This Row],[Espettorazione]],1)),0,1)</f>
        <v>0</v>
      </c>
      <c r="AK112" s="17">
        <f>IF(ISERROR(SEARCH("NEGA",Tabella2[[#This Row],[Espettorazione]],1)),0,1)</f>
        <v>1</v>
      </c>
      <c r="AL112" s="17">
        <f>IF(ISERROR(SEARCH("NDD",Tabella2[[#This Row],[Espettorazione]],1)),0,1)</f>
        <v>0</v>
      </c>
      <c r="AM112" s="7" t="s">
        <v>657</v>
      </c>
      <c r="AN112" s="17">
        <v>0</v>
      </c>
      <c r="AO112" s="7" t="s">
        <v>194</v>
      </c>
      <c r="AP112" s="17">
        <f>IF(ISERROR(SEARCH("NEGA",Tabella2[[#This Row],[Dispnea da sforzo]],1)),0,1)</f>
        <v>0</v>
      </c>
      <c r="AQ112" s="17">
        <f>IF(ISERROR(SEARCH("NEGA",Tabella2[[#This Row],[Dispnea da sforzo]],1)),1,0)</f>
        <v>1</v>
      </c>
      <c r="AR112" s="17">
        <f>IF(ISERROR(SEARCH("LIEVI",Tabella2[[#This Row],[Dispnea da sforzo]],1)),0,1)</f>
        <v>0</v>
      </c>
      <c r="AS112" s="17">
        <f>IF(ISERROR(SEARCH("MODERATI",Tabella2[[#This Row],[Dispnea da sforzo]],1)),0,1)</f>
        <v>0</v>
      </c>
      <c r="AT112" s="17">
        <f>IF(ISERROR(SEARCH("INTENSI",Tabella2[[#This Row],[Dispnea da sforzo]],1)),0,1)</f>
        <v>0</v>
      </c>
      <c r="AU112" s="7" t="s">
        <v>194</v>
      </c>
      <c r="AV112" s="17">
        <f>IF(ISERROR(SEARCH("NEGA",Tabella2[[#This Row],[Dispnea a riposo]],1)),0,1)</f>
        <v>0</v>
      </c>
      <c r="AW112" s="17">
        <f>IF(ISERROR(SEARCH("NDD",Tabella2[[#This Row],[Dispnea a riposo]],1)),0,1)</f>
        <v>0</v>
      </c>
      <c r="AX112" s="7" t="s">
        <v>657</v>
      </c>
      <c r="AY112" s="17">
        <v>0</v>
      </c>
      <c r="AZ112" s="7" t="s">
        <v>657</v>
      </c>
      <c r="BA112" s="18">
        <v>0</v>
      </c>
      <c r="BB112" s="7" t="s">
        <v>5246</v>
      </c>
      <c r="BC112" s="17">
        <v>1</v>
      </c>
      <c r="BD112" s="7" t="s">
        <v>194</v>
      </c>
      <c r="BE112" s="17">
        <v>1</v>
      </c>
      <c r="BF112" s="7" t="s">
        <v>5590</v>
      </c>
      <c r="BG112" s="17">
        <v>0</v>
      </c>
      <c r="BH112" s="7" t="s">
        <v>657</v>
      </c>
      <c r="BI112" s="17">
        <v>0</v>
      </c>
      <c r="BJ112" s="7">
        <v>12</v>
      </c>
      <c r="BK112" s="7" t="s">
        <v>5247</v>
      </c>
      <c r="BL112" s="17"/>
      <c r="BM112" s="17"/>
      <c r="BN112" s="17"/>
      <c r="BO112" s="17"/>
      <c r="BP112" s="17"/>
      <c r="BQ112" s="17"/>
      <c r="BR112" s="17"/>
      <c r="BS112" s="17"/>
      <c r="BT112" s="17"/>
      <c r="BU112" s="17"/>
      <c r="BV112" s="17"/>
      <c r="BW112" s="17"/>
      <c r="BX112" s="17">
        <v>1</v>
      </c>
      <c r="BY112" s="17"/>
      <c r="BZ112" s="17"/>
      <c r="CA112" s="17"/>
      <c r="CB112" s="17"/>
      <c r="CC112" s="17"/>
      <c r="CD112" s="17"/>
      <c r="CE112" s="17"/>
      <c r="CF112" s="17"/>
      <c r="CG112" s="7">
        <v>21</v>
      </c>
      <c r="CH112" s="7">
        <v>0</v>
      </c>
      <c r="CI112" s="7">
        <v>0</v>
      </c>
      <c r="CJ112" s="7">
        <v>0</v>
      </c>
      <c r="CK112" s="7" t="s">
        <v>5248</v>
      </c>
      <c r="CL112" s="7"/>
      <c r="CM112" s="7" t="s">
        <v>3914</v>
      </c>
      <c r="CN112" s="17">
        <v>0</v>
      </c>
      <c r="CO112" s="17">
        <v>1</v>
      </c>
      <c r="CP112" s="17">
        <v>0</v>
      </c>
      <c r="CQ112" s="17">
        <v>0</v>
      </c>
      <c r="CR112" s="7" t="s">
        <v>5249</v>
      </c>
      <c r="CS112" s="7" t="s">
        <v>153</v>
      </c>
      <c r="CT112" s="64">
        <v>0.97</v>
      </c>
      <c r="CU112" s="7" t="s">
        <v>5250</v>
      </c>
      <c r="CV112" s="7" t="s">
        <v>5251</v>
      </c>
      <c r="CW112" s="7" t="s">
        <v>5252</v>
      </c>
      <c r="CX112" s="7" t="s">
        <v>5253</v>
      </c>
      <c r="CY112" s="17">
        <v>1</v>
      </c>
      <c r="CZ112" s="7" t="s">
        <v>5254</v>
      </c>
      <c r="DA112" s="8"/>
    </row>
    <row r="113" spans="1:105" customFormat="1" ht="28.5">
      <c r="A113" s="35">
        <v>2446</v>
      </c>
      <c r="B113" s="36">
        <v>45601</v>
      </c>
      <c r="C113" s="11" t="s">
        <v>5255</v>
      </c>
      <c r="D113" s="36">
        <v>25696</v>
      </c>
      <c r="E113" s="44">
        <f ca="1">_xlfn.DAYS(NOW(),Tabella2[[#This Row],[Data Nascita]])/365.25</f>
        <v>55.241615331964411</v>
      </c>
      <c r="F113" s="37" t="s">
        <v>5256</v>
      </c>
      <c r="G113" s="37" t="s">
        <v>5257</v>
      </c>
      <c r="H113" s="37" t="s">
        <v>5203</v>
      </c>
      <c r="I113" s="37" t="s">
        <v>3948</v>
      </c>
      <c r="J113" s="37" t="s">
        <v>5258</v>
      </c>
      <c r="K113" s="37"/>
      <c r="L113" s="37" t="s">
        <v>5259</v>
      </c>
      <c r="M113" s="37" t="s">
        <v>5198</v>
      </c>
      <c r="N113" s="37" t="s">
        <v>195</v>
      </c>
      <c r="O113" s="47">
        <v>0</v>
      </c>
      <c r="P113" s="47">
        <v>1</v>
      </c>
      <c r="Q113" s="37" t="s">
        <v>195</v>
      </c>
      <c r="R113" s="37" t="s">
        <v>195</v>
      </c>
      <c r="S113" s="37" t="s">
        <v>5260</v>
      </c>
      <c r="T113" s="37" t="s">
        <v>439</v>
      </c>
      <c r="U113" s="46">
        <f>IF(ISERROR(SEARCH("null",Tabella2[[#This Row],[Patologia respiratoria nota]],1)),0,1)</f>
        <v>0</v>
      </c>
      <c r="V113" s="47">
        <f>IF(ISERROR(SEARCH("MUTA",Tabella2[[#This Row],[Patologia respiratoria nota]],1)),0,1)</f>
        <v>0</v>
      </c>
      <c r="W113" s="46">
        <f>IF(ISERROR(SEARCH("OSAS",Tabella2[[#This Row],[Patologia respiratoria nota]],1)),0,1)</f>
        <v>1</v>
      </c>
      <c r="X113" s="47">
        <f>IF(ISERROR(SEARCH("BPCO",Tabella2[[#This Row],[Patologia respiratoria nota]],1)),0,1)</f>
        <v>0</v>
      </c>
      <c r="Y113" s="47">
        <f>IF(ISERROR(SEARCH("ASMA",Tabella2[[#This Row],[Patologia respiratoria nota]],1)),0,1)</f>
        <v>0</v>
      </c>
      <c r="Z113" s="47">
        <f>IF(ISERROR(SEARCH("ASMA, OSAS",Tabella2[[#This Row],[Patologia respiratoria nota]],1)),0,1)</f>
        <v>0</v>
      </c>
      <c r="AA113" s="47">
        <f>IF(ISERROR(SEARCH("BPCO, OSAS",Tabella2[[#This Row],[Patologia respiratoria nota]],1)),0,1)</f>
        <v>0</v>
      </c>
      <c r="AB113" s="47">
        <f>IF(ISERROR(SEARCH("ASMA, BPCO, OSAS",Tabella2[[#This Row],[Patologia respiratoria nota]],1)),0,1)</f>
        <v>0</v>
      </c>
      <c r="AC113" s="41" t="s">
        <v>657</v>
      </c>
      <c r="AD113" s="48">
        <f>IF(ISERROR(SEARCH("NDD",Tabella2[[#This Row],[Tosse]],1)),0,1)</f>
        <v>0</v>
      </c>
      <c r="AE113" s="48">
        <f>IF(ISERROR(SEARCH("NEGA",Tabella2[[#This Row],[Tosse]],1)),0,1)</f>
        <v>1</v>
      </c>
      <c r="AF113" s="48">
        <f>IF(ISERROR(SEARCH("OCCASIONALMENTE",Tabella2[[#This Row],[Tosse]],1)),0,1)</f>
        <v>0</v>
      </c>
      <c r="AG113" s="48">
        <f>IF(ISERROR(SEARCH("RARAMENTE",Tabella2[[#This Row],[Tosse]],1)),0,1)</f>
        <v>0</v>
      </c>
      <c r="AH113" s="48">
        <f>IF(ISERROR(SEARCH("SI",Tabella2[[#This Row],[Tosse]],1)),0,1)</f>
        <v>0</v>
      </c>
      <c r="AI113" s="37" t="s">
        <v>657</v>
      </c>
      <c r="AJ113" s="46">
        <f>IF(ISERROR(SEARCH("SI",Tabella2[[#This Row],[Espettorazione]],1)),0,1)</f>
        <v>0</v>
      </c>
      <c r="AK113" s="46">
        <f>IF(ISERROR(SEARCH("NEGA",Tabella2[[#This Row],[Espettorazione]],1)),0,1)</f>
        <v>1</v>
      </c>
      <c r="AL113" s="46">
        <f>IF(ISERROR(SEARCH("NDD",Tabella2[[#This Row],[Espettorazione]],1)),0,1)</f>
        <v>0</v>
      </c>
      <c r="AM113" s="37" t="s">
        <v>657</v>
      </c>
      <c r="AN113" s="47">
        <v>0</v>
      </c>
      <c r="AO113" s="37" t="s">
        <v>194</v>
      </c>
      <c r="AP113" s="47">
        <f>IF(ISERROR(SEARCH("NEGA",Tabella2[[#This Row],[Dispnea da sforzo]],1)),0,1)</f>
        <v>0</v>
      </c>
      <c r="AQ113" s="47">
        <f>IF(ISERROR(SEARCH("NEGA",Tabella2[[#This Row],[Dispnea da sforzo]],1)),1,0)</f>
        <v>1</v>
      </c>
      <c r="AR113" s="47">
        <f>IF(ISERROR(SEARCH("LIEVI",Tabella2[[#This Row],[Dispnea da sforzo]],1)),0,1)</f>
        <v>0</v>
      </c>
      <c r="AS113" s="47">
        <f>IF(ISERROR(SEARCH("MODERATI",Tabella2[[#This Row],[Dispnea da sforzo]],1)),0,1)</f>
        <v>0</v>
      </c>
      <c r="AT113" s="47">
        <f>IF(ISERROR(SEARCH("INTENSI",Tabella2[[#This Row],[Dispnea da sforzo]],1)),0,1)</f>
        <v>0</v>
      </c>
      <c r="AU113" s="37" t="s">
        <v>657</v>
      </c>
      <c r="AV113" s="46">
        <f>IF(ISERROR(SEARCH("NEGA",Tabella2[[#This Row],[Dispnea a riposo]],1)),0,1)</f>
        <v>1</v>
      </c>
      <c r="AW113" s="46">
        <f>IF(ISERROR(SEARCH("NDD",Tabella2[[#This Row],[Dispnea a riposo]],1)),0,1)</f>
        <v>0</v>
      </c>
      <c r="AX113" s="37" t="s">
        <v>194</v>
      </c>
      <c r="AY113" s="46">
        <v>1</v>
      </c>
      <c r="AZ113" s="37" t="s">
        <v>194</v>
      </c>
      <c r="BA113" s="17">
        <v>1</v>
      </c>
      <c r="BB113" s="7" t="s">
        <v>657</v>
      </c>
      <c r="BC113" s="17">
        <v>0</v>
      </c>
      <c r="BD113" s="37" t="s">
        <v>194</v>
      </c>
      <c r="BE113" s="17">
        <v>1</v>
      </c>
      <c r="BF113" s="37" t="s">
        <v>194</v>
      </c>
      <c r="BG113" s="17">
        <v>1</v>
      </c>
      <c r="BH113" s="37" t="s">
        <v>194</v>
      </c>
      <c r="BI113" s="18">
        <v>1</v>
      </c>
      <c r="BJ113" s="37">
        <v>17</v>
      </c>
      <c r="BK113" s="37"/>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37">
        <v>29</v>
      </c>
      <c r="CH113" s="37">
        <v>0</v>
      </c>
      <c r="CI113" s="37">
        <v>97</v>
      </c>
      <c r="CJ113" s="37">
        <v>77</v>
      </c>
      <c r="CK113" s="37"/>
      <c r="CL113" s="37"/>
      <c r="CM113" s="37" t="s">
        <v>3997</v>
      </c>
      <c r="CN113" s="17">
        <v>0</v>
      </c>
      <c r="CO113" s="17">
        <v>1</v>
      </c>
      <c r="CP113" s="17">
        <v>0</v>
      </c>
      <c r="CQ113" s="17">
        <v>0</v>
      </c>
      <c r="CR113" s="37" t="s">
        <v>5261</v>
      </c>
      <c r="CS113" s="37" t="s">
        <v>4298</v>
      </c>
      <c r="CT113" s="63">
        <v>1</v>
      </c>
      <c r="CU113" s="37" t="s">
        <v>5262</v>
      </c>
      <c r="CV113" s="37" t="s">
        <v>5263</v>
      </c>
      <c r="CW113" s="37" t="s">
        <v>4750</v>
      </c>
      <c r="CX113" s="37" t="s">
        <v>194</v>
      </c>
      <c r="CY113" s="17">
        <v>1</v>
      </c>
      <c r="CZ113" s="37" t="s">
        <v>4789</v>
      </c>
      <c r="DA113" s="38"/>
    </row>
    <row r="114" spans="1:105" customFormat="1" ht="42.75">
      <c r="A114" s="31">
        <v>2472</v>
      </c>
      <c r="B114" s="32">
        <v>45614</v>
      </c>
      <c r="C114" s="7" t="s">
        <v>2010</v>
      </c>
      <c r="D114" s="32">
        <v>23522</v>
      </c>
      <c r="E114" s="43">
        <f ca="1">_xlfn.DAYS(NOW(),Tabella2[[#This Row],[Data Nascita]])/365.25</f>
        <v>61.193702943189599</v>
      </c>
      <c r="F114" s="33" t="s">
        <v>2011</v>
      </c>
      <c r="G114" s="33" t="s">
        <v>2012</v>
      </c>
      <c r="H114" s="33" t="s">
        <v>5203</v>
      </c>
      <c r="I114" s="33" t="s">
        <v>3948</v>
      </c>
      <c r="J114" s="33" t="s">
        <v>5264</v>
      </c>
      <c r="K114" s="33"/>
      <c r="L114" s="33" t="s">
        <v>5265</v>
      </c>
      <c r="M114" s="33" t="s">
        <v>5266</v>
      </c>
      <c r="N114" s="33" t="s">
        <v>195</v>
      </c>
      <c r="O114" s="47">
        <v>0</v>
      </c>
      <c r="P114" s="47">
        <v>1</v>
      </c>
      <c r="Q114" s="33" t="s">
        <v>195</v>
      </c>
      <c r="R114" s="33" t="s">
        <v>195</v>
      </c>
      <c r="S114" s="33" t="s">
        <v>5267</v>
      </c>
      <c r="T114" s="33" t="s">
        <v>439</v>
      </c>
      <c r="U114" s="47">
        <f>IF(ISERROR(SEARCH("null",Tabella2[[#This Row],[Patologia respiratoria nota]],1)),0,1)</f>
        <v>0</v>
      </c>
      <c r="V114" s="47">
        <f>IF(ISERROR(SEARCH("MUTA",Tabella2[[#This Row],[Patologia respiratoria nota]],1)),0,1)</f>
        <v>0</v>
      </c>
      <c r="W114" s="47">
        <f>IF(ISERROR(SEARCH("OSAS",Tabella2[[#This Row],[Patologia respiratoria nota]],1)),0,1)</f>
        <v>1</v>
      </c>
      <c r="X114" s="47">
        <f>IF(ISERROR(SEARCH("BPCO",Tabella2[[#This Row],[Patologia respiratoria nota]],1)),0,1)</f>
        <v>0</v>
      </c>
      <c r="Y114" s="47">
        <f>IF(ISERROR(SEARCH("ASMA",Tabella2[[#This Row],[Patologia respiratoria nota]],1)),0,1)</f>
        <v>0</v>
      </c>
      <c r="Z114" s="47">
        <f>IF(ISERROR(SEARCH("ASMA, OSAS",Tabella2[[#This Row],[Patologia respiratoria nota]],1)),0,1)</f>
        <v>0</v>
      </c>
      <c r="AA114" s="47">
        <f>IF(ISERROR(SEARCH("BPCO, OSAS",Tabella2[[#This Row],[Patologia respiratoria nota]],1)),0,1)</f>
        <v>0</v>
      </c>
      <c r="AB114" s="47">
        <f>IF(ISERROR(SEARCH("ASMA, BPCO, OSAS",Tabella2[[#This Row],[Patologia respiratoria nota]],1)),0,1)</f>
        <v>0</v>
      </c>
      <c r="AC114" s="41" t="s">
        <v>657</v>
      </c>
      <c r="AD114" s="48">
        <f>IF(ISERROR(SEARCH("NDD",Tabella2[[#This Row],[Tosse]],1)),0,1)</f>
        <v>0</v>
      </c>
      <c r="AE114" s="48">
        <f>IF(ISERROR(SEARCH("NEGA",Tabella2[[#This Row],[Tosse]],1)),0,1)</f>
        <v>1</v>
      </c>
      <c r="AF114" s="48">
        <f>IF(ISERROR(SEARCH("OCCASIONALMENTE",Tabella2[[#This Row],[Tosse]],1)),0,1)</f>
        <v>0</v>
      </c>
      <c r="AG114" s="48">
        <f>IF(ISERROR(SEARCH("RARAMENTE",Tabella2[[#This Row],[Tosse]],1)),0,1)</f>
        <v>0</v>
      </c>
      <c r="AH114" s="48">
        <f>IF(ISERROR(SEARCH("SI",Tabella2[[#This Row],[Tosse]],1)),0,1)</f>
        <v>0</v>
      </c>
      <c r="AI114" s="33" t="s">
        <v>5499</v>
      </c>
      <c r="AJ114" s="47">
        <f>IF(ISERROR(SEARCH("SI",Tabella2[[#This Row],[Espettorazione]],1)),0,1)</f>
        <v>1</v>
      </c>
      <c r="AK114" s="17">
        <v>0</v>
      </c>
      <c r="AL114" s="47">
        <f>IF(ISERROR(SEARCH("NDD",Tabella2[[#This Row],[Espettorazione]],1)),0,1)</f>
        <v>0</v>
      </c>
      <c r="AM114" s="33" t="s">
        <v>657</v>
      </c>
      <c r="AN114" s="47">
        <v>0</v>
      </c>
      <c r="AO114" s="33" t="s">
        <v>5547</v>
      </c>
      <c r="AP114" s="47">
        <f>IF(ISERROR(SEARCH("NEGA",Tabella2[[#This Row],[Dispnea da sforzo]],1)),0,1)</f>
        <v>0</v>
      </c>
      <c r="AQ114" s="47">
        <f>IF(ISERROR(SEARCH("NEGA",Tabella2[[#This Row],[Dispnea da sforzo]],1)),1,0)</f>
        <v>1</v>
      </c>
      <c r="AR114" s="47">
        <f>IF(ISERROR(SEARCH("LIEVI",Tabella2[[#This Row],[Dispnea da sforzo]],1)),0,1)</f>
        <v>0</v>
      </c>
      <c r="AS114" s="47">
        <f>IF(ISERROR(SEARCH("MODERATI",Tabella2[[#This Row],[Dispnea da sforzo]],1)),0,1)</f>
        <v>1</v>
      </c>
      <c r="AT114" s="47">
        <f>IF(ISERROR(SEARCH("INTENSI",Tabella2[[#This Row],[Dispnea da sforzo]],1)),0,1)</f>
        <v>0</v>
      </c>
      <c r="AU114" s="33" t="s">
        <v>657</v>
      </c>
      <c r="AV114" s="47">
        <f>IF(ISERROR(SEARCH("NEGA",Tabella2[[#This Row],[Dispnea a riposo]],1)),0,1)</f>
        <v>1</v>
      </c>
      <c r="AW114" s="47">
        <f>IF(ISERROR(SEARCH("NDD",Tabella2[[#This Row],[Dispnea a riposo]],1)),0,1)</f>
        <v>0</v>
      </c>
      <c r="AX114" s="33" t="s">
        <v>194</v>
      </c>
      <c r="AY114" s="46">
        <v>1</v>
      </c>
      <c r="AZ114" s="33" t="s">
        <v>194</v>
      </c>
      <c r="BA114" s="17">
        <v>1</v>
      </c>
      <c r="BB114" s="7" t="s">
        <v>657</v>
      </c>
      <c r="BC114" s="17">
        <v>0</v>
      </c>
      <c r="BD114" s="33" t="s">
        <v>194</v>
      </c>
      <c r="BE114" s="17">
        <v>1</v>
      </c>
      <c r="BF114" s="33" t="s">
        <v>194</v>
      </c>
      <c r="BG114" s="17">
        <v>1</v>
      </c>
      <c r="BH114" s="33" t="s">
        <v>2365</v>
      </c>
      <c r="BI114" s="18">
        <v>1</v>
      </c>
      <c r="BJ114" s="33">
        <v>19</v>
      </c>
      <c r="BK114" s="33"/>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33">
        <v>28</v>
      </c>
      <c r="CH114" s="33">
        <v>0</v>
      </c>
      <c r="CI114" s="33">
        <v>97</v>
      </c>
      <c r="CJ114" s="33">
        <v>88</v>
      </c>
      <c r="CK114" s="33"/>
      <c r="CL114" s="33"/>
      <c r="CM114" s="33" t="s">
        <v>5477</v>
      </c>
      <c r="CN114" s="47">
        <v>1</v>
      </c>
      <c r="CO114" s="17">
        <v>0</v>
      </c>
      <c r="CP114" s="17">
        <v>0</v>
      </c>
      <c r="CQ114" s="17">
        <v>0</v>
      </c>
      <c r="CR114" s="33"/>
      <c r="CS114" s="33" t="s">
        <v>5477</v>
      </c>
      <c r="CT114" s="66"/>
      <c r="CU114" s="33"/>
      <c r="CV114" s="33"/>
      <c r="CW114" s="33"/>
      <c r="CX114" s="33" t="s">
        <v>194</v>
      </c>
      <c r="CY114" s="17">
        <v>1</v>
      </c>
      <c r="CZ114" s="33"/>
      <c r="DA114" s="34"/>
    </row>
    <row r="115" spans="1:105" customFormat="1" ht="28.5">
      <c r="A115" s="35">
        <v>2537</v>
      </c>
      <c r="B115" s="36">
        <v>45636</v>
      </c>
      <c r="C115" s="11" t="s">
        <v>5268</v>
      </c>
      <c r="D115" s="36">
        <v>26749</v>
      </c>
      <c r="E115" s="44">
        <f ca="1">_xlfn.DAYS(NOW(),Tabella2[[#This Row],[Data Nascita]])/365.25</f>
        <v>52.358658453114302</v>
      </c>
      <c r="F115" s="37" t="s">
        <v>5269</v>
      </c>
      <c r="G115" s="37" t="s">
        <v>3486</v>
      </c>
      <c r="H115" s="37" t="s">
        <v>5203</v>
      </c>
      <c r="I115" s="37" t="s">
        <v>3948</v>
      </c>
      <c r="J115" s="37" t="s">
        <v>5270</v>
      </c>
      <c r="K115" s="37"/>
      <c r="L115" s="37" t="s">
        <v>5271</v>
      </c>
      <c r="M115" s="37" t="s">
        <v>5272</v>
      </c>
      <c r="N115" s="37" t="s">
        <v>195</v>
      </c>
      <c r="O115" s="47">
        <v>0</v>
      </c>
      <c r="P115" s="47">
        <v>1</v>
      </c>
      <c r="Q115" s="37" t="s">
        <v>195</v>
      </c>
      <c r="R115" s="37" t="s">
        <v>5273</v>
      </c>
      <c r="S115" s="37" t="s">
        <v>5274</v>
      </c>
      <c r="T115" s="37" t="s">
        <v>439</v>
      </c>
      <c r="U115" s="46">
        <f>IF(ISERROR(SEARCH("null",Tabella2[[#This Row],[Patologia respiratoria nota]],1)),0,1)</f>
        <v>0</v>
      </c>
      <c r="V115" s="47">
        <f>IF(ISERROR(SEARCH("MUTA",Tabella2[[#This Row],[Patologia respiratoria nota]],1)),0,1)</f>
        <v>0</v>
      </c>
      <c r="W115" s="46">
        <f>IF(ISERROR(SEARCH("OSAS",Tabella2[[#This Row],[Patologia respiratoria nota]],1)),0,1)</f>
        <v>1</v>
      </c>
      <c r="X115" s="47">
        <f>IF(ISERROR(SEARCH("BPCO",Tabella2[[#This Row],[Patologia respiratoria nota]],1)),0,1)</f>
        <v>0</v>
      </c>
      <c r="Y115" s="47">
        <f>IF(ISERROR(SEARCH("ASMA",Tabella2[[#This Row],[Patologia respiratoria nota]],1)),0,1)</f>
        <v>0</v>
      </c>
      <c r="Z115" s="47">
        <f>IF(ISERROR(SEARCH("ASMA, OSAS",Tabella2[[#This Row],[Patologia respiratoria nota]],1)),0,1)</f>
        <v>0</v>
      </c>
      <c r="AA115" s="47">
        <f>IF(ISERROR(SEARCH("BPCO, OSAS",Tabella2[[#This Row],[Patologia respiratoria nota]],1)),0,1)</f>
        <v>0</v>
      </c>
      <c r="AB115" s="47">
        <f>IF(ISERROR(SEARCH("ASMA, BPCO, OSAS",Tabella2[[#This Row],[Patologia respiratoria nota]],1)),0,1)</f>
        <v>0</v>
      </c>
      <c r="AC115" s="41" t="s">
        <v>657</v>
      </c>
      <c r="AD115" s="48">
        <f>IF(ISERROR(SEARCH("NDD",Tabella2[[#This Row],[Tosse]],1)),0,1)</f>
        <v>0</v>
      </c>
      <c r="AE115" s="48">
        <f>IF(ISERROR(SEARCH("NEGA",Tabella2[[#This Row],[Tosse]],1)),0,1)</f>
        <v>1</v>
      </c>
      <c r="AF115" s="48">
        <f>IF(ISERROR(SEARCH("OCCASIONALMENTE",Tabella2[[#This Row],[Tosse]],1)),0,1)</f>
        <v>0</v>
      </c>
      <c r="AG115" s="48">
        <f>IF(ISERROR(SEARCH("RARAMENTE",Tabella2[[#This Row],[Tosse]],1)),0,1)</f>
        <v>0</v>
      </c>
      <c r="AH115" s="48">
        <f>IF(ISERROR(SEARCH("SI",Tabella2[[#This Row],[Tosse]],1)),0,1)</f>
        <v>0</v>
      </c>
      <c r="AI115" s="37" t="s">
        <v>657</v>
      </c>
      <c r="AJ115" s="46">
        <f>IF(ISERROR(SEARCH("SI",Tabella2[[#This Row],[Espettorazione]],1)),0,1)</f>
        <v>0</v>
      </c>
      <c r="AK115" s="46">
        <f>IF(ISERROR(SEARCH("NEGA",Tabella2[[#This Row],[Espettorazione]],1)),0,1)</f>
        <v>1</v>
      </c>
      <c r="AL115" s="46">
        <f>IF(ISERROR(SEARCH("NDD",Tabella2[[#This Row],[Espettorazione]],1)),0,1)</f>
        <v>0</v>
      </c>
      <c r="AM115" s="37" t="s">
        <v>26</v>
      </c>
      <c r="AN115" s="47">
        <v>1</v>
      </c>
      <c r="AO115" s="37" t="s">
        <v>5565</v>
      </c>
      <c r="AP115" s="47">
        <f>IF(ISERROR(SEARCH("NEGA",Tabella2[[#This Row],[Dispnea da sforzo]],1)),0,1)</f>
        <v>0</v>
      </c>
      <c r="AQ115" s="47">
        <f>IF(ISERROR(SEARCH("NEGA",Tabella2[[#This Row],[Dispnea da sforzo]],1)),1,0)</f>
        <v>1</v>
      </c>
      <c r="AR115" s="47">
        <f>IF(ISERROR(SEARCH("LIEVI",Tabella2[[#This Row],[Dispnea da sforzo]],1)),0,1)</f>
        <v>0</v>
      </c>
      <c r="AS115" s="47">
        <f>IF(ISERROR(SEARCH("MODERATI",Tabella2[[#This Row],[Dispnea da sforzo]],1)),0,1)</f>
        <v>1</v>
      </c>
      <c r="AT115" s="47">
        <f>IF(ISERROR(SEARCH("INTENSI",Tabella2[[#This Row],[Dispnea da sforzo]],1)),0,1)</f>
        <v>0</v>
      </c>
      <c r="AU115" s="37" t="s">
        <v>657</v>
      </c>
      <c r="AV115" s="46">
        <f>IF(ISERROR(SEARCH("NEGA",Tabella2[[#This Row],[Dispnea a riposo]],1)),0,1)</f>
        <v>1</v>
      </c>
      <c r="AW115" s="46">
        <f>IF(ISERROR(SEARCH("NDD",Tabella2[[#This Row],[Dispnea a riposo]],1)),0,1)</f>
        <v>0</v>
      </c>
      <c r="AX115" s="37" t="s">
        <v>5275</v>
      </c>
      <c r="AY115" s="46">
        <v>1</v>
      </c>
      <c r="AZ115" s="37" t="s">
        <v>28</v>
      </c>
      <c r="BA115" s="17">
        <v>1</v>
      </c>
      <c r="BB115" s="37" t="s">
        <v>5276</v>
      </c>
      <c r="BC115" s="17">
        <v>1</v>
      </c>
      <c r="BD115" s="37" t="s">
        <v>28</v>
      </c>
      <c r="BE115" s="17">
        <v>1</v>
      </c>
      <c r="BF115" s="37" t="s">
        <v>28</v>
      </c>
      <c r="BG115" s="17">
        <v>1</v>
      </c>
      <c r="BH115" s="37" t="s">
        <v>28</v>
      </c>
      <c r="BI115" s="18">
        <v>1</v>
      </c>
      <c r="BJ115" s="37">
        <v>13</v>
      </c>
      <c r="BK115" s="37" t="s">
        <v>5277</v>
      </c>
      <c r="BL115" s="46">
        <v>-20</v>
      </c>
      <c r="BM115" s="46"/>
      <c r="BN115" s="46"/>
      <c r="BO115" s="46"/>
      <c r="BP115" s="46"/>
      <c r="BQ115" s="46"/>
      <c r="BR115" s="46"/>
      <c r="BS115" s="46"/>
      <c r="BT115" s="46"/>
      <c r="BU115" s="46"/>
      <c r="BV115" s="46"/>
      <c r="BW115" s="46"/>
      <c r="BX115" s="46"/>
      <c r="BY115" s="46"/>
      <c r="BZ115" s="46"/>
      <c r="CA115" s="46"/>
      <c r="CB115" s="46"/>
      <c r="CC115" s="46"/>
      <c r="CD115" s="46"/>
      <c r="CE115" s="46"/>
      <c r="CF115" s="46"/>
      <c r="CG115" s="37">
        <v>43</v>
      </c>
      <c r="CH115" s="37">
        <v>0</v>
      </c>
      <c r="CI115" s="37">
        <v>97</v>
      </c>
      <c r="CJ115" s="37">
        <v>60</v>
      </c>
      <c r="CK115" s="37"/>
      <c r="CL115" s="37"/>
      <c r="CM115" s="37" t="s">
        <v>4179</v>
      </c>
      <c r="CN115" s="17">
        <v>0</v>
      </c>
      <c r="CO115" s="17">
        <v>0</v>
      </c>
      <c r="CP115" s="17">
        <v>1</v>
      </c>
      <c r="CQ115" s="17">
        <v>0</v>
      </c>
      <c r="CR115" s="37" t="s">
        <v>5278</v>
      </c>
      <c r="CS115" s="37" t="s">
        <v>5279</v>
      </c>
      <c r="CT115" s="63">
        <v>0.11</v>
      </c>
      <c r="CU115" s="37" t="s">
        <v>5280</v>
      </c>
      <c r="CV115" s="37" t="s">
        <v>5281</v>
      </c>
      <c r="CW115" s="37" t="s">
        <v>4750</v>
      </c>
      <c r="CX115" s="37" t="s">
        <v>194</v>
      </c>
      <c r="CY115" s="17">
        <v>1</v>
      </c>
      <c r="CZ115" s="37" t="s">
        <v>5235</v>
      </c>
      <c r="DA115" s="38"/>
    </row>
    <row r="116" spans="1:105" s="54" customFormat="1" ht="28.5">
      <c r="A116" s="5">
        <v>2569</v>
      </c>
      <c r="B116" s="6">
        <v>45645</v>
      </c>
      <c r="C116" s="7" t="s">
        <v>5282</v>
      </c>
      <c r="D116" s="6">
        <v>18872</v>
      </c>
      <c r="E116" s="51">
        <f ca="1">_xlfn.DAYS(NOW(),Tabella2[[#This Row],[Data Nascita]])/365.25</f>
        <v>73.924709103353862</v>
      </c>
      <c r="F116" s="7" t="s">
        <v>5283</v>
      </c>
      <c r="G116" s="7" t="s">
        <v>5284</v>
      </c>
      <c r="H116" s="7" t="s">
        <v>5203</v>
      </c>
      <c r="I116" s="7" t="s">
        <v>3948</v>
      </c>
      <c r="J116" s="7" t="s">
        <v>5285</v>
      </c>
      <c r="K116" s="7"/>
      <c r="L116" s="7" t="s">
        <v>5286</v>
      </c>
      <c r="M116" s="7" t="s">
        <v>5287</v>
      </c>
      <c r="N116" s="7" t="s">
        <v>195</v>
      </c>
      <c r="O116" s="17">
        <v>0</v>
      </c>
      <c r="P116" s="17">
        <v>1</v>
      </c>
      <c r="Q116" s="7" t="s">
        <v>195</v>
      </c>
      <c r="R116" s="7" t="s">
        <v>5288</v>
      </c>
      <c r="S116" s="7" t="s">
        <v>5289</v>
      </c>
      <c r="T116" s="7" t="s">
        <v>439</v>
      </c>
      <c r="U116" s="17">
        <f>IF(ISERROR(SEARCH("null",Tabella2[[#This Row],[Patologia respiratoria nota]],1)),0,1)</f>
        <v>0</v>
      </c>
      <c r="V116" s="17">
        <f>IF(ISERROR(SEARCH("MUTA",Tabella2[[#This Row],[Patologia respiratoria nota]],1)),0,1)</f>
        <v>0</v>
      </c>
      <c r="W116" s="17">
        <f>IF(ISERROR(SEARCH("OSAS",Tabella2[[#This Row],[Patologia respiratoria nota]],1)),0,1)</f>
        <v>1</v>
      </c>
      <c r="X116" s="17">
        <f>IF(ISERROR(SEARCH("BPCO",Tabella2[[#This Row],[Patologia respiratoria nota]],1)),0,1)</f>
        <v>0</v>
      </c>
      <c r="Y116" s="17">
        <f>IF(ISERROR(SEARCH("ASMA",Tabella2[[#This Row],[Patologia respiratoria nota]],1)),0,1)</f>
        <v>0</v>
      </c>
      <c r="Z116" s="17">
        <f>IF(ISERROR(SEARCH("ASMA, OSAS",Tabella2[[#This Row],[Patologia respiratoria nota]],1)),0,1)</f>
        <v>0</v>
      </c>
      <c r="AA116" s="17">
        <f>IF(ISERROR(SEARCH("BPCO, OSAS",Tabella2[[#This Row],[Patologia respiratoria nota]],1)),0,1)</f>
        <v>0</v>
      </c>
      <c r="AB116" s="17">
        <f>IF(ISERROR(SEARCH("ASMA, BPCO, OSAS",Tabella2[[#This Row],[Patologia respiratoria nota]],1)),0,1)</f>
        <v>0</v>
      </c>
      <c r="AC116" s="15" t="s">
        <v>657</v>
      </c>
      <c r="AD116" s="19">
        <f>IF(ISERROR(SEARCH("NDD",Tabella2[[#This Row],[Tosse]],1)),0,1)</f>
        <v>0</v>
      </c>
      <c r="AE116" s="19">
        <f>IF(ISERROR(SEARCH("NEGA",Tabella2[[#This Row],[Tosse]],1)),0,1)</f>
        <v>1</v>
      </c>
      <c r="AF116" s="19">
        <f>IF(ISERROR(SEARCH("OCCASIONALMENTE",Tabella2[[#This Row],[Tosse]],1)),0,1)</f>
        <v>0</v>
      </c>
      <c r="AG116" s="19">
        <f>IF(ISERROR(SEARCH("RARAMENTE",Tabella2[[#This Row],[Tosse]],1)),0,1)</f>
        <v>0</v>
      </c>
      <c r="AH116" s="19">
        <f>IF(ISERROR(SEARCH("SI",Tabella2[[#This Row],[Tosse]],1)),0,1)</f>
        <v>0</v>
      </c>
      <c r="AI116" s="7" t="s">
        <v>657</v>
      </c>
      <c r="AJ116" s="17">
        <f>IF(ISERROR(SEARCH("SI",Tabella2[[#This Row],[Espettorazione]],1)),0,1)</f>
        <v>0</v>
      </c>
      <c r="AK116" s="17">
        <f>IF(ISERROR(SEARCH("NEGA",Tabella2[[#This Row],[Espettorazione]],1)),0,1)</f>
        <v>1</v>
      </c>
      <c r="AL116" s="17">
        <f>IF(ISERROR(SEARCH("NDD",Tabella2[[#This Row],[Espettorazione]],1)),0,1)</f>
        <v>0</v>
      </c>
      <c r="AM116" s="7" t="s">
        <v>657</v>
      </c>
      <c r="AN116" s="17">
        <v>0</v>
      </c>
      <c r="AO116" s="11" t="s">
        <v>657</v>
      </c>
      <c r="AP116" s="17">
        <f>IF(ISERROR(SEARCH("NEGA",Tabella2[[#This Row],[Dispnea da sforzo]],1)),0,1)</f>
        <v>1</v>
      </c>
      <c r="AQ116" s="17">
        <f>IF(ISERROR(SEARCH("NEGA",Tabella2[[#This Row],[Dispnea da sforzo]],1)),1,0)</f>
        <v>0</v>
      </c>
      <c r="AR116" s="17">
        <f>IF(ISERROR(SEARCH("LIEVI",Tabella2[[#This Row],[Dispnea da sforzo]],1)),0,1)</f>
        <v>0</v>
      </c>
      <c r="AS116" s="17">
        <f>IF(ISERROR(SEARCH("MODERATI",Tabella2[[#This Row],[Dispnea da sforzo]],1)),0,1)</f>
        <v>0</v>
      </c>
      <c r="AT116" s="17">
        <f>IF(ISERROR(SEARCH("INTENSI",Tabella2[[#This Row],[Dispnea da sforzo]],1)),0,1)</f>
        <v>0</v>
      </c>
      <c r="AU116" s="7" t="s">
        <v>657</v>
      </c>
      <c r="AV116" s="17">
        <f>IF(ISERROR(SEARCH("NEGA",Tabella2[[#This Row],[Dispnea a riposo]],1)),0,1)</f>
        <v>1</v>
      </c>
      <c r="AW116" s="17">
        <f>IF(ISERROR(SEARCH("NDD",Tabella2[[#This Row],[Dispnea a riposo]],1)),0,1)</f>
        <v>0</v>
      </c>
      <c r="AX116" s="7" t="s">
        <v>5290</v>
      </c>
      <c r="AY116" s="18">
        <v>1</v>
      </c>
      <c r="AZ116" s="7" t="s">
        <v>657</v>
      </c>
      <c r="BA116" s="18">
        <v>0</v>
      </c>
      <c r="BB116" s="7" t="s">
        <v>5291</v>
      </c>
      <c r="BC116" s="17">
        <v>1</v>
      </c>
      <c r="BD116" s="37" t="s">
        <v>5477</v>
      </c>
      <c r="BE116" s="17">
        <v>0</v>
      </c>
      <c r="BF116" s="7" t="s">
        <v>28</v>
      </c>
      <c r="BG116" s="17">
        <v>1</v>
      </c>
      <c r="BH116" s="7" t="s">
        <v>657</v>
      </c>
      <c r="BI116" s="17">
        <v>0</v>
      </c>
      <c r="BJ116" s="7">
        <v>21</v>
      </c>
      <c r="BK116" s="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7">
        <v>26</v>
      </c>
      <c r="CH116" s="7">
        <v>0</v>
      </c>
      <c r="CI116" s="7">
        <v>96</v>
      </c>
      <c r="CJ116" s="7">
        <v>65</v>
      </c>
      <c r="CK116" s="7"/>
      <c r="CL116" s="7"/>
      <c r="CM116" s="7" t="s">
        <v>4164</v>
      </c>
      <c r="CN116" s="17">
        <v>0</v>
      </c>
      <c r="CO116" s="17">
        <v>0</v>
      </c>
      <c r="CP116" s="17">
        <v>0</v>
      </c>
      <c r="CQ116" s="17">
        <v>1</v>
      </c>
      <c r="CR116" s="7" t="s">
        <v>5292</v>
      </c>
      <c r="CS116" s="7" t="s">
        <v>963</v>
      </c>
      <c r="CT116" s="64">
        <v>0.95</v>
      </c>
      <c r="CU116" s="7" t="s">
        <v>5293</v>
      </c>
      <c r="CV116" s="7" t="s">
        <v>5294</v>
      </c>
      <c r="CW116" s="7" t="s">
        <v>5295</v>
      </c>
      <c r="CX116" s="7" t="s">
        <v>28</v>
      </c>
      <c r="CY116" s="17">
        <v>1</v>
      </c>
      <c r="CZ116" s="7" t="s">
        <v>4804</v>
      </c>
      <c r="DA116" s="8"/>
    </row>
    <row r="117" spans="1:105" ht="28.5">
      <c r="A117" s="9">
        <v>2582</v>
      </c>
      <c r="B117" s="10">
        <v>45650</v>
      </c>
      <c r="C117" s="11" t="s">
        <v>5296</v>
      </c>
      <c r="D117" s="10">
        <v>30809</v>
      </c>
      <c r="E117" s="52">
        <f ca="1">_xlfn.DAYS(NOW(),Tabella2[[#This Row],[Data Nascita]])/365.25</f>
        <v>41.242984257357975</v>
      </c>
      <c r="F117" s="11" t="s">
        <v>5297</v>
      </c>
      <c r="G117" s="11" t="s">
        <v>5298</v>
      </c>
      <c r="H117" s="11" t="s">
        <v>5203</v>
      </c>
      <c r="I117" s="11" t="s">
        <v>3948</v>
      </c>
      <c r="J117" s="11" t="s">
        <v>5299</v>
      </c>
      <c r="K117" s="11"/>
      <c r="L117" s="11" t="s">
        <v>5265</v>
      </c>
      <c r="M117" s="11" t="s">
        <v>5300</v>
      </c>
      <c r="N117" s="11" t="s">
        <v>195</v>
      </c>
      <c r="O117" s="17">
        <v>0</v>
      </c>
      <c r="P117" s="17">
        <v>1</v>
      </c>
      <c r="Q117" s="11" t="s">
        <v>8</v>
      </c>
      <c r="R117" s="11" t="s">
        <v>8</v>
      </c>
      <c r="S117" s="11" t="s">
        <v>25</v>
      </c>
      <c r="T117" s="11" t="s">
        <v>5301</v>
      </c>
      <c r="U117" s="18">
        <f>IF(ISERROR(SEARCH("null",Tabella2[[#This Row],[Patologia respiratoria nota]],1)),0,1)</f>
        <v>0</v>
      </c>
      <c r="V117" s="17">
        <f>IF(ISERROR(SEARCH("MUTA",Tabella2[[#This Row],[Patologia respiratoria nota]],1)),0,1)</f>
        <v>0</v>
      </c>
      <c r="W117" s="18">
        <f>IF(ISERROR(SEARCH("OSAS",Tabella2[[#This Row],[Patologia respiratoria nota]],1)),0,1)</f>
        <v>0</v>
      </c>
      <c r="X117" s="17">
        <f>IF(ISERROR(SEARCH("BPCO",Tabella2[[#This Row],[Patologia respiratoria nota]],1)),0,1)</f>
        <v>0</v>
      </c>
      <c r="Y117" s="17">
        <f>IF(ISERROR(SEARCH("ASMA",Tabella2[[#This Row],[Patologia respiratoria nota]],1)),0,1)</f>
        <v>0</v>
      </c>
      <c r="Z117" s="17">
        <f>IF(ISERROR(SEARCH("ASMA, OSAS",Tabella2[[#This Row],[Patologia respiratoria nota]],1)),0,1)</f>
        <v>0</v>
      </c>
      <c r="AA117" s="17">
        <f>IF(ISERROR(SEARCH("BPCO, OSAS",Tabella2[[#This Row],[Patologia respiratoria nota]],1)),0,1)</f>
        <v>0</v>
      </c>
      <c r="AB117" s="17">
        <f>IF(ISERROR(SEARCH("ASMA, BPCO, OSAS",Tabella2[[#This Row],[Patologia respiratoria nota]],1)),0,1)</f>
        <v>0</v>
      </c>
      <c r="AC117" s="15" t="s">
        <v>657</v>
      </c>
      <c r="AD117" s="19">
        <f>IF(ISERROR(SEARCH("NDD",Tabella2[[#This Row],[Tosse]],1)),0,1)</f>
        <v>0</v>
      </c>
      <c r="AE117" s="19">
        <f>IF(ISERROR(SEARCH("NEGA",Tabella2[[#This Row],[Tosse]],1)),0,1)</f>
        <v>1</v>
      </c>
      <c r="AF117" s="19">
        <f>IF(ISERROR(SEARCH("OCCASIONALMENTE",Tabella2[[#This Row],[Tosse]],1)),0,1)</f>
        <v>0</v>
      </c>
      <c r="AG117" s="19">
        <f>IF(ISERROR(SEARCH("RARAMENTE",Tabella2[[#This Row],[Tosse]],1)),0,1)</f>
        <v>0</v>
      </c>
      <c r="AH117" s="19">
        <f>IF(ISERROR(SEARCH("SI",Tabella2[[#This Row],[Tosse]],1)),0,1)</f>
        <v>0</v>
      </c>
      <c r="AI117" s="11" t="s">
        <v>657</v>
      </c>
      <c r="AJ117" s="18">
        <f>IF(ISERROR(SEARCH("SI",Tabella2[[#This Row],[Espettorazione]],1)),0,1)</f>
        <v>0</v>
      </c>
      <c r="AK117" s="18">
        <f>IF(ISERROR(SEARCH("NEGA",Tabella2[[#This Row],[Espettorazione]],1)),0,1)</f>
        <v>1</v>
      </c>
      <c r="AL117" s="18">
        <f>IF(ISERROR(SEARCH("NDD",Tabella2[[#This Row],[Espettorazione]],1)),0,1)</f>
        <v>0</v>
      </c>
      <c r="AM117" s="11" t="s">
        <v>657</v>
      </c>
      <c r="AN117" s="17">
        <v>0</v>
      </c>
      <c r="AO117" s="11" t="s">
        <v>5532</v>
      </c>
      <c r="AP117" s="17">
        <f>IF(ISERROR(SEARCH("NEGA",Tabella2[[#This Row],[Dispnea da sforzo]],1)),0,1)</f>
        <v>0</v>
      </c>
      <c r="AQ117" s="17">
        <f>IF(ISERROR(SEARCH("NEGA",Tabella2[[#This Row],[Dispnea da sforzo]],1)),1,0)</f>
        <v>1</v>
      </c>
      <c r="AR117" s="17">
        <f>IF(ISERROR(SEARCH("LIEVI",Tabella2[[#This Row],[Dispnea da sforzo]],1)),0,1)</f>
        <v>1</v>
      </c>
      <c r="AS117" s="17">
        <f>IF(ISERROR(SEARCH("MODERATI",Tabella2[[#This Row],[Dispnea da sforzo]],1)),0,1)</f>
        <v>0</v>
      </c>
      <c r="AT117" s="17">
        <f>IF(ISERROR(SEARCH("INTENSI",Tabella2[[#This Row],[Dispnea da sforzo]],1)),0,1)</f>
        <v>0</v>
      </c>
      <c r="AU117" s="11" t="s">
        <v>657</v>
      </c>
      <c r="AV117" s="18">
        <f>IF(ISERROR(SEARCH("NEGA",Tabella2[[#This Row],[Dispnea a riposo]],1)),0,1)</f>
        <v>1</v>
      </c>
      <c r="AW117" s="18">
        <f>IF(ISERROR(SEARCH("NDD",Tabella2[[#This Row],[Dispnea a riposo]],1)),0,1)</f>
        <v>0</v>
      </c>
      <c r="AX117" s="11" t="s">
        <v>657</v>
      </c>
      <c r="AY117" s="17">
        <v>0</v>
      </c>
      <c r="AZ117" s="11" t="s">
        <v>26</v>
      </c>
      <c r="BA117" s="17">
        <v>1</v>
      </c>
      <c r="BB117" s="7" t="s">
        <v>657</v>
      </c>
      <c r="BC117" s="17">
        <v>0</v>
      </c>
      <c r="BD117" s="37" t="s">
        <v>5477</v>
      </c>
      <c r="BE117" s="18">
        <v>0</v>
      </c>
      <c r="BF117" s="11" t="s">
        <v>28</v>
      </c>
      <c r="BG117" s="17">
        <v>1</v>
      </c>
      <c r="BH117" s="11" t="s">
        <v>657</v>
      </c>
      <c r="BI117" s="17">
        <v>0</v>
      </c>
      <c r="BJ117" s="11">
        <v>18</v>
      </c>
      <c r="BK117" s="11" t="s">
        <v>5302</v>
      </c>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1">
        <v>59</v>
      </c>
      <c r="CH117" s="11">
        <v>0</v>
      </c>
      <c r="CI117" s="11">
        <v>97</v>
      </c>
      <c r="CJ117" s="11">
        <v>87</v>
      </c>
      <c r="CK117" s="11"/>
      <c r="CL117" s="11"/>
      <c r="CM117" s="11" t="s">
        <v>3997</v>
      </c>
      <c r="CN117" s="17">
        <v>0</v>
      </c>
      <c r="CO117" s="17">
        <v>1</v>
      </c>
      <c r="CP117" s="17">
        <v>0</v>
      </c>
      <c r="CQ117" s="17">
        <v>0</v>
      </c>
      <c r="CR117" s="11" t="s">
        <v>5303</v>
      </c>
      <c r="CS117" s="11" t="s">
        <v>963</v>
      </c>
      <c r="CT117" s="65">
        <v>0.95</v>
      </c>
      <c r="CU117" s="11" t="s">
        <v>5304</v>
      </c>
      <c r="CV117" s="11" t="s">
        <v>5305</v>
      </c>
      <c r="CW117" s="11" t="s">
        <v>5306</v>
      </c>
      <c r="CX117" s="11" t="s">
        <v>4803</v>
      </c>
      <c r="CY117" s="17">
        <v>1</v>
      </c>
      <c r="CZ117" s="11" t="s">
        <v>4789</v>
      </c>
      <c r="DA117" s="12" t="s">
        <v>5307</v>
      </c>
    </row>
    <row r="118" spans="1:105" customFormat="1" ht="85.5">
      <c r="A118" s="31">
        <v>2652</v>
      </c>
      <c r="B118" s="32">
        <v>45684</v>
      </c>
      <c r="C118" s="7" t="s">
        <v>5308</v>
      </c>
      <c r="D118" s="32">
        <v>22871</v>
      </c>
      <c r="E118" s="43">
        <f ca="1">_xlfn.DAYS(NOW(),Tabella2[[#This Row],[Data Nascita]])/365.25</f>
        <v>62.976043805612591</v>
      </c>
      <c r="F118" s="33" t="s">
        <v>4588</v>
      </c>
      <c r="G118" s="33" t="s">
        <v>4935</v>
      </c>
      <c r="H118" s="33" t="s">
        <v>4555</v>
      </c>
      <c r="I118" s="33" t="s">
        <v>3948</v>
      </c>
      <c r="J118" s="33" t="s">
        <v>5309</v>
      </c>
      <c r="K118" s="33"/>
      <c r="L118" s="33" t="s">
        <v>5310</v>
      </c>
      <c r="M118" s="33" t="s">
        <v>5311</v>
      </c>
      <c r="N118" s="33" t="s">
        <v>8</v>
      </c>
      <c r="O118" s="47">
        <v>0</v>
      </c>
      <c r="P118" s="47">
        <v>1</v>
      </c>
      <c r="Q118" s="33" t="s">
        <v>8</v>
      </c>
      <c r="R118" s="33" t="s">
        <v>25</v>
      </c>
      <c r="S118" s="33" t="s">
        <v>5312</v>
      </c>
      <c r="T118" s="33" t="s">
        <v>3804</v>
      </c>
      <c r="U118" s="47">
        <f>IF(ISERROR(SEARCH("null",Tabella2[[#This Row],[Patologia respiratoria nota]],1)),0,1)</f>
        <v>0</v>
      </c>
      <c r="V118" s="47">
        <f>IF(ISERROR(SEARCH("MUTA",Tabella2[[#This Row],[Patologia respiratoria nota]],1)),0,1)</f>
        <v>0</v>
      </c>
      <c r="W118" s="47">
        <f>IF(ISERROR(SEARCH("OSAS",Tabella2[[#This Row],[Patologia respiratoria nota]],1)),0,1)</f>
        <v>1</v>
      </c>
      <c r="X118" s="47">
        <f>IF(ISERROR(SEARCH("BPCO",Tabella2[[#This Row],[Patologia respiratoria nota]],1)),0,1)</f>
        <v>0</v>
      </c>
      <c r="Y118" s="47">
        <f>IF(ISERROR(SEARCH("ASMA",Tabella2[[#This Row],[Patologia respiratoria nota]],1)),0,1)</f>
        <v>1</v>
      </c>
      <c r="Z118" s="47">
        <f>IF(ISERROR(SEARCH("ASMA, OSAS",Tabella2[[#This Row],[Patologia respiratoria nota]],1)),0,1)</f>
        <v>1</v>
      </c>
      <c r="AA118" s="47">
        <f>IF(ISERROR(SEARCH("BPCO, OSAS",Tabella2[[#This Row],[Patologia respiratoria nota]],1)),0,1)</f>
        <v>0</v>
      </c>
      <c r="AB118" s="47">
        <f>IF(ISERROR(SEARCH("ASMA, BPCO, OSAS",Tabella2[[#This Row],[Patologia respiratoria nota]],1)),0,1)</f>
        <v>0</v>
      </c>
      <c r="AC118" s="33" t="s">
        <v>5453</v>
      </c>
      <c r="AD118" s="47">
        <f>IF(ISERROR(SEARCH("NDD",Tabella2[[#This Row],[Tosse]],1)),0,1)</f>
        <v>0</v>
      </c>
      <c r="AE118" s="47">
        <f>IF(ISERROR(SEARCH("NEGA",Tabella2[[#This Row],[Tosse]],1)),0,1)</f>
        <v>0</v>
      </c>
      <c r="AF118" s="47">
        <f>IF(ISERROR(SEARCH("OCCASIONALMENTE",Tabella2[[#This Row],[Tosse]],1)),0,1)</f>
        <v>0</v>
      </c>
      <c r="AG118" s="47">
        <f>IF(ISERROR(SEARCH("RARAMENTE",Tabella2[[#This Row],[Tosse]],1)),0,1)</f>
        <v>0</v>
      </c>
      <c r="AH118" s="17">
        <v>1</v>
      </c>
      <c r="AI118" s="33" t="s">
        <v>5497</v>
      </c>
      <c r="AJ118" s="47">
        <f>IF(ISERROR(SEARCH("SI",Tabella2[[#This Row],[Espettorazione]],1)),0,1)</f>
        <v>1</v>
      </c>
      <c r="AK118" s="17">
        <v>0</v>
      </c>
      <c r="AL118" s="47">
        <f>IF(ISERROR(SEARCH("NDD",Tabella2[[#This Row],[Espettorazione]],1)),0,1)</f>
        <v>0</v>
      </c>
      <c r="AM118" s="33" t="s">
        <v>26</v>
      </c>
      <c r="AN118" s="47">
        <v>1</v>
      </c>
      <c r="AO118" s="33" t="s">
        <v>5566</v>
      </c>
      <c r="AP118" s="47">
        <f>IF(ISERROR(SEARCH("NEGA",Tabella2[[#This Row],[Dispnea da sforzo]],1)),0,1)</f>
        <v>0</v>
      </c>
      <c r="AQ118" s="47">
        <f>IF(ISERROR(SEARCH("NEGA",Tabella2[[#This Row],[Dispnea da sforzo]],1)),1,0)</f>
        <v>1</v>
      </c>
      <c r="AR118" s="47">
        <f>IF(ISERROR(SEARCH("LIEVI",Tabella2[[#This Row],[Dispnea da sforzo]],1)),0,1)</f>
        <v>1</v>
      </c>
      <c r="AS118" s="47">
        <f>IF(ISERROR(SEARCH("MODERATI",Tabella2[[#This Row],[Dispnea da sforzo]],1)),0,1)</f>
        <v>1</v>
      </c>
      <c r="AT118" s="47">
        <f>IF(ISERROR(SEARCH("INTENSI",Tabella2[[#This Row],[Dispnea da sforzo]],1)),0,1)</f>
        <v>0</v>
      </c>
      <c r="AU118" s="33" t="s">
        <v>657</v>
      </c>
      <c r="AV118" s="47">
        <f>IF(ISERROR(SEARCH("NEGA",Tabella2[[#This Row],[Dispnea a riposo]],1)),0,1)</f>
        <v>1</v>
      </c>
      <c r="AW118" s="47">
        <f>IF(ISERROR(SEARCH("NDD",Tabella2[[#This Row],[Dispnea a riposo]],1)),0,1)</f>
        <v>0</v>
      </c>
      <c r="AX118" s="33" t="s">
        <v>5313</v>
      </c>
      <c r="AY118" s="46">
        <v>1</v>
      </c>
      <c r="AZ118" s="33" t="s">
        <v>26</v>
      </c>
      <c r="BA118" s="17">
        <v>1</v>
      </c>
      <c r="BB118" s="33" t="s">
        <v>5314</v>
      </c>
      <c r="BC118" s="17">
        <v>1</v>
      </c>
      <c r="BD118" s="33" t="s">
        <v>461</v>
      </c>
      <c r="BE118" s="17">
        <v>1</v>
      </c>
      <c r="BF118" s="33" t="s">
        <v>657</v>
      </c>
      <c r="BG118" s="17">
        <v>0</v>
      </c>
      <c r="BH118" s="33" t="s">
        <v>5315</v>
      </c>
      <c r="BI118" s="18">
        <v>1</v>
      </c>
      <c r="BJ118" s="33">
        <v>14</v>
      </c>
      <c r="BK118" s="33" t="s">
        <v>5316</v>
      </c>
      <c r="BL118" s="47"/>
      <c r="BM118" s="47">
        <v>1</v>
      </c>
      <c r="BN118" s="47"/>
      <c r="BO118" s="47"/>
      <c r="BP118" s="47"/>
      <c r="BQ118" s="47"/>
      <c r="BR118" s="47"/>
      <c r="BS118" s="47"/>
      <c r="BT118" s="47"/>
      <c r="BU118" s="47"/>
      <c r="BV118" s="47">
        <v>1</v>
      </c>
      <c r="BW118" s="47"/>
      <c r="BX118" s="47"/>
      <c r="BY118" s="47"/>
      <c r="BZ118" s="47"/>
      <c r="CA118" s="47"/>
      <c r="CB118" s="47"/>
      <c r="CC118" s="47"/>
      <c r="CD118" s="47"/>
      <c r="CE118" s="47"/>
      <c r="CF118" s="47"/>
      <c r="CG118" s="33">
        <v>29</v>
      </c>
      <c r="CH118" s="33">
        <v>0</v>
      </c>
      <c r="CI118" s="33">
        <v>0</v>
      </c>
      <c r="CJ118" s="33">
        <v>0</v>
      </c>
      <c r="CK118" s="33" t="s">
        <v>2158</v>
      </c>
      <c r="CL118" s="33"/>
      <c r="CM118" s="33" t="s">
        <v>4164</v>
      </c>
      <c r="CN118" s="17">
        <v>0</v>
      </c>
      <c r="CO118" s="17">
        <v>0</v>
      </c>
      <c r="CP118" s="17">
        <v>0</v>
      </c>
      <c r="CQ118" s="17">
        <v>1</v>
      </c>
      <c r="CR118" s="33" t="s">
        <v>4534</v>
      </c>
      <c r="CS118" s="33" t="s">
        <v>998</v>
      </c>
      <c r="CT118" s="66">
        <v>0.98</v>
      </c>
      <c r="CU118" s="33" t="s">
        <v>5317</v>
      </c>
      <c r="CV118" s="33" t="s">
        <v>5318</v>
      </c>
      <c r="CW118" s="33" t="s">
        <v>431</v>
      </c>
      <c r="CX118" s="33" t="s">
        <v>4541</v>
      </c>
      <c r="CY118" s="17">
        <v>1</v>
      </c>
      <c r="CZ118" s="33" t="s">
        <v>3997</v>
      </c>
      <c r="DA118" s="34"/>
    </row>
    <row r="119" spans="1:105" ht="42.75">
      <c r="A119" s="9">
        <v>2658</v>
      </c>
      <c r="B119" s="10">
        <v>45685</v>
      </c>
      <c r="C119" s="11" t="s">
        <v>2139</v>
      </c>
      <c r="D119" s="10">
        <v>26847</v>
      </c>
      <c r="E119" s="52">
        <f ca="1">_xlfn.DAYS(NOW(),Tabella2[[#This Row],[Data Nascita]])/365.25</f>
        <v>52.090349075975361</v>
      </c>
      <c r="F119" s="11" t="s">
        <v>2140</v>
      </c>
      <c r="G119" s="11" t="s">
        <v>2141</v>
      </c>
      <c r="H119" s="11" t="s">
        <v>5203</v>
      </c>
      <c r="I119" s="11" t="s">
        <v>3948</v>
      </c>
      <c r="J119" s="11" t="s">
        <v>5319</v>
      </c>
      <c r="K119" s="11"/>
      <c r="L119" s="11" t="s">
        <v>5320</v>
      </c>
      <c r="M119" s="11" t="s">
        <v>5272</v>
      </c>
      <c r="N119" s="11" t="s">
        <v>195</v>
      </c>
      <c r="O119" s="17">
        <v>0</v>
      </c>
      <c r="P119" s="17">
        <v>1</v>
      </c>
      <c r="Q119" s="11" t="s">
        <v>195</v>
      </c>
      <c r="R119" s="11" t="s">
        <v>195</v>
      </c>
      <c r="S119" s="11" t="s">
        <v>5213</v>
      </c>
      <c r="T119" s="11" t="s">
        <v>439</v>
      </c>
      <c r="U119" s="18">
        <f>IF(ISERROR(SEARCH("null",Tabella2[[#This Row],[Patologia respiratoria nota]],1)),0,1)</f>
        <v>0</v>
      </c>
      <c r="V119" s="17">
        <f>IF(ISERROR(SEARCH("MUTA",Tabella2[[#This Row],[Patologia respiratoria nota]],1)),0,1)</f>
        <v>0</v>
      </c>
      <c r="W119" s="18">
        <f>IF(ISERROR(SEARCH("OSAS",Tabella2[[#This Row],[Patologia respiratoria nota]],1)),0,1)</f>
        <v>1</v>
      </c>
      <c r="X119" s="17">
        <f>IF(ISERROR(SEARCH("BPCO",Tabella2[[#This Row],[Patologia respiratoria nota]],1)),0,1)</f>
        <v>0</v>
      </c>
      <c r="Y119" s="17">
        <f>IF(ISERROR(SEARCH("ASMA",Tabella2[[#This Row],[Patologia respiratoria nota]],1)),0,1)</f>
        <v>0</v>
      </c>
      <c r="Z119" s="17">
        <f>IF(ISERROR(SEARCH("ASMA, OSAS",Tabella2[[#This Row],[Patologia respiratoria nota]],1)),0,1)</f>
        <v>0</v>
      </c>
      <c r="AA119" s="17">
        <f>IF(ISERROR(SEARCH("BPCO, OSAS",Tabella2[[#This Row],[Patologia respiratoria nota]],1)),0,1)</f>
        <v>0</v>
      </c>
      <c r="AB119" s="17">
        <f>IF(ISERROR(SEARCH("ASMA, BPCO, OSAS",Tabella2[[#This Row],[Patologia respiratoria nota]],1)),0,1)</f>
        <v>0</v>
      </c>
      <c r="AC119" s="15" t="s">
        <v>657</v>
      </c>
      <c r="AD119" s="19">
        <f>IF(ISERROR(SEARCH("NDD",Tabella2[[#This Row],[Tosse]],1)),0,1)</f>
        <v>0</v>
      </c>
      <c r="AE119" s="19">
        <f>IF(ISERROR(SEARCH("NEGA",Tabella2[[#This Row],[Tosse]],1)),0,1)</f>
        <v>1</v>
      </c>
      <c r="AF119" s="19">
        <f>IF(ISERROR(SEARCH("OCCASIONALMENTE",Tabella2[[#This Row],[Tosse]],1)),0,1)</f>
        <v>0</v>
      </c>
      <c r="AG119" s="19">
        <f>IF(ISERROR(SEARCH("RARAMENTE",Tabella2[[#This Row],[Tosse]],1)),0,1)</f>
        <v>0</v>
      </c>
      <c r="AH119" s="19">
        <f>IF(ISERROR(SEARCH("SI",Tabella2[[#This Row],[Tosse]],1)),0,1)</f>
        <v>0</v>
      </c>
      <c r="AI119" s="11" t="s">
        <v>5498</v>
      </c>
      <c r="AJ119" s="18">
        <f>IF(ISERROR(SEARCH("SI",Tabella2[[#This Row],[Espettorazione]],1)),0,1)</f>
        <v>1</v>
      </c>
      <c r="AK119" s="17">
        <v>0</v>
      </c>
      <c r="AL119" s="18">
        <f>IF(ISERROR(SEARCH("NDD",Tabella2[[#This Row],[Espettorazione]],1)),0,1)</f>
        <v>0</v>
      </c>
      <c r="AM119" s="11" t="s">
        <v>657</v>
      </c>
      <c r="AN119" s="17">
        <v>0</v>
      </c>
      <c r="AO119" s="11" t="s">
        <v>5565</v>
      </c>
      <c r="AP119" s="17">
        <f>IF(ISERROR(SEARCH("NEGA",Tabella2[[#This Row],[Dispnea da sforzo]],1)),0,1)</f>
        <v>0</v>
      </c>
      <c r="AQ119" s="17">
        <f>IF(ISERROR(SEARCH("NEGA",Tabella2[[#This Row],[Dispnea da sforzo]],1)),1,0)</f>
        <v>1</v>
      </c>
      <c r="AR119" s="17">
        <f>IF(ISERROR(SEARCH("LIEVI",Tabella2[[#This Row],[Dispnea da sforzo]],1)),0,1)</f>
        <v>0</v>
      </c>
      <c r="AS119" s="17">
        <f>IF(ISERROR(SEARCH("MODERATI",Tabella2[[#This Row],[Dispnea da sforzo]],1)),0,1)</f>
        <v>1</v>
      </c>
      <c r="AT119" s="17">
        <f>IF(ISERROR(SEARCH("INTENSI",Tabella2[[#This Row],[Dispnea da sforzo]],1)),0,1)</f>
        <v>0</v>
      </c>
      <c r="AU119" s="11" t="s">
        <v>657</v>
      </c>
      <c r="AV119" s="18">
        <f>IF(ISERROR(SEARCH("NEGA",Tabella2[[#This Row],[Dispnea a riposo]],1)),0,1)</f>
        <v>1</v>
      </c>
      <c r="AW119" s="18">
        <f>IF(ISERROR(SEARCH("NDD",Tabella2[[#This Row],[Dispnea a riposo]],1)),0,1)</f>
        <v>0</v>
      </c>
      <c r="AX119" s="11" t="s">
        <v>657</v>
      </c>
      <c r="AY119" s="17">
        <v>0</v>
      </c>
      <c r="AZ119" s="11" t="s">
        <v>28</v>
      </c>
      <c r="BA119" s="17">
        <v>1</v>
      </c>
      <c r="BB119" s="11" t="s">
        <v>5321</v>
      </c>
      <c r="BC119" s="17">
        <v>1</v>
      </c>
      <c r="BD119" s="37" t="s">
        <v>5477</v>
      </c>
      <c r="BE119" s="18">
        <v>0</v>
      </c>
      <c r="BF119" s="11" t="s">
        <v>312</v>
      </c>
      <c r="BG119" s="17">
        <v>1</v>
      </c>
      <c r="BH119" s="11" t="s">
        <v>26</v>
      </c>
      <c r="BI119" s="18">
        <v>1</v>
      </c>
      <c r="BJ119" s="11">
        <v>14</v>
      </c>
      <c r="BK119" s="11" t="s">
        <v>5322</v>
      </c>
      <c r="BL119" s="18" t="s">
        <v>5733</v>
      </c>
      <c r="BM119" s="18"/>
      <c r="BN119" s="18"/>
      <c r="BO119" s="18"/>
      <c r="BP119" s="18"/>
      <c r="BQ119" s="18"/>
      <c r="BR119" s="18"/>
      <c r="BS119" s="18"/>
      <c r="BT119" s="18"/>
      <c r="BU119" s="18"/>
      <c r="BV119" s="18"/>
      <c r="BW119" s="18"/>
      <c r="BX119" s="18"/>
      <c r="BY119" s="18"/>
      <c r="BZ119" s="18"/>
      <c r="CA119" s="18"/>
      <c r="CB119" s="18"/>
      <c r="CC119" s="18"/>
      <c r="CD119" s="18"/>
      <c r="CE119" s="18"/>
      <c r="CF119" s="18"/>
      <c r="CG119" s="11">
        <v>27</v>
      </c>
      <c r="CH119" s="11">
        <v>0</v>
      </c>
      <c r="CI119" s="11">
        <v>98</v>
      </c>
      <c r="CJ119" s="11">
        <v>77</v>
      </c>
      <c r="CK119" s="11"/>
      <c r="CL119" s="11"/>
      <c r="CM119" s="11" t="s">
        <v>3997</v>
      </c>
      <c r="CN119" s="17">
        <v>0</v>
      </c>
      <c r="CO119" s="17">
        <v>1</v>
      </c>
      <c r="CP119" s="17">
        <v>0</v>
      </c>
      <c r="CQ119" s="17">
        <v>0</v>
      </c>
      <c r="CR119" s="11" t="s">
        <v>5323</v>
      </c>
      <c r="CS119" s="11" t="s">
        <v>5324</v>
      </c>
      <c r="CT119" s="65">
        <v>0.80500000000000005</v>
      </c>
      <c r="CU119" s="11" t="s">
        <v>5325</v>
      </c>
      <c r="CV119" s="11" t="s">
        <v>5326</v>
      </c>
      <c r="CW119" s="11" t="s">
        <v>5327</v>
      </c>
      <c r="CX119" s="11" t="s">
        <v>4803</v>
      </c>
      <c r="CY119" s="17">
        <v>1</v>
      </c>
      <c r="CZ119" s="11" t="s">
        <v>4789</v>
      </c>
      <c r="DA119" s="12"/>
    </row>
    <row r="120" spans="1:105" ht="42.75">
      <c r="A120" s="5">
        <v>2665</v>
      </c>
      <c r="B120" s="6">
        <v>45688</v>
      </c>
      <c r="C120" s="7" t="s">
        <v>5328</v>
      </c>
      <c r="D120" s="6">
        <v>16474</v>
      </c>
      <c r="E120" s="51">
        <f ca="1">_xlfn.DAYS(NOW(),Tabella2[[#This Row],[Data Nascita]])/365.25</f>
        <v>80.490075290896641</v>
      </c>
      <c r="F120" s="7" t="s">
        <v>5329</v>
      </c>
      <c r="G120" s="7" t="s">
        <v>5330</v>
      </c>
      <c r="H120" s="7" t="s">
        <v>5203</v>
      </c>
      <c r="I120" s="7" t="s">
        <v>3948</v>
      </c>
      <c r="J120" s="7" t="s">
        <v>5331</v>
      </c>
      <c r="K120" s="7"/>
      <c r="L120" s="7" t="s">
        <v>5265</v>
      </c>
      <c r="M120" s="7" t="s">
        <v>5082</v>
      </c>
      <c r="N120" s="7" t="s">
        <v>195</v>
      </c>
      <c r="O120" s="17">
        <v>0</v>
      </c>
      <c r="P120" s="17">
        <v>1</v>
      </c>
      <c r="Q120" s="7" t="s">
        <v>195</v>
      </c>
      <c r="R120" s="7" t="s">
        <v>195</v>
      </c>
      <c r="S120" s="7" t="s">
        <v>5332</v>
      </c>
      <c r="T120" s="7" t="s">
        <v>4850</v>
      </c>
      <c r="U120" s="17">
        <f>IF(ISERROR(SEARCH("null",Tabella2[[#This Row],[Patologia respiratoria nota]],1)),0,1)</f>
        <v>0</v>
      </c>
      <c r="V120" s="17">
        <f>IF(ISERROR(SEARCH("MUTA",Tabella2[[#This Row],[Patologia respiratoria nota]],1)),0,1)</f>
        <v>0</v>
      </c>
      <c r="W120" s="17">
        <f>IF(ISERROR(SEARCH("OSAS",Tabella2[[#This Row],[Patologia respiratoria nota]],1)),0,1)</f>
        <v>1</v>
      </c>
      <c r="X120" s="17">
        <f>IF(ISERROR(SEARCH("BPCO",Tabella2[[#This Row],[Patologia respiratoria nota]],1)),0,1)</f>
        <v>0</v>
      </c>
      <c r="Y120" s="17">
        <f>IF(ISERROR(SEARCH("ASMA",Tabella2[[#This Row],[Patologia respiratoria nota]],1)),0,1)</f>
        <v>0</v>
      </c>
      <c r="Z120" s="17">
        <f>IF(ISERROR(SEARCH("ASMA, OSAS",Tabella2[[#This Row],[Patologia respiratoria nota]],1)),0,1)</f>
        <v>0</v>
      </c>
      <c r="AA120" s="17">
        <f>IF(ISERROR(SEARCH("BPCO, OSAS",Tabella2[[#This Row],[Patologia respiratoria nota]],1)),0,1)</f>
        <v>0</v>
      </c>
      <c r="AB120" s="17">
        <f>IF(ISERROR(SEARCH("ASMA, BPCO, OSAS",Tabella2[[#This Row],[Patologia respiratoria nota]],1)),0,1)</f>
        <v>0</v>
      </c>
      <c r="AC120" s="15" t="s">
        <v>657</v>
      </c>
      <c r="AD120" s="19">
        <f>IF(ISERROR(SEARCH("NDD",Tabella2[[#This Row],[Tosse]],1)),0,1)</f>
        <v>0</v>
      </c>
      <c r="AE120" s="19">
        <f>IF(ISERROR(SEARCH("NEGA",Tabella2[[#This Row],[Tosse]],1)),0,1)</f>
        <v>1</v>
      </c>
      <c r="AF120" s="19">
        <f>IF(ISERROR(SEARCH("OCCASIONALMENTE",Tabella2[[#This Row],[Tosse]],1)),0,1)</f>
        <v>0</v>
      </c>
      <c r="AG120" s="19">
        <f>IF(ISERROR(SEARCH("RARAMENTE",Tabella2[[#This Row],[Tosse]],1)),0,1)</f>
        <v>0</v>
      </c>
      <c r="AH120" s="19">
        <f>IF(ISERROR(SEARCH("SI",Tabella2[[#This Row],[Tosse]],1)),0,1)</f>
        <v>0</v>
      </c>
      <c r="AI120" s="7" t="s">
        <v>657</v>
      </c>
      <c r="AJ120" s="17">
        <f>IF(ISERROR(SEARCH("SI",Tabella2[[#This Row],[Espettorazione]],1)),0,1)</f>
        <v>0</v>
      </c>
      <c r="AK120" s="17">
        <f>IF(ISERROR(SEARCH("NEGA",Tabella2[[#This Row],[Espettorazione]],1)),0,1)</f>
        <v>1</v>
      </c>
      <c r="AL120" s="17">
        <f>IF(ISERROR(SEARCH("NDD",Tabella2[[#This Row],[Espettorazione]],1)),0,1)</f>
        <v>0</v>
      </c>
      <c r="AM120" s="7" t="s">
        <v>28</v>
      </c>
      <c r="AN120" s="17">
        <v>1</v>
      </c>
      <c r="AO120" s="7" t="s">
        <v>5567</v>
      </c>
      <c r="AP120" s="17">
        <f>IF(ISERROR(SEARCH("NEGA",Tabella2[[#This Row],[Dispnea da sforzo]],1)),0,1)</f>
        <v>0</v>
      </c>
      <c r="AQ120" s="17">
        <f>IF(ISERROR(SEARCH("NEGA",Tabella2[[#This Row],[Dispnea da sforzo]],1)),1,0)</f>
        <v>1</v>
      </c>
      <c r="AR120" s="17">
        <f>IF(ISERROR(SEARCH("LIEVI",Tabella2[[#This Row],[Dispnea da sforzo]],1)),0,1)</f>
        <v>0</v>
      </c>
      <c r="AS120" s="17">
        <f>IF(ISERROR(SEARCH("MODERATI",Tabella2[[#This Row],[Dispnea da sforzo]],1)),0,1)</f>
        <v>1</v>
      </c>
      <c r="AT120" s="17">
        <f>IF(ISERROR(SEARCH("INTENSI",Tabella2[[#This Row],[Dispnea da sforzo]],1)),0,1)</f>
        <v>0</v>
      </c>
      <c r="AU120" s="7" t="s">
        <v>657</v>
      </c>
      <c r="AV120" s="17">
        <f>IF(ISERROR(SEARCH("NEGA",Tabella2[[#This Row],[Dispnea a riposo]],1)),0,1)</f>
        <v>1</v>
      </c>
      <c r="AW120" s="17">
        <f>IF(ISERROR(SEARCH("NDD",Tabella2[[#This Row],[Dispnea a riposo]],1)),0,1)</f>
        <v>0</v>
      </c>
      <c r="AX120" s="7" t="s">
        <v>657</v>
      </c>
      <c r="AY120" s="17">
        <v>0</v>
      </c>
      <c r="AZ120" s="7" t="s">
        <v>657</v>
      </c>
      <c r="BA120" s="18">
        <v>0</v>
      </c>
      <c r="BB120" s="7" t="s">
        <v>28</v>
      </c>
      <c r="BC120" s="17">
        <v>1</v>
      </c>
      <c r="BD120" s="37" t="s">
        <v>5477</v>
      </c>
      <c r="BE120" s="17">
        <v>0</v>
      </c>
      <c r="BF120" s="7" t="s">
        <v>657</v>
      </c>
      <c r="BG120" s="17">
        <v>0</v>
      </c>
      <c r="BH120" s="7" t="s">
        <v>657</v>
      </c>
      <c r="BI120" s="17">
        <v>0</v>
      </c>
      <c r="BJ120" s="7">
        <v>18</v>
      </c>
      <c r="BK120" s="7" t="s">
        <v>5333</v>
      </c>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7"/>
      <c r="CH120" s="7">
        <v>0</v>
      </c>
      <c r="CI120" s="7">
        <v>97</v>
      </c>
      <c r="CJ120" s="7">
        <v>73</v>
      </c>
      <c r="CK120" s="7" t="s">
        <v>5334</v>
      </c>
      <c r="CL120" s="7"/>
      <c r="CM120" s="7" t="s">
        <v>4179</v>
      </c>
      <c r="CN120" s="17">
        <v>0</v>
      </c>
      <c r="CO120" s="17">
        <v>0</v>
      </c>
      <c r="CP120" s="17">
        <v>1</v>
      </c>
      <c r="CQ120" s="17">
        <v>0</v>
      </c>
      <c r="CR120" s="7" t="s">
        <v>5335</v>
      </c>
      <c r="CS120" s="7" t="s">
        <v>5336</v>
      </c>
      <c r="CT120" s="64">
        <v>0.33300000000000002</v>
      </c>
      <c r="CU120" s="7" t="s">
        <v>5337</v>
      </c>
      <c r="CV120" s="7" t="s">
        <v>5338</v>
      </c>
      <c r="CW120" s="7" t="s">
        <v>5339</v>
      </c>
      <c r="CX120" s="7" t="s">
        <v>194</v>
      </c>
      <c r="CY120" s="17">
        <v>1</v>
      </c>
      <c r="CZ120" s="7" t="s">
        <v>5235</v>
      </c>
      <c r="DA120" s="8" t="s">
        <v>5340</v>
      </c>
    </row>
    <row r="121" spans="1:105" s="54" customFormat="1" ht="28.5">
      <c r="A121" s="9">
        <v>2705</v>
      </c>
      <c r="B121" s="10">
        <v>45705</v>
      </c>
      <c r="C121" s="11" t="s">
        <v>5341</v>
      </c>
      <c r="D121" s="10">
        <v>19054</v>
      </c>
      <c r="E121" s="52">
        <f ca="1">_xlfn.DAYS(NOW(),Tabella2[[#This Row],[Data Nascita]])/365.25</f>
        <v>73.426420260095824</v>
      </c>
      <c r="F121" s="11" t="s">
        <v>5342</v>
      </c>
      <c r="G121" s="11" t="s">
        <v>5343</v>
      </c>
      <c r="H121" s="11" t="s">
        <v>5195</v>
      </c>
      <c r="I121" s="11" t="s">
        <v>2238</v>
      </c>
      <c r="J121" s="11" t="s">
        <v>5344</v>
      </c>
      <c r="K121" s="11"/>
      <c r="L121" s="11" t="s">
        <v>5345</v>
      </c>
      <c r="M121" s="11" t="s">
        <v>5346</v>
      </c>
      <c r="N121" s="11" t="s">
        <v>195</v>
      </c>
      <c r="O121" s="17">
        <v>0</v>
      </c>
      <c r="P121" s="17">
        <v>1</v>
      </c>
      <c r="Q121" s="11" t="s">
        <v>195</v>
      </c>
      <c r="R121" s="11" t="s">
        <v>195</v>
      </c>
      <c r="S121" s="11" t="s">
        <v>5347</v>
      </c>
      <c r="T121" s="11" t="s">
        <v>5424</v>
      </c>
      <c r="U121" s="18">
        <f>IF(ISERROR(SEARCH("null",Tabella2[[#This Row],[Patologia respiratoria nota]],1)),0,1)</f>
        <v>0</v>
      </c>
      <c r="V121" s="17">
        <f>IF(ISERROR(SEARCH("MUTA",Tabella2[[#This Row],[Patologia respiratoria nota]],1)),0,1)</f>
        <v>0</v>
      </c>
      <c r="W121" s="18">
        <f>IF(ISERROR(SEARCH("OSAS",Tabella2[[#This Row],[Patologia respiratoria nota]],1)),0,1)</f>
        <v>1</v>
      </c>
      <c r="X121" s="17">
        <f>IF(ISERROR(SEARCH("BPCO",Tabella2[[#This Row],[Patologia respiratoria nota]],1)),0,1)</f>
        <v>0</v>
      </c>
      <c r="Y121" s="17">
        <f>IF(ISERROR(SEARCH("ASMA",Tabella2[[#This Row],[Patologia respiratoria nota]],1)),0,1)</f>
        <v>1</v>
      </c>
      <c r="Z121" s="17">
        <f>IF(ISERROR(SEARCH("ASMA, OSAS",Tabella2[[#This Row],[Patologia respiratoria nota]],1)),0,1)</f>
        <v>0</v>
      </c>
      <c r="AA121" s="17">
        <f>IF(ISERROR(SEARCH("BPCO, OSAS",Tabella2[[#This Row],[Patologia respiratoria nota]],1)),0,1)</f>
        <v>0</v>
      </c>
      <c r="AB121" s="17">
        <f>IF(ISERROR(SEARCH("ASMA, BPCO, OSAS",Tabella2[[#This Row],[Patologia respiratoria nota]],1)),0,1)</f>
        <v>0</v>
      </c>
      <c r="AC121" s="15" t="s">
        <v>657</v>
      </c>
      <c r="AD121" s="19">
        <f>IF(ISERROR(SEARCH("NDD",Tabella2[[#This Row],[Tosse]],1)),0,1)</f>
        <v>0</v>
      </c>
      <c r="AE121" s="19">
        <f>IF(ISERROR(SEARCH("NEGA",Tabella2[[#This Row],[Tosse]],1)),0,1)</f>
        <v>1</v>
      </c>
      <c r="AF121" s="19">
        <f>IF(ISERROR(SEARCH("OCCASIONALMENTE",Tabella2[[#This Row],[Tosse]],1)),0,1)</f>
        <v>0</v>
      </c>
      <c r="AG121" s="19">
        <f>IF(ISERROR(SEARCH("RARAMENTE",Tabella2[[#This Row],[Tosse]],1)),0,1)</f>
        <v>0</v>
      </c>
      <c r="AH121" s="19">
        <f>IF(ISERROR(SEARCH("SI",Tabella2[[#This Row],[Tosse]],1)),0,1)</f>
        <v>0</v>
      </c>
      <c r="AI121" s="11" t="s">
        <v>657</v>
      </c>
      <c r="AJ121" s="18">
        <f>IF(ISERROR(SEARCH("SI",Tabella2[[#This Row],[Espettorazione]],1)),0,1)</f>
        <v>0</v>
      </c>
      <c r="AK121" s="18">
        <f>IF(ISERROR(SEARCH("NEGA",Tabella2[[#This Row],[Espettorazione]],1)),0,1)</f>
        <v>1</v>
      </c>
      <c r="AL121" s="18">
        <f>IF(ISERROR(SEARCH("NDD",Tabella2[[#This Row],[Espettorazione]],1)),0,1)</f>
        <v>0</v>
      </c>
      <c r="AM121" s="11" t="s">
        <v>657</v>
      </c>
      <c r="AN121" s="17">
        <v>0</v>
      </c>
      <c r="AO121" s="11" t="s">
        <v>516</v>
      </c>
      <c r="AP121" s="17">
        <f>IF(ISERROR(SEARCH("NEGA",Tabella2[[#This Row],[Dispnea da sforzo]],1)),0,1)</f>
        <v>0</v>
      </c>
      <c r="AQ121" s="17">
        <f>IF(ISERROR(SEARCH("NEGA",Tabella2[[#This Row],[Dispnea da sforzo]],1)),1,0)</f>
        <v>1</v>
      </c>
      <c r="AR121" s="17">
        <f>IF(ISERROR(SEARCH("LIEVI",Tabella2[[#This Row],[Dispnea da sforzo]],1)),0,1)</f>
        <v>0</v>
      </c>
      <c r="AS121" s="17">
        <f>IF(ISERROR(SEARCH("MODERATI",Tabella2[[#This Row],[Dispnea da sforzo]],1)),0,1)</f>
        <v>0</v>
      </c>
      <c r="AT121" s="17">
        <f>IF(ISERROR(SEARCH("INTENSI",Tabella2[[#This Row],[Dispnea da sforzo]],1)),0,1)</f>
        <v>0</v>
      </c>
      <c r="AU121" s="11" t="s">
        <v>657</v>
      </c>
      <c r="AV121" s="18">
        <f>IF(ISERROR(SEARCH("NEGA",Tabella2[[#This Row],[Dispnea a riposo]],1)),0,1)</f>
        <v>1</v>
      </c>
      <c r="AW121" s="18">
        <f>IF(ISERROR(SEARCH("NDD",Tabella2[[#This Row],[Dispnea a riposo]],1)),0,1)</f>
        <v>0</v>
      </c>
      <c r="AX121" s="11" t="s">
        <v>5348</v>
      </c>
      <c r="AY121" s="18">
        <v>1</v>
      </c>
      <c r="AZ121" s="11" t="s">
        <v>657</v>
      </c>
      <c r="BA121" s="18">
        <v>0</v>
      </c>
      <c r="BB121" s="11" t="s">
        <v>3578</v>
      </c>
      <c r="BC121" s="17">
        <v>1</v>
      </c>
      <c r="BD121" s="11" t="s">
        <v>516</v>
      </c>
      <c r="BE121" s="17">
        <v>1</v>
      </c>
      <c r="BF121" s="11" t="s">
        <v>3448</v>
      </c>
      <c r="BG121" s="17">
        <v>1</v>
      </c>
      <c r="BH121" s="11" t="s">
        <v>657</v>
      </c>
      <c r="BI121" s="17">
        <v>0</v>
      </c>
      <c r="BJ121" s="11">
        <v>14</v>
      </c>
      <c r="BK121" s="11"/>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1">
        <v>26</v>
      </c>
      <c r="CH121" s="11">
        <v>0</v>
      </c>
      <c r="CI121" s="11">
        <v>97</v>
      </c>
      <c r="CJ121" s="11">
        <v>70</v>
      </c>
      <c r="CK121" s="11" t="s">
        <v>2514</v>
      </c>
      <c r="CL121" s="11" t="s">
        <v>5349</v>
      </c>
      <c r="CM121" s="11" t="s">
        <v>5350</v>
      </c>
      <c r="CN121" s="17">
        <v>0</v>
      </c>
      <c r="CO121" s="17">
        <v>0</v>
      </c>
      <c r="CP121" s="17">
        <v>0</v>
      </c>
      <c r="CQ121" s="17">
        <v>0</v>
      </c>
      <c r="CR121" s="11" t="s">
        <v>5351</v>
      </c>
      <c r="CS121" s="11" t="s">
        <v>5352</v>
      </c>
      <c r="CT121" s="65">
        <v>0.76</v>
      </c>
      <c r="CU121" s="11" t="s">
        <v>5353</v>
      </c>
      <c r="CV121" s="11" t="s">
        <v>5354</v>
      </c>
      <c r="CW121" s="11" t="s">
        <v>4750</v>
      </c>
      <c r="CX121" s="11" t="s">
        <v>4541</v>
      </c>
      <c r="CY121" s="17">
        <v>1</v>
      </c>
      <c r="CZ121" s="11" t="s">
        <v>5355</v>
      </c>
      <c r="DA121" s="12"/>
    </row>
    <row r="122" spans="1:105" customFormat="1" ht="57">
      <c r="A122" s="31">
        <v>2725</v>
      </c>
      <c r="B122" s="32">
        <v>45712</v>
      </c>
      <c r="C122" s="7" t="s">
        <v>5356</v>
      </c>
      <c r="D122" s="32">
        <v>26749</v>
      </c>
      <c r="E122" s="43">
        <f ca="1">_xlfn.DAYS(NOW(),Tabella2[[#This Row],[Data Nascita]])/365.25</f>
        <v>52.358658453114302</v>
      </c>
      <c r="F122" s="33" t="s">
        <v>5269</v>
      </c>
      <c r="G122" s="33" t="s">
        <v>3486</v>
      </c>
      <c r="H122" s="33" t="s">
        <v>5195</v>
      </c>
      <c r="I122" s="33" t="s">
        <v>2238</v>
      </c>
      <c r="J122" s="33" t="s">
        <v>5357</v>
      </c>
      <c r="K122" s="33"/>
      <c r="L122" s="33" t="s">
        <v>5358</v>
      </c>
      <c r="M122" s="33" t="s">
        <v>5359</v>
      </c>
      <c r="N122" s="33" t="s">
        <v>195</v>
      </c>
      <c r="O122" s="47">
        <v>0</v>
      </c>
      <c r="P122" s="47">
        <v>1</v>
      </c>
      <c r="Q122" s="33" t="s">
        <v>195</v>
      </c>
      <c r="R122" s="33" t="s">
        <v>5360</v>
      </c>
      <c r="S122" s="33" t="s">
        <v>5274</v>
      </c>
      <c r="T122" s="33" t="s">
        <v>5015</v>
      </c>
      <c r="U122" s="47">
        <f>IF(ISERROR(SEARCH("null",Tabella2[[#This Row],[Patologia respiratoria nota]],1)),0,1)</f>
        <v>0</v>
      </c>
      <c r="V122" s="47">
        <f>IF(ISERROR(SEARCH("MUTA",Tabella2[[#This Row],[Patologia respiratoria nota]],1)),0,1)</f>
        <v>0</v>
      </c>
      <c r="W122" s="47">
        <f>IF(ISERROR(SEARCH("OSAS",Tabella2[[#This Row],[Patologia respiratoria nota]],1)),0,1)</f>
        <v>1</v>
      </c>
      <c r="X122" s="47">
        <f>IF(ISERROR(SEARCH("BPCO",Tabella2[[#This Row],[Patologia respiratoria nota]],1)),0,1)</f>
        <v>0</v>
      </c>
      <c r="Y122" s="47">
        <f>IF(ISERROR(SEARCH("ASMA",Tabella2[[#This Row],[Patologia respiratoria nota]],1)),0,1)</f>
        <v>0</v>
      </c>
      <c r="Z122" s="47">
        <f>IF(ISERROR(SEARCH("ASMA, OSAS",Tabella2[[#This Row],[Patologia respiratoria nota]],1)),0,1)</f>
        <v>0</v>
      </c>
      <c r="AA122" s="47">
        <f>IF(ISERROR(SEARCH("BPCO, OSAS",Tabella2[[#This Row],[Patologia respiratoria nota]],1)),0,1)</f>
        <v>0</v>
      </c>
      <c r="AB122" s="47">
        <f>IF(ISERROR(SEARCH("ASMA, BPCO, OSAS",Tabella2[[#This Row],[Patologia respiratoria nota]],1)),0,1)</f>
        <v>0</v>
      </c>
      <c r="AC122" s="41" t="s">
        <v>657</v>
      </c>
      <c r="AD122" s="48">
        <f>IF(ISERROR(SEARCH("NDD",Tabella2[[#This Row],[Tosse]],1)),0,1)</f>
        <v>0</v>
      </c>
      <c r="AE122" s="48">
        <f>IF(ISERROR(SEARCH("NEGA",Tabella2[[#This Row],[Tosse]],1)),0,1)</f>
        <v>1</v>
      </c>
      <c r="AF122" s="48">
        <f>IF(ISERROR(SEARCH("OCCASIONALMENTE",Tabella2[[#This Row],[Tosse]],1)),0,1)</f>
        <v>0</v>
      </c>
      <c r="AG122" s="48">
        <f>IF(ISERROR(SEARCH("RARAMENTE",Tabella2[[#This Row],[Tosse]],1)),0,1)</f>
        <v>0</v>
      </c>
      <c r="AH122" s="48">
        <f>IF(ISERROR(SEARCH("SI",Tabella2[[#This Row],[Tosse]],1)),0,1)</f>
        <v>0</v>
      </c>
      <c r="AI122" s="33" t="s">
        <v>657</v>
      </c>
      <c r="AJ122" s="47">
        <f>IF(ISERROR(SEARCH("SI",Tabella2[[#This Row],[Espettorazione]],1)),0,1)</f>
        <v>0</v>
      </c>
      <c r="AK122" s="47">
        <f>IF(ISERROR(SEARCH("NEGA",Tabella2[[#This Row],[Espettorazione]],1)),0,1)</f>
        <v>1</v>
      </c>
      <c r="AL122" s="47">
        <f>IF(ISERROR(SEARCH("NDD",Tabella2[[#This Row],[Espettorazione]],1)),0,1)</f>
        <v>0</v>
      </c>
      <c r="AM122" s="33" t="s">
        <v>657</v>
      </c>
      <c r="AN122" s="47">
        <v>0</v>
      </c>
      <c r="AO122" s="33" t="s">
        <v>516</v>
      </c>
      <c r="AP122" s="47">
        <f>IF(ISERROR(SEARCH("NEGA",Tabella2[[#This Row],[Dispnea da sforzo]],1)),0,1)</f>
        <v>0</v>
      </c>
      <c r="AQ122" s="47">
        <f>IF(ISERROR(SEARCH("NEGA",Tabella2[[#This Row],[Dispnea da sforzo]],1)),1,0)</f>
        <v>1</v>
      </c>
      <c r="AR122" s="47">
        <f>IF(ISERROR(SEARCH("LIEVI",Tabella2[[#This Row],[Dispnea da sforzo]],1)),0,1)</f>
        <v>0</v>
      </c>
      <c r="AS122" s="47">
        <f>IF(ISERROR(SEARCH("MODERATI",Tabella2[[#This Row],[Dispnea da sforzo]],1)),0,1)</f>
        <v>0</v>
      </c>
      <c r="AT122" s="47">
        <f>IF(ISERROR(SEARCH("INTENSI",Tabella2[[#This Row],[Dispnea da sforzo]],1)),0,1)</f>
        <v>0</v>
      </c>
      <c r="AU122" s="33" t="s">
        <v>657</v>
      </c>
      <c r="AV122" s="47">
        <f>IF(ISERROR(SEARCH("NEGA",Tabella2[[#This Row],[Dispnea a riposo]],1)),0,1)</f>
        <v>1</v>
      </c>
      <c r="AW122" s="47">
        <f>IF(ISERROR(SEARCH("NDD",Tabella2[[#This Row],[Dispnea a riposo]],1)),0,1)</f>
        <v>0</v>
      </c>
      <c r="AX122" s="33" t="s">
        <v>5361</v>
      </c>
      <c r="AY122" s="46">
        <v>1</v>
      </c>
      <c r="AZ122" s="33" t="s">
        <v>516</v>
      </c>
      <c r="BA122" s="17">
        <v>1</v>
      </c>
      <c r="BB122" s="33" t="s">
        <v>3590</v>
      </c>
      <c r="BC122" s="17">
        <v>1</v>
      </c>
      <c r="BD122" s="33" t="s">
        <v>516</v>
      </c>
      <c r="BE122" s="17">
        <v>1</v>
      </c>
      <c r="BF122" s="33" t="s">
        <v>516</v>
      </c>
      <c r="BG122" s="17">
        <v>1</v>
      </c>
      <c r="BH122" s="33" t="s">
        <v>2365</v>
      </c>
      <c r="BI122" s="18">
        <v>1</v>
      </c>
      <c r="BJ122" s="33">
        <v>15</v>
      </c>
      <c r="BK122" s="33"/>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33">
        <v>39</v>
      </c>
      <c r="CH122" s="33">
        <v>0</v>
      </c>
      <c r="CI122" s="33">
        <v>99</v>
      </c>
      <c r="CJ122" s="33">
        <v>74</v>
      </c>
      <c r="CK122" s="33" t="s">
        <v>2514</v>
      </c>
      <c r="CL122" s="33" t="s">
        <v>5362</v>
      </c>
      <c r="CM122" s="33" t="s">
        <v>4179</v>
      </c>
      <c r="CN122" s="17">
        <v>0</v>
      </c>
      <c r="CO122" s="17">
        <v>0</v>
      </c>
      <c r="CP122" s="17">
        <v>1</v>
      </c>
      <c r="CQ122" s="17">
        <v>0</v>
      </c>
      <c r="CR122" s="33" t="s">
        <v>5363</v>
      </c>
      <c r="CS122" s="33" t="s">
        <v>5364</v>
      </c>
      <c r="CT122" s="66">
        <v>0.08</v>
      </c>
      <c r="CU122" s="33" t="s">
        <v>5365</v>
      </c>
      <c r="CV122" s="33" t="s">
        <v>5366</v>
      </c>
      <c r="CW122" s="33" t="s">
        <v>5367</v>
      </c>
      <c r="CX122" s="33" t="s">
        <v>4541</v>
      </c>
      <c r="CY122" s="17">
        <v>1</v>
      </c>
      <c r="CZ122" s="33" t="s">
        <v>5368</v>
      </c>
      <c r="DA122" s="34"/>
    </row>
    <row r="123" spans="1:105" ht="57">
      <c r="A123" s="9">
        <v>2730</v>
      </c>
      <c r="B123" s="10">
        <v>45714</v>
      </c>
      <c r="C123" s="11" t="s">
        <v>4019</v>
      </c>
      <c r="D123" s="10">
        <v>19676</v>
      </c>
      <c r="E123" s="52">
        <f ca="1">_xlfn.DAYS(NOW(),Tabella2[[#This Row],[Data Nascita]])/365.25</f>
        <v>71.723477070499655</v>
      </c>
      <c r="F123" s="11" t="s">
        <v>4020</v>
      </c>
      <c r="G123" s="11" t="s">
        <v>4021</v>
      </c>
      <c r="H123" s="11" t="s">
        <v>5195</v>
      </c>
      <c r="I123" s="11" t="s">
        <v>2238</v>
      </c>
      <c r="J123" s="11" t="s">
        <v>5369</v>
      </c>
      <c r="K123" s="11"/>
      <c r="L123" s="11" t="s">
        <v>5370</v>
      </c>
      <c r="M123" s="11" t="s">
        <v>5371</v>
      </c>
      <c r="N123" s="11" t="s">
        <v>195</v>
      </c>
      <c r="O123" s="17">
        <v>0</v>
      </c>
      <c r="P123" s="17">
        <v>1</v>
      </c>
      <c r="Q123" s="11" t="s">
        <v>195</v>
      </c>
      <c r="R123" s="11" t="s">
        <v>5372</v>
      </c>
      <c r="S123" s="11" t="s">
        <v>5373</v>
      </c>
      <c r="T123" s="11" t="s">
        <v>5015</v>
      </c>
      <c r="U123" s="18">
        <f>IF(ISERROR(SEARCH("null",Tabella2[[#This Row],[Patologia respiratoria nota]],1)),0,1)</f>
        <v>0</v>
      </c>
      <c r="V123" s="17">
        <f>IF(ISERROR(SEARCH("MUTA",Tabella2[[#This Row],[Patologia respiratoria nota]],1)),0,1)</f>
        <v>0</v>
      </c>
      <c r="W123" s="18">
        <f>IF(ISERROR(SEARCH("OSAS",Tabella2[[#This Row],[Patologia respiratoria nota]],1)),0,1)</f>
        <v>1</v>
      </c>
      <c r="X123" s="17">
        <f>IF(ISERROR(SEARCH("BPCO",Tabella2[[#This Row],[Patologia respiratoria nota]],1)),0,1)</f>
        <v>0</v>
      </c>
      <c r="Y123" s="17">
        <f>IF(ISERROR(SEARCH("ASMA",Tabella2[[#This Row],[Patologia respiratoria nota]],1)),0,1)</f>
        <v>0</v>
      </c>
      <c r="Z123" s="17">
        <f>IF(ISERROR(SEARCH("ASMA, OSAS",Tabella2[[#This Row],[Patologia respiratoria nota]],1)),0,1)</f>
        <v>0</v>
      </c>
      <c r="AA123" s="17">
        <f>IF(ISERROR(SEARCH("BPCO, OSAS",Tabella2[[#This Row],[Patologia respiratoria nota]],1)),0,1)</f>
        <v>0</v>
      </c>
      <c r="AB123" s="17">
        <f>IF(ISERROR(SEARCH("ASMA, BPCO, OSAS",Tabella2[[#This Row],[Patologia respiratoria nota]],1)),0,1)</f>
        <v>0</v>
      </c>
      <c r="AC123" s="11" t="s">
        <v>5374</v>
      </c>
      <c r="AD123" s="18">
        <f>IF(ISERROR(SEARCH("NDD",Tabella2[[#This Row],[Tosse]],1)),0,1)</f>
        <v>0</v>
      </c>
      <c r="AE123" s="18">
        <f>IF(ISERROR(SEARCH("NEGA",Tabella2[[#This Row],[Tosse]],1)),0,1)</f>
        <v>0</v>
      </c>
      <c r="AF123" s="18">
        <f>IF(ISERROR(SEARCH("OCCASIONALMENTE",Tabella2[[#This Row],[Tosse]],1)),0,1)</f>
        <v>0</v>
      </c>
      <c r="AG123" s="18">
        <f>IF(ISERROR(SEARCH("RARAMENTE",Tabella2[[#This Row],[Tosse]],1)),0,1)</f>
        <v>0</v>
      </c>
      <c r="AH123" s="17">
        <v>1</v>
      </c>
      <c r="AI123" s="11" t="s">
        <v>657</v>
      </c>
      <c r="AJ123" s="18">
        <f>IF(ISERROR(SEARCH("SI",Tabella2[[#This Row],[Espettorazione]],1)),0,1)</f>
        <v>0</v>
      </c>
      <c r="AK123" s="18">
        <f>IF(ISERROR(SEARCH("NEGA",Tabella2[[#This Row],[Espettorazione]],1)),0,1)</f>
        <v>1</v>
      </c>
      <c r="AL123" s="18">
        <f>IF(ISERROR(SEARCH("NDD",Tabella2[[#This Row],[Espettorazione]],1)),0,1)</f>
        <v>0</v>
      </c>
      <c r="AM123" s="11" t="s">
        <v>657</v>
      </c>
      <c r="AN123" s="17">
        <v>0</v>
      </c>
      <c r="AO123" s="11" t="s">
        <v>516</v>
      </c>
      <c r="AP123" s="17">
        <f>IF(ISERROR(SEARCH("NEGA",Tabella2[[#This Row],[Dispnea da sforzo]],1)),0,1)</f>
        <v>0</v>
      </c>
      <c r="AQ123" s="17">
        <f>IF(ISERROR(SEARCH("NEGA",Tabella2[[#This Row],[Dispnea da sforzo]],1)),1,0)</f>
        <v>1</v>
      </c>
      <c r="AR123" s="17">
        <f>IF(ISERROR(SEARCH("LIEVI",Tabella2[[#This Row],[Dispnea da sforzo]],1)),0,1)</f>
        <v>0</v>
      </c>
      <c r="AS123" s="17">
        <f>IF(ISERROR(SEARCH("MODERATI",Tabella2[[#This Row],[Dispnea da sforzo]],1)),0,1)</f>
        <v>0</v>
      </c>
      <c r="AT123" s="17">
        <f>IF(ISERROR(SEARCH("INTENSI",Tabella2[[#This Row],[Dispnea da sforzo]],1)),0,1)</f>
        <v>0</v>
      </c>
      <c r="AU123" s="11" t="s">
        <v>657</v>
      </c>
      <c r="AV123" s="18">
        <f>IF(ISERROR(SEARCH("NEGA",Tabella2[[#This Row],[Dispnea a riposo]],1)),0,1)</f>
        <v>1</v>
      </c>
      <c r="AW123" s="18">
        <f>IF(ISERROR(SEARCH("NDD",Tabella2[[#This Row],[Dispnea a riposo]],1)),0,1)</f>
        <v>0</v>
      </c>
      <c r="AX123" s="11" t="s">
        <v>657</v>
      </c>
      <c r="AY123" s="17">
        <v>0</v>
      </c>
      <c r="AZ123" s="11" t="s">
        <v>657</v>
      </c>
      <c r="BA123" s="18">
        <v>0</v>
      </c>
      <c r="BB123" s="11" t="s">
        <v>2936</v>
      </c>
      <c r="BC123" s="17">
        <v>1</v>
      </c>
      <c r="BD123" s="11" t="s">
        <v>312</v>
      </c>
      <c r="BE123" s="17">
        <v>1</v>
      </c>
      <c r="BF123" s="11" t="s">
        <v>516</v>
      </c>
      <c r="BG123" s="17">
        <v>1</v>
      </c>
      <c r="BH123" s="11" t="s">
        <v>657</v>
      </c>
      <c r="BI123" s="17">
        <v>0</v>
      </c>
      <c r="BJ123" s="11">
        <v>15</v>
      </c>
      <c r="BK123" s="11"/>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1">
        <v>42</v>
      </c>
      <c r="CH123" s="11">
        <v>0</v>
      </c>
      <c r="CI123" s="11">
        <v>96</v>
      </c>
      <c r="CJ123" s="11">
        <v>70</v>
      </c>
      <c r="CK123" s="11" t="s">
        <v>2514</v>
      </c>
      <c r="CL123" s="11" t="s">
        <v>5375</v>
      </c>
      <c r="CM123" s="11" t="s">
        <v>3997</v>
      </c>
      <c r="CN123" s="17">
        <v>0</v>
      </c>
      <c r="CO123" s="17">
        <v>1</v>
      </c>
      <c r="CP123" s="17">
        <v>0</v>
      </c>
      <c r="CQ123" s="17">
        <v>0</v>
      </c>
      <c r="CR123" s="11" t="s">
        <v>5376</v>
      </c>
      <c r="CS123" s="11" t="s">
        <v>5377</v>
      </c>
      <c r="CT123" s="65">
        <v>0.95399999999999996</v>
      </c>
      <c r="CU123" s="11" t="s">
        <v>5378</v>
      </c>
      <c r="CV123" s="11" t="s">
        <v>5379</v>
      </c>
      <c r="CW123" s="11" t="s">
        <v>5380</v>
      </c>
      <c r="CX123" s="11" t="s">
        <v>5381</v>
      </c>
      <c r="CY123" s="17">
        <v>1</v>
      </c>
      <c r="CZ123" s="11" t="s">
        <v>4789</v>
      </c>
      <c r="DA123" s="12" t="s">
        <v>5382</v>
      </c>
    </row>
    <row r="124" spans="1:105" ht="42.75">
      <c r="A124" s="5">
        <v>2777</v>
      </c>
      <c r="B124" s="6">
        <v>45730</v>
      </c>
      <c r="C124" s="7" t="s">
        <v>5383</v>
      </c>
      <c r="D124" s="6">
        <v>25615</v>
      </c>
      <c r="E124" s="51">
        <f ca="1">_xlfn.DAYS(NOW(),Tabella2[[#This Row],[Data Nascita]])/365.25</f>
        <v>55.463381245722111</v>
      </c>
      <c r="F124" s="7" t="s">
        <v>5384</v>
      </c>
      <c r="G124" s="7" t="s">
        <v>5385</v>
      </c>
      <c r="H124" s="7" t="s">
        <v>5195</v>
      </c>
      <c r="I124" s="7" t="s">
        <v>2238</v>
      </c>
      <c r="J124" s="7" t="s">
        <v>5386</v>
      </c>
      <c r="K124" s="7"/>
      <c r="L124" s="7" t="s">
        <v>5387</v>
      </c>
      <c r="M124" s="7" t="s">
        <v>5388</v>
      </c>
      <c r="N124" s="7" t="s">
        <v>195</v>
      </c>
      <c r="O124" s="17">
        <v>0</v>
      </c>
      <c r="P124" s="17">
        <v>1</v>
      </c>
      <c r="Q124" s="7" t="s">
        <v>195</v>
      </c>
      <c r="R124" s="7" t="s">
        <v>195</v>
      </c>
      <c r="S124" s="7" t="s">
        <v>5389</v>
      </c>
      <c r="T124" s="7" t="s">
        <v>5015</v>
      </c>
      <c r="U124" s="17">
        <f>IF(ISERROR(SEARCH("null",Tabella2[[#This Row],[Patologia respiratoria nota]],1)),0,1)</f>
        <v>0</v>
      </c>
      <c r="V124" s="17">
        <f>IF(ISERROR(SEARCH("MUTA",Tabella2[[#This Row],[Patologia respiratoria nota]],1)),0,1)</f>
        <v>0</v>
      </c>
      <c r="W124" s="17">
        <f>IF(ISERROR(SEARCH("OSAS",Tabella2[[#This Row],[Patologia respiratoria nota]],1)),0,1)</f>
        <v>1</v>
      </c>
      <c r="X124" s="17">
        <f>IF(ISERROR(SEARCH("BPCO",Tabella2[[#This Row],[Patologia respiratoria nota]],1)),0,1)</f>
        <v>0</v>
      </c>
      <c r="Y124" s="17">
        <f>IF(ISERROR(SEARCH("ASMA",Tabella2[[#This Row],[Patologia respiratoria nota]],1)),0,1)</f>
        <v>0</v>
      </c>
      <c r="Z124" s="17">
        <f>IF(ISERROR(SEARCH("ASMA, OSAS",Tabella2[[#This Row],[Patologia respiratoria nota]],1)),0,1)</f>
        <v>0</v>
      </c>
      <c r="AA124" s="17">
        <f>IF(ISERROR(SEARCH("BPCO, OSAS",Tabella2[[#This Row],[Patologia respiratoria nota]],1)),0,1)</f>
        <v>0</v>
      </c>
      <c r="AB124" s="17">
        <f>IF(ISERROR(SEARCH("ASMA, BPCO, OSAS",Tabella2[[#This Row],[Patologia respiratoria nota]],1)),0,1)</f>
        <v>0</v>
      </c>
      <c r="AC124" s="15" t="s">
        <v>657</v>
      </c>
      <c r="AD124" s="19">
        <f>IF(ISERROR(SEARCH("NDD",Tabella2[[#This Row],[Tosse]],1)),0,1)</f>
        <v>0</v>
      </c>
      <c r="AE124" s="19">
        <f>IF(ISERROR(SEARCH("NEGA",Tabella2[[#This Row],[Tosse]],1)),0,1)</f>
        <v>1</v>
      </c>
      <c r="AF124" s="19">
        <f>IF(ISERROR(SEARCH("OCCASIONALMENTE",Tabella2[[#This Row],[Tosse]],1)),0,1)</f>
        <v>0</v>
      </c>
      <c r="AG124" s="19">
        <f>IF(ISERROR(SEARCH("RARAMENTE",Tabella2[[#This Row],[Tosse]],1)),0,1)</f>
        <v>0</v>
      </c>
      <c r="AH124" s="19">
        <f>IF(ISERROR(SEARCH("SI",Tabella2[[#This Row],[Tosse]],1)),0,1)</f>
        <v>0</v>
      </c>
      <c r="AI124" s="7" t="s">
        <v>657</v>
      </c>
      <c r="AJ124" s="17">
        <f>IF(ISERROR(SEARCH("SI",Tabella2[[#This Row],[Espettorazione]],1)),0,1)</f>
        <v>0</v>
      </c>
      <c r="AK124" s="17">
        <f>IF(ISERROR(SEARCH("NEGA",Tabella2[[#This Row],[Espettorazione]],1)),0,1)</f>
        <v>1</v>
      </c>
      <c r="AL124" s="17">
        <f>IF(ISERROR(SEARCH("NDD",Tabella2[[#This Row],[Espettorazione]],1)),0,1)</f>
        <v>0</v>
      </c>
      <c r="AM124" s="7" t="s">
        <v>2365</v>
      </c>
      <c r="AN124" s="17">
        <v>1</v>
      </c>
      <c r="AO124" s="7" t="s">
        <v>516</v>
      </c>
      <c r="AP124" s="17">
        <f>IF(ISERROR(SEARCH("NEGA",Tabella2[[#This Row],[Dispnea da sforzo]],1)),0,1)</f>
        <v>0</v>
      </c>
      <c r="AQ124" s="17">
        <f>IF(ISERROR(SEARCH("NEGA",Tabella2[[#This Row],[Dispnea da sforzo]],1)),1,0)</f>
        <v>1</v>
      </c>
      <c r="AR124" s="17">
        <f>IF(ISERROR(SEARCH("LIEVI",Tabella2[[#This Row],[Dispnea da sforzo]],1)),0,1)</f>
        <v>0</v>
      </c>
      <c r="AS124" s="17">
        <f>IF(ISERROR(SEARCH("MODERATI",Tabella2[[#This Row],[Dispnea da sforzo]],1)),0,1)</f>
        <v>0</v>
      </c>
      <c r="AT124" s="17">
        <f>IF(ISERROR(SEARCH("INTENSI",Tabella2[[#This Row],[Dispnea da sforzo]],1)),0,1)</f>
        <v>0</v>
      </c>
      <c r="AU124" s="7" t="s">
        <v>657</v>
      </c>
      <c r="AV124" s="17">
        <f>IF(ISERROR(SEARCH("NEGA",Tabella2[[#This Row],[Dispnea a riposo]],1)),0,1)</f>
        <v>1</v>
      </c>
      <c r="AW124" s="17">
        <f>IF(ISERROR(SEARCH("NDD",Tabella2[[#This Row],[Dispnea a riposo]],1)),0,1)</f>
        <v>0</v>
      </c>
      <c r="AX124" s="7" t="s">
        <v>657</v>
      </c>
      <c r="AY124" s="17">
        <v>0</v>
      </c>
      <c r="AZ124" s="7" t="s">
        <v>657</v>
      </c>
      <c r="BA124" s="18">
        <v>0</v>
      </c>
      <c r="BB124" s="7" t="s">
        <v>2936</v>
      </c>
      <c r="BC124" s="17">
        <v>1</v>
      </c>
      <c r="BD124" s="7" t="s">
        <v>516</v>
      </c>
      <c r="BE124" s="17">
        <v>1</v>
      </c>
      <c r="BF124" s="7" t="s">
        <v>657</v>
      </c>
      <c r="BG124" s="17">
        <v>0</v>
      </c>
      <c r="BH124" s="7" t="s">
        <v>657</v>
      </c>
      <c r="BI124" s="17">
        <v>0</v>
      </c>
      <c r="BJ124" s="7">
        <v>12</v>
      </c>
      <c r="BK124" s="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7">
        <v>43</v>
      </c>
      <c r="CH124" s="7">
        <v>0</v>
      </c>
      <c r="CI124" s="7">
        <v>92</v>
      </c>
      <c r="CJ124" s="7">
        <v>60</v>
      </c>
      <c r="CK124" s="7" t="s">
        <v>2514</v>
      </c>
      <c r="CL124" s="7" t="s">
        <v>5375</v>
      </c>
      <c r="CM124" s="7" t="s">
        <v>3997</v>
      </c>
      <c r="CN124" s="17">
        <v>0</v>
      </c>
      <c r="CO124" s="17">
        <v>1</v>
      </c>
      <c r="CP124" s="17">
        <v>0</v>
      </c>
      <c r="CQ124" s="17">
        <v>0</v>
      </c>
      <c r="CR124" s="7" t="s">
        <v>5390</v>
      </c>
      <c r="CS124" s="7" t="s">
        <v>5391</v>
      </c>
      <c r="CT124" s="64">
        <v>0.85</v>
      </c>
      <c r="CU124" s="7" t="s">
        <v>5392</v>
      </c>
      <c r="CV124" s="7" t="s">
        <v>5393</v>
      </c>
      <c r="CW124" s="7" t="s">
        <v>5394</v>
      </c>
      <c r="CX124" s="7" t="s">
        <v>4221</v>
      </c>
      <c r="CY124" s="17">
        <v>0</v>
      </c>
      <c r="CZ124" s="7" t="s">
        <v>4789</v>
      </c>
      <c r="DA124" s="8" t="s">
        <v>5395</v>
      </c>
    </row>
    <row r="125" spans="1:105" customFormat="1" ht="42.75">
      <c r="A125" s="39">
        <v>2780</v>
      </c>
      <c r="B125" s="40">
        <v>45733</v>
      </c>
      <c r="C125" s="15" t="s">
        <v>4251</v>
      </c>
      <c r="D125" s="40">
        <v>18435</v>
      </c>
      <c r="E125" s="45">
        <f ca="1">_xlfn.DAYS(NOW(),Tabella2[[#This Row],[Data Nascita]])/365.25</f>
        <v>75.121149897330596</v>
      </c>
      <c r="F125" s="41" t="s">
        <v>4252</v>
      </c>
      <c r="G125" s="41" t="s">
        <v>5396</v>
      </c>
      <c r="H125" s="41" t="s">
        <v>5195</v>
      </c>
      <c r="I125" s="41" t="s">
        <v>2238</v>
      </c>
      <c r="J125" s="41" t="s">
        <v>5397</v>
      </c>
      <c r="K125" s="41"/>
      <c r="L125" s="41" t="s">
        <v>5398</v>
      </c>
      <c r="M125" s="41" t="s">
        <v>5399</v>
      </c>
      <c r="N125" s="41" t="s">
        <v>195</v>
      </c>
      <c r="O125" s="47">
        <v>0</v>
      </c>
      <c r="P125" s="47">
        <v>1</v>
      </c>
      <c r="Q125" s="41" t="s">
        <v>195</v>
      </c>
      <c r="R125" s="41" t="s">
        <v>5400</v>
      </c>
      <c r="S125" s="41" t="s">
        <v>5401</v>
      </c>
      <c r="T125" s="41" t="s">
        <v>3804</v>
      </c>
      <c r="U125" s="48">
        <f>IF(ISERROR(SEARCH("null",Tabella2[[#This Row],[Patologia respiratoria nota]],1)),0,1)</f>
        <v>0</v>
      </c>
      <c r="V125" s="47">
        <f>IF(ISERROR(SEARCH("MUTA",Tabella2[[#This Row],[Patologia respiratoria nota]],1)),0,1)</f>
        <v>0</v>
      </c>
      <c r="W125" s="48">
        <f>IF(ISERROR(SEARCH("OSAS",Tabella2[[#This Row],[Patologia respiratoria nota]],1)),0,1)</f>
        <v>1</v>
      </c>
      <c r="X125" s="47">
        <f>IF(ISERROR(SEARCH("BPCO",Tabella2[[#This Row],[Patologia respiratoria nota]],1)),0,1)</f>
        <v>0</v>
      </c>
      <c r="Y125" s="49">
        <f>IF(ISERROR(SEARCH("ASMA",Tabella2[[#This Row],[Patologia respiratoria nota]],1)),0,1)</f>
        <v>1</v>
      </c>
      <c r="Z125" s="49">
        <f>IF(ISERROR(SEARCH("ASMA, OSAS",Tabella2[[#This Row],[Patologia respiratoria nota]],1)),0,1)</f>
        <v>1</v>
      </c>
      <c r="AA125" s="49">
        <f>IF(ISERROR(SEARCH("BPCO, OSAS",Tabella2[[#This Row],[Patologia respiratoria nota]],1)),0,1)</f>
        <v>0</v>
      </c>
      <c r="AB125" s="49">
        <f>IF(ISERROR(SEARCH("ASMA, BPCO, OSAS",Tabella2[[#This Row],[Patologia respiratoria nota]],1)),0,1)</f>
        <v>0</v>
      </c>
      <c r="AC125" s="41" t="s">
        <v>657</v>
      </c>
      <c r="AD125" s="48">
        <f>IF(ISERROR(SEARCH("NDD",Tabella2[[#This Row],[Tosse]],1)),0,1)</f>
        <v>0</v>
      </c>
      <c r="AE125" s="48">
        <f>IF(ISERROR(SEARCH("NEGA",Tabella2[[#This Row],[Tosse]],1)),0,1)</f>
        <v>1</v>
      </c>
      <c r="AF125" s="48">
        <f>IF(ISERROR(SEARCH("OCCASIONALMENTE",Tabella2[[#This Row],[Tosse]],1)),0,1)</f>
        <v>0</v>
      </c>
      <c r="AG125" s="48">
        <f>IF(ISERROR(SEARCH("RARAMENTE",Tabella2[[#This Row],[Tosse]],1)),0,1)</f>
        <v>0</v>
      </c>
      <c r="AH125" s="48">
        <f>IF(ISERROR(SEARCH("SI",Tabella2[[#This Row],[Tosse]],1)),0,1)</f>
        <v>0</v>
      </c>
      <c r="AI125" s="41" t="s">
        <v>657</v>
      </c>
      <c r="AJ125" s="48">
        <f>IF(ISERROR(SEARCH("SI",Tabella2[[#This Row],[Espettorazione]],1)),0,1)</f>
        <v>0</v>
      </c>
      <c r="AK125" s="48">
        <f>IF(ISERROR(SEARCH("NEGA",Tabella2[[#This Row],[Espettorazione]],1)),0,1)</f>
        <v>1</v>
      </c>
      <c r="AL125" s="48">
        <f>IF(ISERROR(SEARCH("NDD",Tabella2[[#This Row],[Espettorazione]],1)),0,1)</f>
        <v>0</v>
      </c>
      <c r="AM125" s="41" t="s">
        <v>2365</v>
      </c>
      <c r="AN125" s="47">
        <v>1</v>
      </c>
      <c r="AO125" s="41" t="s">
        <v>657</v>
      </c>
      <c r="AP125" s="47">
        <f>IF(ISERROR(SEARCH("NEGA",Tabella2[[#This Row],[Dispnea da sforzo]],1)),0,1)</f>
        <v>1</v>
      </c>
      <c r="AQ125" s="49">
        <f>IF(ISERROR(SEARCH("NEGA",Tabella2[[#This Row],[Dispnea da sforzo]],1)),1,0)</f>
        <v>0</v>
      </c>
      <c r="AR125" s="49">
        <f>IF(ISERROR(SEARCH("LIEVI",Tabella2[[#This Row],[Dispnea da sforzo]],1)),0,1)</f>
        <v>0</v>
      </c>
      <c r="AS125" s="49">
        <f>IF(ISERROR(SEARCH("MODERATI",Tabella2[[#This Row],[Dispnea da sforzo]],1)),0,1)</f>
        <v>0</v>
      </c>
      <c r="AT125" s="49">
        <f>IF(ISERROR(SEARCH("INTENSI",Tabella2[[#This Row],[Dispnea da sforzo]],1)),0,1)</f>
        <v>0</v>
      </c>
      <c r="AU125" s="41" t="s">
        <v>657</v>
      </c>
      <c r="AV125" s="48">
        <f>IF(ISERROR(SEARCH("NEGA",Tabella2[[#This Row],[Dispnea a riposo]],1)),0,1)</f>
        <v>1</v>
      </c>
      <c r="AW125" s="48">
        <f>IF(ISERROR(SEARCH("NDD",Tabella2[[#This Row],[Dispnea a riposo]],1)),0,1)</f>
        <v>0</v>
      </c>
      <c r="AX125" s="41" t="s">
        <v>5361</v>
      </c>
      <c r="AY125" s="46">
        <v>1</v>
      </c>
      <c r="AZ125" s="41" t="s">
        <v>2365</v>
      </c>
      <c r="BA125" s="17">
        <v>1</v>
      </c>
      <c r="BB125" s="41" t="s">
        <v>2585</v>
      </c>
      <c r="BC125" s="17">
        <v>1</v>
      </c>
      <c r="BD125" s="41" t="s">
        <v>312</v>
      </c>
      <c r="BE125" s="17">
        <v>1</v>
      </c>
      <c r="BF125" s="41" t="s">
        <v>516</v>
      </c>
      <c r="BG125" s="17">
        <v>1</v>
      </c>
      <c r="BH125" s="41" t="s">
        <v>657</v>
      </c>
      <c r="BI125" s="17">
        <v>0</v>
      </c>
      <c r="BJ125" s="41">
        <v>12</v>
      </c>
      <c r="BK125" s="41"/>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1">
        <v>24</v>
      </c>
      <c r="CH125" s="41">
        <v>0</v>
      </c>
      <c r="CI125" s="41">
        <v>97</v>
      </c>
      <c r="CJ125" s="41">
        <v>56</v>
      </c>
      <c r="CK125" s="41" t="s">
        <v>1165</v>
      </c>
      <c r="CL125" s="41" t="s">
        <v>5375</v>
      </c>
      <c r="CM125" s="41" t="s">
        <v>3997</v>
      </c>
      <c r="CN125" s="17">
        <v>0</v>
      </c>
      <c r="CO125" s="17">
        <v>1</v>
      </c>
      <c r="CP125" s="17">
        <v>0</v>
      </c>
      <c r="CQ125" s="17">
        <v>0</v>
      </c>
      <c r="CR125" s="41" t="s">
        <v>5402</v>
      </c>
      <c r="CS125" s="41" t="s">
        <v>5403</v>
      </c>
      <c r="CT125" s="67">
        <v>0.89</v>
      </c>
      <c r="CU125" s="41" t="s">
        <v>5404</v>
      </c>
      <c r="CV125" s="41" t="s">
        <v>5405</v>
      </c>
      <c r="CW125" s="41" t="s">
        <v>5406</v>
      </c>
      <c r="CX125" s="41" t="s">
        <v>4541</v>
      </c>
      <c r="CY125" s="17">
        <v>1</v>
      </c>
      <c r="CZ125" s="41" t="s">
        <v>4804</v>
      </c>
      <c r="DA125" s="42" t="s">
        <v>5382</v>
      </c>
    </row>
    <row r="127" spans="1:105" s="60" customFormat="1" ht="15">
      <c r="E127" s="61">
        <f ca="1">AVERAGE(Tabella2[ETA'' BINARIO])</f>
        <v>69.370780066679899</v>
      </c>
      <c r="O127" s="60">
        <f>SUM(Tabella2[O2TP BINARIO (1=SI)])</f>
        <v>4</v>
      </c>
      <c r="P127" s="60">
        <f>SUM(Tabella2[O2TP BINARIO INDAGATO (1=SI)])</f>
        <v>73</v>
      </c>
      <c r="U127" s="60">
        <f>SUM(Tabella2[ANAMNESI RESPIRATORIA NON INDAGATI (null)])</f>
        <v>10</v>
      </c>
      <c r="V127" s="60">
        <f>SUM(Tabella2[SOSTANZIALMENTE MUTA])</f>
        <v>10</v>
      </c>
      <c r="W127" s="60">
        <f>SUM(Tabella2[OSAS])</f>
        <v>77</v>
      </c>
      <c r="X127" s="60">
        <f>SUM(Tabella2[BPCO BINARIO (1=SI)])</f>
        <v>19</v>
      </c>
      <c r="Y127" s="60">
        <f>SUM(Tabella2[ASMA BIONARIO (=SI)])</f>
        <v>19</v>
      </c>
      <c r="Z127" s="60">
        <f>SUM(Tabella2[ASMA+OSAS])</f>
        <v>8</v>
      </c>
      <c r="AA127" s="60">
        <f>SUM(Tabella2[BPCO+OSAS])</f>
        <v>9</v>
      </c>
      <c r="AB127" s="60">
        <f>SUM(Tabella2[OSAS+BPCO+ASMA])</f>
        <v>1</v>
      </c>
      <c r="AD127" s="60">
        <f>SUM(Tabella2[NDD PER TOSSE (1=VUOTO)])</f>
        <v>1</v>
      </c>
      <c r="AE127" s="60">
        <f>SUM(Tabella2[NEGA TOSSE (1=NEGA)])</f>
        <v>64</v>
      </c>
      <c r="AF127" s="60">
        <f>SUM(Tabella2[OCCASIONALMENTE TOSSE BINARIO (1=SI)])</f>
        <v>15</v>
      </c>
      <c r="AG127" s="60">
        <f>SUM(Tabella2[RARAMENTE TOSSE (1=RARAMENTE)])</f>
        <v>5</v>
      </c>
      <c r="AH127" s="60">
        <f>SUM(Tabella2[SI TOSSE (1=SI)])</f>
        <v>59</v>
      </c>
      <c r="AJ127" s="60">
        <f>SUM(Tabella2[ESPETTORATO BINARIO (1=SI)])</f>
        <v>34</v>
      </c>
      <c r="AK127" s="60">
        <f>SUM(Tabella2[NEGA ESPETTORAZIONE BINARIO (1=NEGA)])</f>
        <v>89</v>
      </c>
      <c r="AL127" s="60">
        <f>SUM(Tabella2[NDD ESPETTORAZIONE BINARIO (1=NDD)])</f>
        <v>1</v>
      </c>
      <c r="AN127" s="60">
        <f>SUM(Tabella2[RISVEGLI NOTT BINARIO (1=SI, 0=NEGA)])</f>
        <v>55</v>
      </c>
      <c r="AP127" s="60">
        <f>SUM(Tabella2[NON DISPNEA DA SFORZO BINARIO (1=NO)])</f>
        <v>17</v>
      </c>
      <c r="AQ127" s="60">
        <f>SUM(Tabella2[DISPNEA DA SFORZO BINARIO (1=SI)])</f>
        <v>103</v>
      </c>
      <c r="AR127" s="60">
        <f>SUM(Tabella2[SFORZI LIEVI])</f>
        <v>30</v>
      </c>
      <c r="AS127" s="60">
        <f>SUM(Tabella2[SFORZI MODERATI])</f>
        <v>44</v>
      </c>
      <c r="AT127" s="60">
        <f>SUM(Tabella2[SFORZI INTENSI])</f>
        <v>6</v>
      </c>
      <c r="AV127" s="60">
        <f>SUM(Tabella2[DISPNEA A RIPOSO (1=NEGA)])</f>
        <v>116</v>
      </c>
      <c r="AW127" s="60">
        <f>SUM(Tabella2[DISPNEA A RIPOSO NDD BINARIO (1=NDD)])</f>
        <v>1</v>
      </c>
      <c r="AY127" s="60">
        <f>SUM(Tabella2[SINTOMI RINITICI (1=SI)])</f>
        <v>60</v>
      </c>
      <c r="BA127" s="60">
        <f>SUM(Tabella2[GERD BINARIO (1=SI)])</f>
        <v>70</v>
      </c>
      <c r="BC127" s="60">
        <f>SUM(Tabella2[NICTURIA BINARIO (1=SI)])</f>
        <v>93</v>
      </c>
      <c r="BE127" s="60">
        <f>SUM(Tabella2[ASTENIA BINARIO (1=SI)])</f>
        <v>96</v>
      </c>
      <c r="BG127" s="60">
        <f>SUM(Tabella2[TURBE DELLA MEMORIA BINARIO (1=SI)])</f>
        <v>92</v>
      </c>
      <c r="BI127" s="60">
        <f>SUM(Tabella2[CEFALEA MATTUTINA BINARIO (1=SI)])</f>
        <v>51</v>
      </c>
      <c r="BJ127" s="61">
        <f>AVERAGE(Tabella2[Test di Epworth])</f>
        <v>14.28225806451613</v>
      </c>
      <c r="BM127" s="60">
        <f>SUM(Tabella2[MIOCARDIOPT NON ISCHEMICHE])</f>
        <v>5</v>
      </c>
      <c r="BN127" s="60">
        <f>SUM(Tabella2[CARDIOPATIA ISCHEMICA])</f>
        <v>3</v>
      </c>
      <c r="BO127" s="60">
        <f>SUM(Tabella2[ATEROSCLEROSI TSA])</f>
        <v>3</v>
      </c>
      <c r="BP127" s="60">
        <f>SUM(Tabella2[IPERTENSIONE])</f>
        <v>34</v>
      </c>
      <c r="BQ127" s="60">
        <f>SUM(Tabella2[DISPLIPIDEMIA])</f>
        <v>25</v>
      </c>
      <c r="BR127" s="60">
        <f>SUM(Tabella2[FA])</f>
        <v>5</v>
      </c>
      <c r="BS127" s="60">
        <f>SUM(Tabella2[DIABETE])</f>
        <v>15</v>
      </c>
      <c r="BT127" s="60">
        <f>SUM(Tabella2[ASMA])</f>
        <v>5</v>
      </c>
      <c r="BU127" s="60">
        <f>SUM(Tabella2[BPCO])</f>
        <v>6</v>
      </c>
      <c r="BV127" s="60">
        <f>SUM(Tabella2[CEREBRO VASCOLARI])</f>
        <v>17</v>
      </c>
      <c r="BW127" s="60">
        <f>SUM(Tabella2[DERMATITE ATOPICA])</f>
        <v>1</v>
      </c>
      <c r="BX127" s="60">
        <f>SUM(Tabella2[ALLERGIA A INALANTI])</f>
        <v>9</v>
      </c>
      <c r="BY127" s="60">
        <f>SUM(Tabella2[REUMATOLOGICA])</f>
        <v>8</v>
      </c>
      <c r="BZ127" s="60">
        <f>SUM(Tabella2[REFLUSSO GE/ERNIA IATALE])</f>
        <v>19</v>
      </c>
      <c r="CA127" s="60">
        <f>SUM(Tabella2[STORIA DI TVP/TEP])</f>
        <v>3</v>
      </c>
      <c r="CB127" s="60">
        <f>SUM(Tabella2[OSAS NOTI])</f>
        <v>12</v>
      </c>
      <c r="CC127" s="60">
        <f>SUM(Tabella2[PARALISI DIAFRAMMATICA])</f>
        <v>1</v>
      </c>
      <c r="CD127" s="60">
        <f>SUM(Tabella2[RAF])</f>
        <v>6</v>
      </c>
      <c r="CE127" s="60">
        <f>SUM(Tabella2[EMATOLOGICHE])</f>
        <v>4</v>
      </c>
      <c r="CF127" s="60">
        <f>SUM(Tabella2[STORIA ONCLOGICA])</f>
        <v>11</v>
      </c>
      <c r="CM127" s="60">
        <f>SUM(Tabella2[COMPLIANCE NDD BINARIO])</f>
        <v>20</v>
      </c>
      <c r="CN127" s="60">
        <f>SUM(Tabella2[COMPLIANCE BUONA BINARIO])</f>
        <v>40</v>
      </c>
      <c r="CO127" s="60">
        <f>SUM(Tabella2[INADEGUATA COMPLIANCE BINARIO])</f>
        <v>30</v>
      </c>
      <c r="CP127" s="60">
        <f>SUM(Tabella2[OTTIMALE COMPLIANCE BINARIO])</f>
        <v>19</v>
      </c>
      <c r="CS127" s="68">
        <f>AVERAGE(Tabella2[% giorni di terapia/tempo valutato MEDIA])</f>
        <v>0.75119368421052657</v>
      </c>
      <c r="CX127" s="60">
        <f>SUM(Tabella2[SONNOLENZA DIURNA BINARIO])</f>
        <v>99</v>
      </c>
    </row>
    <row r="128" spans="1:105" s="60" customFormat="1" ht="15">
      <c r="E128" s="61">
        <f ca="1">STDEV(Tabella2[ETA'' BINARIO])</f>
        <v>14.257037207158401</v>
      </c>
      <c r="BJ128" s="61">
        <f>STDEV(Tabella2[Test di Epworth])</f>
        <v>2.4413793378073483</v>
      </c>
      <c r="CE128" s="61"/>
      <c r="CF128" s="61"/>
      <c r="CS128" s="68">
        <f>STDEV(Tabella2[% giorni di terapia/tempo valutato MEDIA])</f>
        <v>0.29498303406334692</v>
      </c>
    </row>
  </sheetData>
  <phoneticPr fontId="4" type="noConversion"/>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PRIMA VISITA</vt:lpstr>
      <vt:lpstr>Foglio1</vt:lpstr>
      <vt:lpstr>SECONDA VISITA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Minuti</dc:creator>
  <cp:lastModifiedBy>Lorenzo Stellino</cp:lastModifiedBy>
  <dcterms:created xsi:type="dcterms:W3CDTF">2025-05-29T09:16:09Z</dcterms:created>
  <dcterms:modified xsi:type="dcterms:W3CDTF">2025-08-04T16:27:30Z</dcterms:modified>
</cp:coreProperties>
</file>