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mplaterExamples\Advanced\DoubleProcessing\"/>
    </mc:Choice>
  </mc:AlternateContent>
  <xr:revisionPtr revIDLastSave="0" documentId="8_{369C4B3F-04E7-4E95-BE9C-CF4432D76F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3" r:id="rId1"/>
    <sheet name="Terran units" sheetId="4" r:id="rId2"/>
  </sheets>
  <definedNames>
    <definedName name="Groups">Report!$A$8:$M$12</definedName>
    <definedName name="Items">Report!$C$9:$M$9</definedName>
    <definedName name="temp_range_0">Report!$A$13:$M$16</definedName>
    <definedName name="temp_range_1">Report!$C$14:$M$14</definedName>
    <definedName name="temp_range_10">Report!$A$36:$M$38</definedName>
    <definedName name="temp_range_11">Report!$C$37:$M$37</definedName>
    <definedName name="temp_range_12">Report!$A$39:$M$40</definedName>
    <definedName name="temp_range_13">Report!$C$40:$M$40</definedName>
    <definedName name="temp_range_14">Report!$A$41:$M$43</definedName>
    <definedName name="temp_range_15">Report!$C$42:$M$42</definedName>
    <definedName name="temp_range_16">Report!$C$10:$M$10</definedName>
    <definedName name="temp_range_17">Report!$C$11:$M$11</definedName>
    <definedName name="temp_range_18">Report!$C$12:$M$12</definedName>
    <definedName name="temp_range_19">Report!$C$15:$M$15</definedName>
    <definedName name="temp_range_2">Report!$A$17:$M$21</definedName>
    <definedName name="temp_range_20">Report!$C$16:$M$16</definedName>
    <definedName name="temp_range_21">Report!$C$19:$M$19</definedName>
    <definedName name="temp_range_22">Report!$C$20:$M$20</definedName>
    <definedName name="temp_range_23">Report!$C$21:$M$21</definedName>
    <definedName name="temp_range_24">Report!$C$24:$M$24</definedName>
    <definedName name="temp_range_25">Report!$C$25:$M$25</definedName>
    <definedName name="temp_range_26">Report!$C$26:$M$26</definedName>
    <definedName name="temp_range_27">Report!$C$29:$M$29</definedName>
    <definedName name="temp_range_28">Report!$C$30:$M$30</definedName>
    <definedName name="temp_range_29">Report!$C$31:$M$31</definedName>
    <definedName name="temp_range_3">Report!$C$18:$M$18</definedName>
    <definedName name="temp_range_30">Report!$C$34:$M$34</definedName>
    <definedName name="temp_range_31">Report!$C$35:$M$35</definedName>
    <definedName name="temp_range_32">Report!$C$38:$M$38</definedName>
    <definedName name="temp_range_33">Report!$C$43:$M$43</definedName>
    <definedName name="temp_range_34">Report!$A$45:$M$45</definedName>
    <definedName name="temp_range_35">Report!$A$46:$M$46</definedName>
    <definedName name="temp_range_36">Report!$A$47:$M$47</definedName>
    <definedName name="temp_range_4">Report!$A$22:$M$26</definedName>
    <definedName name="temp_range_5">Report!$C$23:$M$23</definedName>
    <definedName name="temp_range_6">Report!$A$27:$M$31</definedName>
    <definedName name="temp_range_7">Report!$C$28:$M$28</definedName>
    <definedName name="temp_range_8">Report!$A$32:$M$35</definedName>
    <definedName name="temp_range_9">Report!$C$33:$M$33</definedName>
    <definedName name="Total">Report!$A$44:$M$44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3" l="1"/>
  <c r="I53" i="3"/>
  <c r="I52" i="3"/>
  <c r="H48" i="3"/>
  <c r="G48" i="3"/>
  <c r="F48" i="3"/>
  <c r="E48" i="3"/>
  <c r="D48" i="3"/>
  <c r="I48" i="3" s="1"/>
  <c r="L47" i="3"/>
  <c r="I47" i="3"/>
  <c r="L46" i="3"/>
  <c r="I46" i="3"/>
  <c r="L45" i="3"/>
  <c r="I45" i="3"/>
  <c r="L44" i="3"/>
  <c r="I44" i="3"/>
  <c r="L43" i="3"/>
  <c r="I43" i="3"/>
  <c r="J43" i="3" s="1"/>
  <c r="L42" i="3"/>
  <c r="I42" i="3"/>
  <c r="J42" i="3" s="1"/>
  <c r="L41" i="3"/>
  <c r="I41" i="3"/>
  <c r="J41" i="3" s="1"/>
  <c r="L40" i="3"/>
  <c r="I40" i="3"/>
  <c r="J40" i="3" s="1"/>
  <c r="L39" i="3"/>
  <c r="I39" i="3"/>
  <c r="J39" i="3" s="1"/>
  <c r="L38" i="3"/>
  <c r="I38" i="3"/>
  <c r="J38" i="3" s="1"/>
  <c r="L37" i="3"/>
  <c r="I37" i="3"/>
  <c r="J37" i="3" s="1"/>
  <c r="L36" i="3"/>
  <c r="I36" i="3"/>
  <c r="J36" i="3" s="1"/>
  <c r="L35" i="3"/>
  <c r="I35" i="3"/>
  <c r="J35" i="3" s="1"/>
  <c r="L34" i="3"/>
  <c r="I34" i="3"/>
  <c r="J34" i="3" s="1"/>
  <c r="L33" i="3"/>
  <c r="I33" i="3"/>
  <c r="J33" i="3" s="1"/>
  <c r="L32" i="3"/>
  <c r="I32" i="3"/>
  <c r="J32" i="3" s="1"/>
  <c r="L31" i="3"/>
  <c r="I31" i="3"/>
  <c r="J31" i="3" s="1"/>
  <c r="L30" i="3"/>
  <c r="I30" i="3"/>
  <c r="J30" i="3" s="1"/>
  <c r="L29" i="3"/>
  <c r="I29" i="3"/>
  <c r="J29" i="3" s="1"/>
  <c r="L28" i="3"/>
  <c r="I28" i="3"/>
  <c r="J28" i="3" s="1"/>
  <c r="L27" i="3"/>
  <c r="I27" i="3"/>
  <c r="J27" i="3" s="1"/>
  <c r="L26" i="3"/>
  <c r="I26" i="3"/>
  <c r="J26" i="3" s="1"/>
  <c r="L25" i="3"/>
  <c r="I25" i="3"/>
  <c r="J25" i="3" s="1"/>
  <c r="L24" i="3"/>
  <c r="I24" i="3"/>
  <c r="J24" i="3" s="1"/>
  <c r="L23" i="3"/>
  <c r="I23" i="3"/>
  <c r="J23" i="3" s="1"/>
  <c r="L22" i="3"/>
  <c r="I22" i="3"/>
  <c r="J22" i="3" s="1"/>
  <c r="L21" i="3"/>
  <c r="I21" i="3"/>
  <c r="J21" i="3" s="1"/>
  <c r="L20" i="3"/>
  <c r="I20" i="3"/>
  <c r="J20" i="3" s="1"/>
  <c r="L19" i="3"/>
  <c r="I19" i="3"/>
  <c r="J19" i="3" s="1"/>
  <c r="L18" i="3"/>
  <c r="I18" i="3"/>
  <c r="J18" i="3" s="1"/>
  <c r="L17" i="3"/>
  <c r="I17" i="3"/>
  <c r="J17" i="3" s="1"/>
  <c r="L16" i="3"/>
  <c r="I16" i="3"/>
  <c r="J16" i="3" s="1"/>
  <c r="L15" i="3"/>
  <c r="I15" i="3"/>
  <c r="J15" i="3" s="1"/>
  <c r="L14" i="3"/>
  <c r="I14" i="3"/>
  <c r="J14" i="3" s="1"/>
  <c r="L13" i="3"/>
  <c r="I13" i="3"/>
  <c r="J13" i="3" s="1"/>
  <c r="L12" i="3"/>
  <c r="I12" i="3"/>
  <c r="J12" i="3" s="1"/>
  <c r="L11" i="3"/>
  <c r="I11" i="3"/>
  <c r="J11" i="3" s="1"/>
  <c r="L10" i="3"/>
  <c r="I10" i="3"/>
  <c r="J10" i="3" s="1"/>
  <c r="L9" i="3"/>
  <c r="I9" i="3"/>
  <c r="J9" i="3" s="1"/>
  <c r="L8" i="3"/>
  <c r="I8" i="3"/>
  <c r="J8" i="3" s="1"/>
  <c r="J48" i="3" s="1"/>
  <c r="F49" i="3" l="1"/>
  <c r="E49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H49" i="3"/>
  <c r="G49" i="3"/>
  <c r="D49" i="3"/>
</calcChain>
</file>

<file path=xl/sharedStrings.xml><?xml version="1.0" encoding="utf-8"?>
<sst xmlns="http://schemas.openxmlformats.org/spreadsheetml/2006/main" count="89" uniqueCount="86">
  <si>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</si>
  <si>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</si>
  <si>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</si>
  <si>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</si>
  <si>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</si>
  <si>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</si>
  <si>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</si>
  <si>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Alert %</t>
  </si>
  <si>
    <t>Action</t>
  </si>
  <si>
    <t>Unrealized Gains</t>
  </si>
  <si>
    <t>Realized Gains</t>
  </si>
  <si>
    <t>Unit</t>
  </si>
  <si>
    <t>Size</t>
  </si>
  <si>
    <t>Minerals</t>
  </si>
  <si>
    <t>Gas</t>
  </si>
  <si>
    <t>Ground Attack</t>
  </si>
  <si>
    <t>Air Attack</t>
  </si>
  <si>
    <t>Range</t>
  </si>
  <si>
    <t>Build Time</t>
  </si>
  <si>
    <t>Version</t>
  </si>
  <si>
    <t>account 0  reg 0</t>
  </si>
  <si>
    <t>name 0</t>
  </si>
  <si>
    <t>number 0</t>
  </si>
  <si>
    <t>account 1  reg 1</t>
  </si>
  <si>
    <t>name 1</t>
  </si>
  <si>
    <t>number 1</t>
  </si>
  <si>
    <t>account 2  reg 2</t>
  </si>
  <si>
    <t>name 2</t>
  </si>
  <si>
    <t>number 2</t>
  </si>
  <si>
    <t>account 3  reg 3</t>
  </si>
  <si>
    <t>name 3</t>
  </si>
  <si>
    <t>number 3</t>
  </si>
  <si>
    <t>account 4  reg 4</t>
  </si>
  <si>
    <t>name 4</t>
  </si>
  <si>
    <t>number 4</t>
  </si>
  <si>
    <t>report header</t>
  </si>
  <si>
    <t>24.9.2024.</t>
  </si>
  <si>
    <t>group 0</t>
  </si>
  <si>
    <t>subitem 0 for 0</t>
  </si>
  <si>
    <t>subitem 1 for 0</t>
  </si>
  <si>
    <t>subitem 2 for 0</t>
  </si>
  <si>
    <t>subitem 3 for 0</t>
  </si>
  <si>
    <t>group 1</t>
  </si>
  <si>
    <t>subitem 0 for 1</t>
  </si>
  <si>
    <t>subitem 1 for 1</t>
  </si>
  <si>
    <t>subitem 2 for 1</t>
  </si>
  <si>
    <t>group 2</t>
  </si>
  <si>
    <t>subitem 0 for 2</t>
  </si>
  <si>
    <t>subitem 1 for 2</t>
  </si>
  <si>
    <t>subitem 2 for 2</t>
  </si>
  <si>
    <t>subitem 3 for 2</t>
  </si>
  <si>
    <t>group 3</t>
  </si>
  <si>
    <t>subitem 0 for 3</t>
  </si>
  <si>
    <t>subitem 1 for 3</t>
  </si>
  <si>
    <t>subitem 2 for 3</t>
  </si>
  <si>
    <t>subitem 3 for 3</t>
  </si>
  <si>
    <t>group 4</t>
  </si>
  <si>
    <t>subitem 0 for 4</t>
  </si>
  <si>
    <t>subitem 1 for 4</t>
  </si>
  <si>
    <t>subitem 2 for 4</t>
  </si>
  <si>
    <t>subitem 3 for 4</t>
  </si>
  <si>
    <t>group 5</t>
  </si>
  <si>
    <t>subitem 0 for 5</t>
  </si>
  <si>
    <t>subitem 1 for 5</t>
  </si>
  <si>
    <t>subitem 2 for 5</t>
  </si>
  <si>
    <t>group 6</t>
  </si>
  <si>
    <t>subitem 0 for 6</t>
  </si>
  <si>
    <t>subitem 1 for 6</t>
  </si>
  <si>
    <t>group 7</t>
  </si>
  <si>
    <t>subitem 0 for 7</t>
  </si>
  <si>
    <t>group 8</t>
  </si>
  <si>
    <t>subitem 0 for 8</t>
  </si>
  <si>
    <t>subitem 1 for 8</t>
  </si>
  <si>
    <t>total 0</t>
  </si>
  <si>
    <t>total 1</t>
  </si>
  <si>
    <t>total 2</t>
  </si>
  <si>
    <t>total 3</t>
  </si>
  <si>
    <t>Battlecruiser</t>
  </si>
  <si>
    <t>L</t>
  </si>
  <si>
    <t>Dropship</t>
  </si>
  <si>
    <t>Firebat</t>
  </si>
  <si>
    <t>S</t>
  </si>
  <si>
    <t>Ghost</t>
  </si>
  <si>
    <t>Marine</t>
  </si>
  <si>
    <t>Vulture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</si>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</sst>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Percent" xfId="4" builtinId="5"/>
    <cellStyle name="Percent 2" xfId="6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8</xdr:row>
      <xdr:rowOff>28575</xdr:rowOff>
    </xdr:from>
    <xdr:to>
      <xdr:col>1</xdr:col>
      <xdr:colOff>309562</xdr:colOff>
      <xdr:row>11</xdr:row>
      <xdr:rowOff>238125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0</a:t>
          </a:r>
        </a:p>
      </xdr:txBody>
    </xdr:sp>
    <xdr:clientData/>
  </xdr:twoCellAnchor>
  <xdr:twoCellAnchor>
    <xdr:from>
      <xdr:col>0</xdr:col>
      <xdr:colOff>19049</xdr:colOff>
      <xdr:row>13</xdr:row>
      <xdr:rowOff>28575</xdr:rowOff>
    </xdr:from>
    <xdr:to>
      <xdr:col>1</xdr:col>
      <xdr:colOff>309562</xdr:colOff>
      <xdr:row>15</xdr:row>
      <xdr:rowOff>238125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1</a:t>
          </a:r>
        </a:p>
      </xdr:txBody>
    </xdr:sp>
    <xdr:clientData/>
  </xdr:twoCellAnchor>
  <xdr:twoCellAnchor>
    <xdr:from>
      <xdr:col>0</xdr:col>
      <xdr:colOff>19049</xdr:colOff>
      <xdr:row>17</xdr:row>
      <xdr:rowOff>28575</xdr:rowOff>
    </xdr:from>
    <xdr:to>
      <xdr:col>1</xdr:col>
      <xdr:colOff>309562</xdr:colOff>
      <xdr:row>20</xdr:row>
      <xdr:rowOff>238125</xdr:rowOff>
    </xdr:to>
    <xdr:sp macro="" textlink="">
      <xdr:nvSpPr>
        <xdr:cNvPr id="4" name="Rectangle: Rounded Corners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2</a:t>
          </a:r>
        </a:p>
      </xdr:txBody>
    </xdr:sp>
    <xdr:clientData/>
  </xdr:twoCellAnchor>
  <xdr:twoCellAnchor>
    <xdr:from>
      <xdr:col>0</xdr:col>
      <xdr:colOff>19049</xdr:colOff>
      <xdr:row>22</xdr:row>
      <xdr:rowOff>28575</xdr:rowOff>
    </xdr:from>
    <xdr:to>
      <xdr:col>1</xdr:col>
      <xdr:colOff>309562</xdr:colOff>
      <xdr:row>25</xdr:row>
      <xdr:rowOff>238125</xdr:rowOff>
    </xdr:to>
    <xdr:sp macro="" textlink="">
      <xdr:nvSpPr>
        <xdr:cNvPr id="5" name="Rectangle: Rounded Corners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3</a:t>
          </a:r>
        </a:p>
      </xdr:txBody>
    </xdr:sp>
    <xdr:clientData/>
  </xdr:twoCellAnchor>
  <xdr:twoCellAnchor>
    <xdr:from>
      <xdr:col>0</xdr:col>
      <xdr:colOff>19049</xdr:colOff>
      <xdr:row>27</xdr:row>
      <xdr:rowOff>28575</xdr:rowOff>
    </xdr:from>
    <xdr:to>
      <xdr:col>1</xdr:col>
      <xdr:colOff>309562</xdr:colOff>
      <xdr:row>30</xdr:row>
      <xdr:rowOff>238125</xdr:rowOff>
    </xdr:to>
    <xdr:sp macro="" textlink="">
      <xdr:nvSpPr>
        <xdr:cNvPr id="6" name="Rectangle: Rounded Corners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4</a:t>
          </a:r>
        </a:p>
      </xdr:txBody>
    </xdr:sp>
    <xdr:clientData/>
  </xdr:twoCellAnchor>
  <xdr:twoCellAnchor>
    <xdr:from>
      <xdr:col>0</xdr:col>
      <xdr:colOff>19049</xdr:colOff>
      <xdr:row>32</xdr:row>
      <xdr:rowOff>28575</xdr:rowOff>
    </xdr:from>
    <xdr:to>
      <xdr:col>1</xdr:col>
      <xdr:colOff>309562</xdr:colOff>
      <xdr:row>34</xdr:row>
      <xdr:rowOff>238125</xdr:rowOff>
    </xdr:to>
    <xdr:sp macro="" textlink="">
      <xdr:nvSpPr>
        <xdr:cNvPr id="7" name="Rectangle: Rounded Corners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5</a:t>
          </a:r>
        </a:p>
      </xdr:txBody>
    </xdr:sp>
    <xdr:clientData/>
  </xdr:twoCellAnchor>
  <xdr:twoCellAnchor>
    <xdr:from>
      <xdr:col>0</xdr:col>
      <xdr:colOff>19049</xdr:colOff>
      <xdr:row>36</xdr:row>
      <xdr:rowOff>28575</xdr:rowOff>
    </xdr:from>
    <xdr:to>
      <xdr:col>1</xdr:col>
      <xdr:colOff>309562</xdr:colOff>
      <xdr:row>37</xdr:row>
      <xdr:rowOff>238125</xdr:rowOff>
    </xdr:to>
    <xdr:sp macro="" textlink="">
      <xdr:nvSpPr>
        <xdr:cNvPr id="8" name="Rectangle: Rounded Corners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6</a:t>
          </a:r>
        </a:p>
      </xdr:txBody>
    </xdr:sp>
    <xdr:clientData/>
  </xdr:twoCellAnchor>
  <xdr:twoCellAnchor>
    <xdr:from>
      <xdr:col>0</xdr:col>
      <xdr:colOff>19049</xdr:colOff>
      <xdr:row>39</xdr:row>
      <xdr:rowOff>28575</xdr:rowOff>
    </xdr:from>
    <xdr:to>
      <xdr:col>1</xdr:col>
      <xdr:colOff>309562</xdr:colOff>
      <xdr:row>39</xdr:row>
      <xdr:rowOff>238125</xdr:rowOff>
    </xdr:to>
    <xdr:sp macro="" textlink="">
      <xdr:nvSpPr>
        <xdr:cNvPr id="9" name="Rectangle: Rounded Corners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7</a:t>
          </a:r>
        </a:p>
      </xdr:txBody>
    </xdr:sp>
    <xdr:clientData/>
  </xdr:twoCellAnchor>
  <xdr:twoCellAnchor>
    <xdr:from>
      <xdr:col>0</xdr:col>
      <xdr:colOff>19049</xdr:colOff>
      <xdr:row>41</xdr:row>
      <xdr:rowOff>28575</xdr:rowOff>
    </xdr:from>
    <xdr:to>
      <xdr:col>1</xdr:col>
      <xdr:colOff>309562</xdr:colOff>
      <xdr:row>42</xdr:row>
      <xdr:rowOff>238125</xdr:rowOff>
    </xdr:to>
    <xdr:sp macro="" textlink="">
      <xdr:nvSpPr>
        <xdr:cNvPr id="10" name="Rectangle: Rounded Corners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8099" y="2124075"/>
          <a:ext cx="1228725" cy="209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r-HR" sz="1100"/>
            <a:t>desc 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 headerRowDxfId="10" dataDxfId="9">
  <autoFilter ref="A1:I7" xr:uid="{00000000-0009-0000-0100-000001000000}"/>
  <tableColumns count="9">
    <tableColumn id="1" xr3:uid="{00000000-0010-0000-0000-000001000000}" name="Unit" dataDxfId="8"/>
    <tableColumn id="2" xr3:uid="{00000000-0010-0000-0000-000002000000}" name="Size" dataDxfId="7"/>
    <tableColumn id="3" xr3:uid="{00000000-0010-0000-0000-000003000000}" name="Version" dataDxfId="6"/>
    <tableColumn id="4" xr3:uid="{00000000-0010-0000-0000-000004000000}" name="Minerals" dataDxfId="5"/>
    <tableColumn id="5" xr3:uid="{00000000-0010-0000-0000-000005000000}" name="Gas" dataDxfId="4"/>
    <tableColumn id="6" xr3:uid="{00000000-0010-0000-0000-000006000000}" name="Ground Attack" dataDxfId="3"/>
    <tableColumn id="7" xr3:uid="{00000000-0010-0000-0000-000007000000}" name="Air Attack" dataDxfId="2"/>
    <tableColumn id="8" xr3:uid="{00000000-0010-0000-0000-000008000000}" name="Range" dataDxfId="1"/>
    <tableColumn id="9" xr3:uid="{00000000-0010-0000-0000-000009000000}" name="Build Tim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BEC-5E49-4669-9B01-342943DE3302}">
  <sheetPr>
    <outlinePr summaryBelow="0" summaryRight="0"/>
  </sheetPr>
  <dimension ref="A1:M54"/>
  <sheetViews>
    <sheetView showFormulas="1" showGridLines="0" tabSelected="1" zoomScaleNormal="100" zoomScaleSheetLayoutView="85" workbookViewId="0">
      <pane xSplit="3" ySplit="7" topLeftCell="D8" activePane="bottomRight" state="frozen"/>
      <selection pane="topRight"/>
      <selection pane="bottomLeft"/>
      <selection pane="bottomRight" sqref="A1:C1"/>
    </sheetView>
  </sheetViews>
  <sheetFormatPr defaultRowHeight="12.75" x14ac:dyDescent="0.2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13" ht="25.5" customHeight="1" x14ac:dyDescent="0.2">
      <c r="A1" s="64" t="s">
        <v>35</v>
      </c>
      <c r="B1" s="64"/>
      <c r="C1" s="64"/>
      <c r="D1" s="1"/>
      <c r="E1" s="50"/>
      <c r="F1" s="50"/>
      <c r="G1" s="50"/>
      <c r="H1" s="51"/>
      <c r="I1" s="51"/>
    </row>
    <row r="2" spans="1:13" ht="13.5" customHeight="1" x14ac:dyDescent="0.2">
      <c r="A2" s="3"/>
      <c r="B2" s="3"/>
      <c r="C2" s="4"/>
      <c r="D2" s="4"/>
      <c r="E2" s="4"/>
      <c r="F2" s="4"/>
      <c r="G2" s="3"/>
    </row>
    <row r="3" spans="1:13" ht="19.5" customHeight="1" thickBot="1" x14ac:dyDescent="0.25">
      <c r="A3" s="5" t="s">
        <v>36</v>
      </c>
      <c r="B3" s="5"/>
      <c r="C3" s="5"/>
      <c r="D3" s="5"/>
      <c r="E3" s="3"/>
      <c r="F3" s="3"/>
      <c r="G3" s="6"/>
      <c r="H3" s="49"/>
      <c r="I3" s="49"/>
    </row>
    <row r="4" spans="1:13" ht="2.25" hidden="1" customHeight="1" thickBot="1" x14ac:dyDescent="0.25">
      <c r="A4" s="3"/>
      <c r="B4" s="3"/>
      <c r="C4" s="4"/>
      <c r="D4" s="4"/>
      <c r="E4" s="4"/>
      <c r="F4" s="4"/>
      <c r="G4" s="3"/>
    </row>
    <row r="5" spans="1:13" ht="54.75" customHeight="1" x14ac:dyDescent="0.2">
      <c r="A5" s="52" t="s">
        <v>0</v>
      </c>
      <c r="B5" s="53"/>
      <c r="C5" s="54"/>
      <c r="D5" s="7" t="s">
        <v>20</v>
      </c>
      <c r="E5" s="7" t="s">
        <v>23</v>
      </c>
      <c r="F5" s="7" t="s">
        <v>26</v>
      </c>
      <c r="G5" s="7" t="s">
        <v>29</v>
      </c>
      <c r="H5" s="7" t="s">
        <v>32</v>
      </c>
      <c r="I5" s="61" t="s">
        <v>1</v>
      </c>
      <c r="J5" s="61" t="s">
        <v>2</v>
      </c>
      <c r="K5" s="61" t="s">
        <v>3</v>
      </c>
      <c r="L5" s="61" t="s">
        <v>7</v>
      </c>
      <c r="M5" s="61" t="s">
        <v>8</v>
      </c>
    </row>
    <row r="6" spans="1:13" ht="15" customHeight="1" x14ac:dyDescent="0.2">
      <c r="A6" s="55"/>
      <c r="B6" s="56"/>
      <c r="C6" s="57"/>
      <c r="D6" s="8" t="s">
        <v>21</v>
      </c>
      <c r="E6" s="8" t="s">
        <v>24</v>
      </c>
      <c r="F6" s="8" t="s">
        <v>27</v>
      </c>
      <c r="G6" s="8" t="s">
        <v>30</v>
      </c>
      <c r="H6" s="8" t="s">
        <v>33</v>
      </c>
      <c r="I6" s="62"/>
      <c r="J6" s="62"/>
      <c r="K6" s="62"/>
      <c r="L6" s="62"/>
      <c r="M6" s="62"/>
    </row>
    <row r="7" spans="1:13" ht="15" customHeight="1" thickBot="1" x14ac:dyDescent="0.25">
      <c r="A7" s="58"/>
      <c r="B7" s="59"/>
      <c r="C7" s="60"/>
      <c r="D7" s="9" t="s">
        <v>22</v>
      </c>
      <c r="E7" s="9" t="s">
        <v>25</v>
      </c>
      <c r="F7" s="9" t="s">
        <v>28</v>
      </c>
      <c r="G7" s="9" t="s">
        <v>31</v>
      </c>
      <c r="H7" s="9" t="s">
        <v>34</v>
      </c>
      <c r="I7" s="63"/>
      <c r="J7" s="63"/>
      <c r="K7" s="63"/>
      <c r="L7" s="63"/>
      <c r="M7" s="63"/>
    </row>
    <row r="8" spans="1:13" ht="21.75" customHeight="1" thickBot="1" x14ac:dyDescent="0.25">
      <c r="A8" s="33" t="s">
        <v>37</v>
      </c>
      <c r="B8" s="34"/>
      <c r="C8" s="35"/>
      <c r="D8" s="10">
        <v>2083</v>
      </c>
      <c r="E8" s="10">
        <v>4518</v>
      </c>
      <c r="F8" s="10">
        <v>5351</v>
      </c>
      <c r="G8" s="10">
        <v>4672</v>
      </c>
      <c r="H8" s="10">
        <v>7532</v>
      </c>
      <c r="I8" s="11">
        <f t="shared" ref="I8:I48" si="0">SUM(D8:H8)</f>
        <v>24156</v>
      </c>
      <c r="J8" s="12">
        <f t="shared" ref="J8:J43" si="1">I8/I$48</f>
        <v>0.10938037709876655</v>
      </c>
      <c r="K8" s="13">
        <v>0.61474832269118596</v>
      </c>
      <c r="L8" s="13">
        <f>IF( 80.3170954251276&gt;0,0.614748322691186 + (0.614748322691186 * 80.3170954251276),0)</f>
        <v>49.989548018716306</v>
      </c>
      <c r="M8" s="14">
        <f t="shared" ref="M8:M43" si="2">(K8*I$48)-I8</f>
        <v>111607.47857641228</v>
      </c>
    </row>
    <row r="9" spans="1:13" ht="22.5" customHeight="1" thickBot="1" x14ac:dyDescent="0.25">
      <c r="A9" s="47"/>
      <c r="B9" s="48"/>
      <c r="C9" s="15" t="s">
        <v>38</v>
      </c>
      <c r="D9" s="16">
        <v>3692</v>
      </c>
      <c r="E9" s="16">
        <v>4759</v>
      </c>
      <c r="F9" s="16">
        <v>9529</v>
      </c>
      <c r="G9" s="16">
        <v>179</v>
      </c>
      <c r="H9" s="16">
        <v>4034</v>
      </c>
      <c r="I9" s="16">
        <f t="shared" si="0"/>
        <v>22193</v>
      </c>
      <c r="J9" s="17">
        <f t="shared" si="1"/>
        <v>0.10049174983246092</v>
      </c>
      <c r="K9" s="18">
        <v>0.53537103232712102</v>
      </c>
      <c r="L9" s="18">
        <f>IF( 5.45892966699737&gt;0,0.535371032327121 +(0.535371032327121*18.8859419519482),0)</f>
        <v>10.646357271611713</v>
      </c>
      <c r="M9" s="19">
        <f t="shared" si="2"/>
        <v>96040.48026325072</v>
      </c>
    </row>
    <row r="10" spans="1:13" ht="22.5" customHeight="1" thickBot="1" x14ac:dyDescent="0.25">
      <c r="A10" s="47"/>
      <c r="B10" s="48"/>
      <c r="C10" s="15" t="s">
        <v>39</v>
      </c>
      <c r="D10" s="16">
        <v>5739</v>
      </c>
      <c r="E10" s="16">
        <v>3373</v>
      </c>
      <c r="F10" s="16">
        <v>3400</v>
      </c>
      <c r="G10" s="16">
        <v>1287</v>
      </c>
      <c r="H10" s="16">
        <v>7645</v>
      </c>
      <c r="I10" s="16">
        <f t="shared" si="0"/>
        <v>21444</v>
      </c>
      <c r="J10" s="17">
        <f t="shared" si="1"/>
        <v>9.7100215536758974E-2</v>
      </c>
      <c r="K10" s="18">
        <v>7.1447981089096502E-2</v>
      </c>
      <c r="L10" s="18">
        <f>IF( 6.346515447994&gt;0,0.0714479810890965 +(0.0714479810890965*74.7610078075719),0)</f>
        <v>5.4129710531262889</v>
      </c>
      <c r="M10" s="19">
        <f t="shared" si="2"/>
        <v>-5665.142064359572</v>
      </c>
    </row>
    <row r="11" spans="1:13" ht="22.5" customHeight="1" thickBot="1" x14ac:dyDescent="0.25">
      <c r="A11" s="47"/>
      <c r="B11" s="48"/>
      <c r="C11" s="15" t="s">
        <v>40</v>
      </c>
      <c r="D11" s="16">
        <v>3290</v>
      </c>
      <c r="E11" s="16">
        <v>1615</v>
      </c>
      <c r="F11" s="16">
        <v>8472</v>
      </c>
      <c r="G11" s="16">
        <v>1644</v>
      </c>
      <c r="H11" s="16">
        <v>160</v>
      </c>
      <c r="I11" s="16">
        <f t="shared" si="0"/>
        <v>15181</v>
      </c>
      <c r="J11" s="17">
        <f t="shared" si="1"/>
        <v>6.8740830631577043E-2</v>
      </c>
      <c r="K11" s="18">
        <v>0.71969021610901196</v>
      </c>
      <c r="L11" s="18">
        <f>IF( 4.97826152712957&gt;0,0.719690216109012 +(0.719690216109012*38.5129646577467),0)</f>
        <v>28.437094073641475</v>
      </c>
      <c r="M11" s="19">
        <f t="shared" si="2"/>
        <v>143758.26608637863</v>
      </c>
    </row>
    <row r="12" spans="1:13" ht="22.5" customHeight="1" thickBot="1" x14ac:dyDescent="0.25">
      <c r="A12" s="47"/>
      <c r="B12" s="48"/>
      <c r="C12" s="15" t="s">
        <v>41</v>
      </c>
      <c r="D12" s="16">
        <v>1941</v>
      </c>
      <c r="E12" s="16">
        <v>8586</v>
      </c>
      <c r="F12" s="16">
        <v>2258</v>
      </c>
      <c r="G12" s="16">
        <v>4906</v>
      </c>
      <c r="H12" s="16">
        <v>6356</v>
      </c>
      <c r="I12" s="16">
        <f t="shared" si="0"/>
        <v>24047</v>
      </c>
      <c r="J12" s="17">
        <f t="shared" si="1"/>
        <v>0.10888681603303689</v>
      </c>
      <c r="K12" s="18">
        <v>0.20960040120855</v>
      </c>
      <c r="L12" s="18">
        <f>IF( 3.52017538320281&gt;0,0.20960040120855 +(0.20960040120855*15.62459278648),0)</f>
        <v>3.4845213179749739</v>
      </c>
      <c r="M12" s="19">
        <f t="shared" si="2"/>
        <v>22241.991004501018</v>
      </c>
    </row>
    <row r="13" spans="1:13" ht="21.75" customHeight="1" thickBot="1" x14ac:dyDescent="0.25">
      <c r="A13" s="33" t="s">
        <v>42</v>
      </c>
      <c r="B13" s="34"/>
      <c r="C13" s="35"/>
      <c r="D13" s="10">
        <v>7863</v>
      </c>
      <c r="E13" s="10">
        <v>8248</v>
      </c>
      <c r="F13" s="10">
        <v>7627</v>
      </c>
      <c r="G13" s="10">
        <v>852</v>
      </c>
      <c r="H13" s="10">
        <v>8922</v>
      </c>
      <c r="I13" s="11">
        <f t="shared" si="0"/>
        <v>33512</v>
      </c>
      <c r="J13" s="12">
        <f t="shared" si="1"/>
        <v>0.15174512325442394</v>
      </c>
      <c r="K13" s="13">
        <v>6.9710225644386501</v>
      </c>
      <c r="L13" s="13">
        <f>IF( 95.4989995320789&gt;0,6.97102256443865 + (6.97102256443865 * 95.4989995320789),0)</f>
        <v>672.69670318387671</v>
      </c>
      <c r="M13" s="14">
        <f t="shared" si="2"/>
        <v>1505996.5072208892</v>
      </c>
    </row>
    <row r="14" spans="1:13" ht="22.5" customHeight="1" thickBot="1" x14ac:dyDescent="0.25">
      <c r="A14" s="47"/>
      <c r="B14" s="48"/>
      <c r="C14" s="15" t="s">
        <v>43</v>
      </c>
      <c r="D14" s="16">
        <v>306</v>
      </c>
      <c r="E14" s="16">
        <v>5578</v>
      </c>
      <c r="F14" s="16">
        <v>726</v>
      </c>
      <c r="G14" s="16">
        <v>4295</v>
      </c>
      <c r="H14" s="16">
        <v>6802</v>
      </c>
      <c r="I14" s="16">
        <f t="shared" si="0"/>
        <v>17707</v>
      </c>
      <c r="J14" s="17">
        <f t="shared" si="1"/>
        <v>8.0178768723623922E-2</v>
      </c>
      <c r="K14" s="18">
        <v>0.29719377695452098</v>
      </c>
      <c r="L14" s="18">
        <f>IF( 7.31722973162179&gt;0,0.297193776954521 +(0.297193776954521*5.19334702063042),0)</f>
        <v>1.8406241930511842</v>
      </c>
      <c r="M14" s="19">
        <f t="shared" si="2"/>
        <v>47926.462477744237</v>
      </c>
    </row>
    <row r="15" spans="1:13" ht="22.5" customHeight="1" thickBot="1" x14ac:dyDescent="0.25">
      <c r="A15" s="47"/>
      <c r="B15" s="48"/>
      <c r="C15" s="15" t="s">
        <v>44</v>
      </c>
      <c r="D15" s="16">
        <v>4533</v>
      </c>
      <c r="E15" s="16">
        <v>1188</v>
      </c>
      <c r="F15" s="16">
        <v>3703</v>
      </c>
      <c r="G15" s="16">
        <v>6151</v>
      </c>
      <c r="H15" s="16">
        <v>5875</v>
      </c>
      <c r="I15" s="16">
        <f t="shared" si="0"/>
        <v>21450</v>
      </c>
      <c r="J15" s="17">
        <f t="shared" si="1"/>
        <v>9.7127384035789965E-2</v>
      </c>
      <c r="K15" s="18">
        <v>0.91972614588203205</v>
      </c>
      <c r="L15" s="18">
        <f>IF( 6.48962515708507&gt;0,0.919726145882032 +(0.919726145882032*97.7576035530109),0)</f>
        <v>90.829950092356398</v>
      </c>
      <c r="M15" s="19">
        <f t="shared" si="2"/>
        <v>181666.00096117149</v>
      </c>
    </row>
    <row r="16" spans="1:13" ht="22.5" customHeight="1" thickBot="1" x14ac:dyDescent="0.25">
      <c r="A16" s="47"/>
      <c r="B16" s="48"/>
      <c r="C16" s="15" t="s">
        <v>45</v>
      </c>
      <c r="D16" s="16">
        <v>5682</v>
      </c>
      <c r="E16" s="16">
        <v>8238</v>
      </c>
      <c r="F16" s="16">
        <v>5447</v>
      </c>
      <c r="G16" s="16">
        <v>3109</v>
      </c>
      <c r="H16" s="16">
        <v>566</v>
      </c>
      <c r="I16" s="16">
        <f t="shared" si="0"/>
        <v>23042</v>
      </c>
      <c r="J16" s="17">
        <f t="shared" si="1"/>
        <v>0.10433609244534603</v>
      </c>
      <c r="K16" s="18">
        <v>0.55355342270506203</v>
      </c>
      <c r="L16" s="18">
        <f>IF( 3.63931809721483&gt;0,0.553553422705062 +(0.553553422705062*98.4672905870095),0)</f>
        <v>55.060459151638113</v>
      </c>
      <c r="M16" s="19">
        <f t="shared" si="2"/>
        <v>99206.95208387672</v>
      </c>
    </row>
    <row r="17" spans="1:13" ht="21.75" customHeight="1" thickBot="1" x14ac:dyDescent="0.25">
      <c r="A17" s="33" t="s">
        <v>46</v>
      </c>
      <c r="B17" s="34"/>
      <c r="C17" s="35"/>
      <c r="D17" s="10">
        <v>8833</v>
      </c>
      <c r="E17" s="10">
        <v>8519</v>
      </c>
      <c r="F17" s="10">
        <v>9253</v>
      </c>
      <c r="G17" s="10">
        <v>5722</v>
      </c>
      <c r="H17" s="10">
        <v>938</v>
      </c>
      <c r="I17" s="11">
        <f t="shared" si="0"/>
        <v>33265</v>
      </c>
      <c r="J17" s="12">
        <f t="shared" si="1"/>
        <v>0.15062668671098151</v>
      </c>
      <c r="K17" s="13">
        <v>1.83188260152558</v>
      </c>
      <c r="L17" s="13">
        <f>IF( 43.0737582701602&gt;0,1.83188260152558 + (1.83188260152558 * 43.0737582701602),0)</f>
        <v>80.737950958950606</v>
      </c>
      <c r="M17" s="14">
        <f t="shared" si="2"/>
        <v>371295.2812513152</v>
      </c>
    </row>
    <row r="18" spans="1:13" ht="22.5" customHeight="1" thickBot="1" x14ac:dyDescent="0.25">
      <c r="A18" s="47"/>
      <c r="B18" s="48"/>
      <c r="C18" s="15" t="s">
        <v>47</v>
      </c>
      <c r="D18" s="16">
        <v>5774</v>
      </c>
      <c r="E18" s="16">
        <v>9853</v>
      </c>
      <c r="F18" s="16">
        <v>1630</v>
      </c>
      <c r="G18" s="16">
        <v>4267</v>
      </c>
      <c r="H18" s="16">
        <v>9562</v>
      </c>
      <c r="I18" s="16">
        <f t="shared" si="0"/>
        <v>31086</v>
      </c>
      <c r="J18" s="17">
        <f t="shared" si="1"/>
        <v>0.14075999347956022</v>
      </c>
      <c r="K18" s="18">
        <v>0.51337644342024602</v>
      </c>
      <c r="L18" s="18">
        <f>IF( 5.61342331376552&gt;0,0.513376443420246 +(0.513376443420246*49.3346038504199),0)</f>
        <v>25.840599905695591</v>
      </c>
      <c r="M18" s="19">
        <f t="shared" si="2"/>
        <v>82290.107270700813</v>
      </c>
    </row>
    <row r="19" spans="1:13" ht="22.5" customHeight="1" thickBot="1" x14ac:dyDescent="0.25">
      <c r="A19" s="47"/>
      <c r="B19" s="48"/>
      <c r="C19" s="15" t="s">
        <v>48</v>
      </c>
      <c r="D19" s="16">
        <v>4388</v>
      </c>
      <c r="E19" s="16">
        <v>1833</v>
      </c>
      <c r="F19" s="16">
        <v>925</v>
      </c>
      <c r="G19" s="16">
        <v>9823</v>
      </c>
      <c r="H19" s="16">
        <v>5419</v>
      </c>
      <c r="I19" s="16">
        <f t="shared" si="0"/>
        <v>22388</v>
      </c>
      <c r="J19" s="17">
        <f t="shared" si="1"/>
        <v>0.1013747260509681</v>
      </c>
      <c r="K19" s="18">
        <v>0.10992088965602299</v>
      </c>
      <c r="L19" s="18">
        <f>IF( 0.352638494387566&gt;0,0.109920889656023 +(0.109920889656023*54.0291119618477),0)</f>
        <v>6.0488489438271964</v>
      </c>
      <c r="M19" s="19">
        <f t="shared" si="2"/>
        <v>1887.3689551947427</v>
      </c>
    </row>
    <row r="20" spans="1:13" ht="22.5" customHeight="1" thickBot="1" x14ac:dyDescent="0.25">
      <c r="A20" s="47"/>
      <c r="B20" s="48"/>
      <c r="C20" s="15" t="s">
        <v>49</v>
      </c>
      <c r="D20" s="16">
        <v>8068</v>
      </c>
      <c r="E20" s="16">
        <v>2559</v>
      </c>
      <c r="F20" s="16">
        <v>9368</v>
      </c>
      <c r="G20" s="16">
        <v>5321</v>
      </c>
      <c r="H20" s="16">
        <v>5812</v>
      </c>
      <c r="I20" s="16">
        <f t="shared" si="0"/>
        <v>31128</v>
      </c>
      <c r="J20" s="17">
        <f t="shared" si="1"/>
        <v>0.14095017297277718</v>
      </c>
      <c r="K20" s="18">
        <v>0.53083578102795204</v>
      </c>
      <c r="L20" s="18">
        <f>IF( 4.76147141063654&gt;0,0.530835781027952 +(0.530835781027952*19.3518702962212),0)</f>
        <v>10.803500964074157</v>
      </c>
      <c r="M20" s="19">
        <f t="shared" si="2"/>
        <v>86103.897225337045</v>
      </c>
    </row>
    <row r="21" spans="1:13" ht="22.5" customHeight="1" thickBot="1" x14ac:dyDescent="0.25">
      <c r="A21" s="47"/>
      <c r="B21" s="48"/>
      <c r="C21" s="15" t="s">
        <v>50</v>
      </c>
      <c r="D21" s="16">
        <v>879</v>
      </c>
      <c r="E21" s="16">
        <v>2465</v>
      </c>
      <c r="F21" s="16">
        <v>2499</v>
      </c>
      <c r="G21" s="16">
        <v>4884</v>
      </c>
      <c r="H21" s="16">
        <v>8496</v>
      </c>
      <c r="I21" s="16">
        <f t="shared" si="0"/>
        <v>19223</v>
      </c>
      <c r="J21" s="17">
        <f t="shared" si="1"/>
        <v>8.7043342812120769E-2</v>
      </c>
      <c r="K21" s="18">
        <v>0.20147291300886899</v>
      </c>
      <c r="L21" s="18">
        <f>IF( 5.28200163751934&gt;0,0.201472913008869 +(0.201472913008869*54.9956205091419),0)</f>
        <v>11.281600779715987</v>
      </c>
      <c r="M21" s="19">
        <f t="shared" si="2"/>
        <v>25271.084000530667</v>
      </c>
    </row>
    <row r="22" spans="1:13" ht="21.75" customHeight="1" thickBot="1" x14ac:dyDescent="0.25">
      <c r="A22" s="33" t="s">
        <v>51</v>
      </c>
      <c r="B22" s="34"/>
      <c r="C22" s="35"/>
      <c r="D22" s="10">
        <v>9350</v>
      </c>
      <c r="E22" s="10">
        <v>4918</v>
      </c>
      <c r="F22" s="10">
        <v>5559</v>
      </c>
      <c r="G22" s="10">
        <v>6154</v>
      </c>
      <c r="H22" s="10">
        <v>3171</v>
      </c>
      <c r="I22" s="11">
        <f t="shared" si="0"/>
        <v>29152</v>
      </c>
      <c r="J22" s="12">
        <f t="shared" si="1"/>
        <v>0.13200268062523773</v>
      </c>
      <c r="K22" s="13">
        <v>2.85055854490518</v>
      </c>
      <c r="L22" s="13">
        <f>IF( 65.8849396118358&gt;0,2.85055854490518 + (2.85055854490518 * 65.8849396118358),0)</f>
        <v>190.65943613598549</v>
      </c>
      <c r="M22" s="14">
        <f t="shared" si="2"/>
        <v>600376.75129103963</v>
      </c>
    </row>
    <row r="23" spans="1:13" ht="22.5" customHeight="1" thickBot="1" x14ac:dyDescent="0.25">
      <c r="A23" s="47"/>
      <c r="B23" s="48"/>
      <c r="C23" s="15" t="s">
        <v>52</v>
      </c>
      <c r="D23" s="16">
        <v>8171</v>
      </c>
      <c r="E23" s="16">
        <v>6178</v>
      </c>
      <c r="F23" s="16">
        <v>3716</v>
      </c>
      <c r="G23" s="16">
        <v>2729</v>
      </c>
      <c r="H23" s="16">
        <v>33</v>
      </c>
      <c r="I23" s="16">
        <f t="shared" si="0"/>
        <v>20827</v>
      </c>
      <c r="J23" s="17">
        <f t="shared" si="1"/>
        <v>9.4306388219738815E-2</v>
      </c>
      <c r="K23" s="18">
        <v>0.64173280151641598</v>
      </c>
      <c r="L23" s="18">
        <f>IF( 3.20816693045579&gt;0,0.641732801516416 +(0.641732801516416*77.4027210555052),0)</f>
        <v>50.313597829459447</v>
      </c>
      <c r="M23" s="19">
        <f t="shared" si="2"/>
        <v>120895.83881809138</v>
      </c>
    </row>
    <row r="24" spans="1:13" ht="22.5" customHeight="1" thickBot="1" x14ac:dyDescent="0.25">
      <c r="A24" s="47"/>
      <c r="B24" s="48"/>
      <c r="C24" s="15" t="s">
        <v>53</v>
      </c>
      <c r="D24" s="16">
        <v>3425</v>
      </c>
      <c r="E24" s="16">
        <v>448</v>
      </c>
      <c r="F24" s="16">
        <v>6696</v>
      </c>
      <c r="G24" s="16">
        <v>6315</v>
      </c>
      <c r="H24" s="16">
        <v>5534</v>
      </c>
      <c r="I24" s="16">
        <f t="shared" si="0"/>
        <v>22418</v>
      </c>
      <c r="J24" s="17">
        <f t="shared" si="1"/>
        <v>0.10151056854612306</v>
      </c>
      <c r="K24" s="18">
        <v>0.37508358730705599</v>
      </c>
      <c r="L24" s="18">
        <f>IF( 0.462354179687032&gt;0,0.375083587307056 +(0.375083587307056*50.9192001311664),0)</f>
        <v>19.474039835310865</v>
      </c>
      <c r="M24" s="19">
        <f t="shared" si="2"/>
        <v>60416.95975523947</v>
      </c>
    </row>
    <row r="25" spans="1:13" ht="22.5" customHeight="1" thickBot="1" x14ac:dyDescent="0.25">
      <c r="A25" s="47"/>
      <c r="B25" s="48"/>
      <c r="C25" s="15" t="s">
        <v>54</v>
      </c>
      <c r="D25" s="16">
        <v>9687</v>
      </c>
      <c r="E25" s="16">
        <v>3397</v>
      </c>
      <c r="F25" s="16">
        <v>7107</v>
      </c>
      <c r="G25" s="16">
        <v>2648</v>
      </c>
      <c r="H25" s="16">
        <v>743</v>
      </c>
      <c r="I25" s="16">
        <f t="shared" si="0"/>
        <v>23582</v>
      </c>
      <c r="J25" s="17">
        <f t="shared" si="1"/>
        <v>0.10678125735813515</v>
      </c>
      <c r="K25" s="18">
        <v>0.64381741110413204</v>
      </c>
      <c r="L25" s="18">
        <f>IF( 2.36781055217973&gt;0,0.643817411104132 +(0.643817411104132*65.4332444842128),0)</f>
        <v>42.770879475073748</v>
      </c>
      <c r="M25" s="19">
        <f t="shared" si="2"/>
        <v>118601.21233788095</v>
      </c>
    </row>
    <row r="26" spans="1:13" ht="22.5" customHeight="1" thickBot="1" x14ac:dyDescent="0.25">
      <c r="A26" s="47"/>
      <c r="B26" s="48"/>
      <c r="C26" s="15" t="s">
        <v>55</v>
      </c>
      <c r="D26" s="16">
        <v>5421</v>
      </c>
      <c r="E26" s="16">
        <v>6975</v>
      </c>
      <c r="F26" s="16">
        <v>8827</v>
      </c>
      <c r="G26" s="16">
        <v>1007</v>
      </c>
      <c r="H26" s="16">
        <v>1017</v>
      </c>
      <c r="I26" s="16">
        <f t="shared" si="0"/>
        <v>23247</v>
      </c>
      <c r="J26" s="17">
        <f t="shared" si="1"/>
        <v>0.10526434949557154</v>
      </c>
      <c r="K26" s="18">
        <v>5.3568307335287502E-2</v>
      </c>
      <c r="L26" s="18">
        <f>IF( 2.55183673582591&gt;0,0.0535683073352875 +(0.0535683073352875*64.3646668942481),0)</f>
        <v>3.5014745650597749</v>
      </c>
      <c r="M26" s="19">
        <f t="shared" si="2"/>
        <v>-11416.760734845768</v>
      </c>
    </row>
    <row r="27" spans="1:13" ht="21.75" customHeight="1" thickBot="1" x14ac:dyDescent="0.25">
      <c r="A27" s="33" t="s">
        <v>56</v>
      </c>
      <c r="B27" s="34"/>
      <c r="C27" s="35"/>
      <c r="D27" s="10">
        <v>9142</v>
      </c>
      <c r="E27" s="10">
        <v>1140</v>
      </c>
      <c r="F27" s="10">
        <v>9220</v>
      </c>
      <c r="G27" s="10">
        <v>937</v>
      </c>
      <c r="H27" s="10">
        <v>6079</v>
      </c>
      <c r="I27" s="11">
        <f t="shared" si="0"/>
        <v>26518</v>
      </c>
      <c r="J27" s="12">
        <f t="shared" si="1"/>
        <v>0.12007570955063303</v>
      </c>
      <c r="K27" s="13">
        <v>6.2650933564943703</v>
      </c>
      <c r="L27" s="13">
        <f>IF( 54.87202212907&gt;0,6.26509335649437 + (6.26509335649437 * 54.87202212907),0)</f>
        <v>350.0434346547429</v>
      </c>
      <c r="M27" s="14">
        <f t="shared" si="2"/>
        <v>1357090.2772216427</v>
      </c>
    </row>
    <row r="28" spans="1:13" ht="22.5" customHeight="1" thickBot="1" x14ac:dyDescent="0.25">
      <c r="A28" s="47"/>
      <c r="B28" s="48"/>
      <c r="C28" s="15" t="s">
        <v>57</v>
      </c>
      <c r="D28" s="16">
        <v>7141</v>
      </c>
      <c r="E28" s="16">
        <v>5081</v>
      </c>
      <c r="F28" s="16">
        <v>1584</v>
      </c>
      <c r="G28" s="16">
        <v>8590</v>
      </c>
      <c r="H28" s="16">
        <v>9188</v>
      </c>
      <c r="I28" s="16">
        <f t="shared" si="0"/>
        <v>31584</v>
      </c>
      <c r="J28" s="17">
        <f t="shared" si="1"/>
        <v>0.14301497889913242</v>
      </c>
      <c r="K28" s="18">
        <v>0.73206940839629098</v>
      </c>
      <c r="L28" s="18">
        <f>IF( 2.83765808811302&gt;0,0.732069408396291 +(0.732069408396291*96.3874749822484),0)</f>
        <v>71.294391195463177</v>
      </c>
      <c r="M28" s="19">
        <f t="shared" si="2"/>
        <v>130089.13642787049</v>
      </c>
    </row>
    <row r="29" spans="1:13" ht="22.5" customHeight="1" thickBot="1" x14ac:dyDescent="0.25">
      <c r="A29" s="47"/>
      <c r="B29" s="48"/>
      <c r="C29" s="15" t="s">
        <v>58</v>
      </c>
      <c r="D29" s="16">
        <v>4257</v>
      </c>
      <c r="E29" s="16">
        <v>5184</v>
      </c>
      <c r="F29" s="16">
        <v>2130</v>
      </c>
      <c r="G29" s="16">
        <v>9012</v>
      </c>
      <c r="H29" s="16">
        <v>470</v>
      </c>
      <c r="I29" s="16">
        <f t="shared" si="0"/>
        <v>21053</v>
      </c>
      <c r="J29" s="17">
        <f t="shared" si="1"/>
        <v>9.5329735016572784E-2</v>
      </c>
      <c r="K29" s="18">
        <v>0.90953230387975104</v>
      </c>
      <c r="L29" s="18">
        <f>IF( 1.73138571052411&gt;0,0.909532303879751 +(0.909532303879751*38.0670504821777),0)</f>
        <v>35.532744430841618</v>
      </c>
      <c r="M29" s="19">
        <f t="shared" si="2"/>
        <v>179811.75211801974</v>
      </c>
    </row>
    <row r="30" spans="1:13" ht="22.5" customHeight="1" thickBot="1" x14ac:dyDescent="0.25">
      <c r="A30" s="47"/>
      <c r="B30" s="48"/>
      <c r="C30" s="15" t="s">
        <v>59</v>
      </c>
      <c r="D30" s="16">
        <v>7169</v>
      </c>
      <c r="E30" s="16">
        <v>7308</v>
      </c>
      <c r="F30" s="16">
        <v>3058</v>
      </c>
      <c r="G30" s="16">
        <v>7593</v>
      </c>
      <c r="H30" s="16">
        <v>2217</v>
      </c>
      <c r="I30" s="16">
        <f t="shared" si="0"/>
        <v>27345</v>
      </c>
      <c r="J30" s="17">
        <f t="shared" si="1"/>
        <v>0.12382043433373784</v>
      </c>
      <c r="K30" s="18">
        <v>0.67315036462300903</v>
      </c>
      <c r="L30" s="18">
        <f>IF( 2.88334918808348&gt;0,0.673150364623009 +(0.673150364623009*78.8661931542988),0)</f>
        <v>53.761957042867905</v>
      </c>
      <c r="M30" s="19">
        <f t="shared" si="2"/>
        <v>121316.21912480381</v>
      </c>
    </row>
    <row r="31" spans="1:13" ht="22.5" customHeight="1" thickBot="1" x14ac:dyDescent="0.25">
      <c r="A31" s="47"/>
      <c r="B31" s="48"/>
      <c r="C31" s="15" t="s">
        <v>60</v>
      </c>
      <c r="D31" s="16">
        <v>266</v>
      </c>
      <c r="E31" s="16">
        <v>56</v>
      </c>
      <c r="F31" s="16">
        <v>52</v>
      </c>
      <c r="G31" s="16">
        <v>6115</v>
      </c>
      <c r="H31" s="16">
        <v>1337</v>
      </c>
      <c r="I31" s="16">
        <f t="shared" si="0"/>
        <v>7826</v>
      </c>
      <c r="J31" s="17">
        <f t="shared" si="1"/>
        <v>3.5436778902754887E-2</v>
      </c>
      <c r="K31" s="18">
        <v>0.40406567435900898</v>
      </c>
      <c r="L31" s="18">
        <f>IF( 0.474665183794994&gt;0,0.404065674359009 +(0.404065674359009*25.4517585157658),0)</f>
        <v>10.688247642654567</v>
      </c>
      <c r="M31" s="19">
        <f t="shared" si="2"/>
        <v>81409.479788140976</v>
      </c>
    </row>
    <row r="32" spans="1:13" ht="21.75" customHeight="1" thickBot="1" x14ac:dyDescent="0.25">
      <c r="A32" s="33" t="s">
        <v>61</v>
      </c>
      <c r="B32" s="34"/>
      <c r="C32" s="35"/>
      <c r="D32" s="10">
        <v>1448</v>
      </c>
      <c r="E32" s="10">
        <v>883</v>
      </c>
      <c r="F32" s="10">
        <v>7975</v>
      </c>
      <c r="G32" s="10">
        <v>6267</v>
      </c>
      <c r="H32" s="10">
        <v>9655</v>
      </c>
      <c r="I32" s="11">
        <f t="shared" si="0"/>
        <v>26228</v>
      </c>
      <c r="J32" s="12">
        <f t="shared" si="1"/>
        <v>0.11876256543080184</v>
      </c>
      <c r="K32" s="13">
        <v>1.0642305673399199</v>
      </c>
      <c r="L32" s="13">
        <f>IF( 33.5717697318512&gt;0,1.06423056733992 + (1.06423056733992 * 33.5717697318512),0)</f>
        <v>36.792334115673071</v>
      </c>
      <c r="M32" s="14">
        <f t="shared" si="2"/>
        <v>208800.93541361729</v>
      </c>
    </row>
    <row r="33" spans="1:13" ht="22.5" customHeight="1" thickBot="1" x14ac:dyDescent="0.25">
      <c r="A33" s="47"/>
      <c r="B33" s="48"/>
      <c r="C33" s="15" t="s">
        <v>62</v>
      </c>
      <c r="D33" s="16">
        <v>1368</v>
      </c>
      <c r="E33" s="16">
        <v>6760</v>
      </c>
      <c r="F33" s="16">
        <v>5360</v>
      </c>
      <c r="G33" s="16">
        <v>438</v>
      </c>
      <c r="H33" s="16">
        <v>7427</v>
      </c>
      <c r="I33" s="16">
        <f t="shared" si="0"/>
        <v>21353</v>
      </c>
      <c r="J33" s="17">
        <f t="shared" si="1"/>
        <v>9.66881599681223E-2</v>
      </c>
      <c r="K33" s="18">
        <v>0.58039011321048695</v>
      </c>
      <c r="L33" s="18">
        <f>IF( 6.39187917410949&gt;0,0.580390113210487 +(0.580390113210487*59.0762932594289),0)</f>
        <v>34.86768664610635</v>
      </c>
      <c r="M33" s="19">
        <f t="shared" si="2"/>
        <v>106822.67416185678</v>
      </c>
    </row>
    <row r="34" spans="1:13" ht="22.5" customHeight="1" thickBot="1" x14ac:dyDescent="0.25">
      <c r="A34" s="47"/>
      <c r="B34" s="48"/>
      <c r="C34" s="15" t="s">
        <v>63</v>
      </c>
      <c r="D34" s="16">
        <v>5331</v>
      </c>
      <c r="E34" s="16">
        <v>3890</v>
      </c>
      <c r="F34" s="16">
        <v>1915</v>
      </c>
      <c r="G34" s="16">
        <v>7796</v>
      </c>
      <c r="H34" s="16">
        <v>8450</v>
      </c>
      <c r="I34" s="16">
        <f t="shared" si="0"/>
        <v>27382</v>
      </c>
      <c r="J34" s="17">
        <f t="shared" si="1"/>
        <v>0.12398797341109562</v>
      </c>
      <c r="K34" s="18">
        <v>0.70741505534733395</v>
      </c>
      <c r="L34" s="18">
        <f>IF( 0.407251417826513&gt;0,0.707415055347334 +(0.707415055347334*21.9290482448084),0)</f>
        <v>16.220353933162823</v>
      </c>
      <c r="M34" s="19">
        <f t="shared" si="2"/>
        <v>128846.37048312661</v>
      </c>
    </row>
    <row r="35" spans="1:13" ht="22.5" customHeight="1" thickBot="1" x14ac:dyDescent="0.25">
      <c r="A35" s="47"/>
      <c r="B35" s="48"/>
      <c r="C35" s="15" t="s">
        <v>64</v>
      </c>
      <c r="D35" s="16">
        <v>3695</v>
      </c>
      <c r="E35" s="16">
        <v>8333</v>
      </c>
      <c r="F35" s="16">
        <v>9141</v>
      </c>
      <c r="G35" s="16">
        <v>7280</v>
      </c>
      <c r="H35" s="16">
        <v>6729</v>
      </c>
      <c r="I35" s="16">
        <f t="shared" si="0"/>
        <v>35178</v>
      </c>
      <c r="J35" s="17">
        <f t="shared" si="1"/>
        <v>0.15928890981869556</v>
      </c>
      <c r="K35" s="18">
        <v>0.83102355284198304</v>
      </c>
      <c r="L35" s="18">
        <f>IF( 0.21129327836041&gt;0,0.831023552841983 +(0.831023552841983*47.0535293440584),0)</f>
        <v>39.933614682095893</v>
      </c>
      <c r="M35" s="19">
        <f t="shared" si="2"/>
        <v>148348.56550383489</v>
      </c>
    </row>
    <row r="36" spans="1:13" ht="21.75" customHeight="1" thickBot="1" x14ac:dyDescent="0.25">
      <c r="A36" s="33" t="s">
        <v>65</v>
      </c>
      <c r="B36" s="34"/>
      <c r="C36" s="35"/>
      <c r="D36" s="10">
        <v>5544</v>
      </c>
      <c r="E36" s="10">
        <v>465</v>
      </c>
      <c r="F36" s="10">
        <v>3085</v>
      </c>
      <c r="G36" s="10">
        <v>9220</v>
      </c>
      <c r="H36" s="10">
        <v>1165</v>
      </c>
      <c r="I36" s="11">
        <f t="shared" si="0"/>
        <v>19479</v>
      </c>
      <c r="J36" s="12">
        <f t="shared" si="1"/>
        <v>8.8202532104109693E-2</v>
      </c>
      <c r="K36" s="13">
        <v>9.5777742609278196</v>
      </c>
      <c r="L36" s="13">
        <f>IF( 79.473589863383&gt;0,9.57777426092782 + (9.57777426092782 * 79.473589863383),0)</f>
        <v>770.75787767797158</v>
      </c>
      <c r="M36" s="14">
        <f t="shared" si="2"/>
        <v>2095714.9788803435</v>
      </c>
    </row>
    <row r="37" spans="1:13" ht="22.5" customHeight="1" thickBot="1" x14ac:dyDescent="0.25">
      <c r="A37" s="47"/>
      <c r="B37" s="48"/>
      <c r="C37" s="15" t="s">
        <v>66</v>
      </c>
      <c r="D37" s="16">
        <v>1611</v>
      </c>
      <c r="E37" s="16">
        <v>859</v>
      </c>
      <c r="F37" s="16">
        <v>9974</v>
      </c>
      <c r="G37" s="16">
        <v>7530</v>
      </c>
      <c r="H37" s="16">
        <v>7460</v>
      </c>
      <c r="I37" s="16">
        <f t="shared" si="0"/>
        <v>27434</v>
      </c>
      <c r="J37" s="17">
        <f t="shared" si="1"/>
        <v>0.12422343373603087</v>
      </c>
      <c r="K37" s="18">
        <v>0.28319258535429498</v>
      </c>
      <c r="L37" s="18">
        <f>IF( 4.24309876479353&gt;0,0.283192585354295 +(0.283192585354295*36.5078307392578),0)</f>
        <v>10.621939558081712</v>
      </c>
      <c r="M37" s="19">
        <f t="shared" si="2"/>
        <v>35107.383319983921</v>
      </c>
    </row>
    <row r="38" spans="1:13" ht="22.5" customHeight="1" thickBot="1" x14ac:dyDescent="0.25">
      <c r="A38" s="47"/>
      <c r="B38" s="48"/>
      <c r="C38" s="15" t="s">
        <v>67</v>
      </c>
      <c r="D38" s="16">
        <v>213</v>
      </c>
      <c r="E38" s="16">
        <v>6005</v>
      </c>
      <c r="F38" s="16">
        <v>166</v>
      </c>
      <c r="G38" s="16">
        <v>8569</v>
      </c>
      <c r="H38" s="16">
        <v>4755</v>
      </c>
      <c r="I38" s="16">
        <f t="shared" si="0"/>
        <v>19708</v>
      </c>
      <c r="J38" s="17">
        <f t="shared" si="1"/>
        <v>8.923946315045915E-2</v>
      </c>
      <c r="K38" s="18">
        <v>0.261532220179929</v>
      </c>
      <c r="L38" s="18">
        <f>IF( 6.28302641971178&gt;0,0.261532220179929 +(0.261532220179929*31.8838966227527),0)</f>
        <v>8.6001984919157817</v>
      </c>
      <c r="M38" s="19">
        <f t="shared" si="2"/>
        <v>38049.821633416243</v>
      </c>
    </row>
    <row r="39" spans="1:13" ht="21.75" customHeight="1" thickBot="1" x14ac:dyDescent="0.25">
      <c r="A39" s="33" t="s">
        <v>68</v>
      </c>
      <c r="B39" s="34"/>
      <c r="C39" s="35"/>
      <c r="D39" s="10">
        <v>7118</v>
      </c>
      <c r="E39" s="10">
        <v>2449</v>
      </c>
      <c r="F39" s="10">
        <v>9269</v>
      </c>
      <c r="G39" s="10">
        <v>3118</v>
      </c>
      <c r="H39" s="10">
        <v>6580</v>
      </c>
      <c r="I39" s="11">
        <f t="shared" si="0"/>
        <v>28534</v>
      </c>
      <c r="J39" s="12">
        <f t="shared" si="1"/>
        <v>0.12920432522504574</v>
      </c>
      <c r="K39" s="13">
        <v>9.1690152739961697</v>
      </c>
      <c r="L39" s="13">
        <f>IF( 71.018837099438&gt;0,9.16901527399617 + (9.16901527399617 * 71.018837099438),0)</f>
        <v>660.34181738018901</v>
      </c>
      <c r="M39" s="14">
        <f t="shared" si="2"/>
        <v>1996388.00917041</v>
      </c>
    </row>
    <row r="40" spans="1:13" ht="22.5" customHeight="1" thickBot="1" x14ac:dyDescent="0.25">
      <c r="A40" s="47"/>
      <c r="B40" s="48"/>
      <c r="C40" s="15" t="s">
        <v>69</v>
      </c>
      <c r="D40" s="16">
        <v>860</v>
      </c>
      <c r="E40" s="16">
        <v>9478</v>
      </c>
      <c r="F40" s="16">
        <v>8701</v>
      </c>
      <c r="G40" s="16">
        <v>901</v>
      </c>
      <c r="H40" s="16">
        <v>5542</v>
      </c>
      <c r="I40" s="16">
        <f t="shared" si="0"/>
        <v>25482</v>
      </c>
      <c r="J40" s="17">
        <f t="shared" si="1"/>
        <v>0.11538461538461539</v>
      </c>
      <c r="K40" s="18">
        <v>0.23119695867933199</v>
      </c>
      <c r="L40" s="18">
        <f>IF( 4.67208837376539&gt;0,0.231196958679332 +(0.231196958679332*8.31133118286325),0)</f>
        <v>2.1527514507340104</v>
      </c>
      <c r="M40" s="19">
        <f t="shared" si="2"/>
        <v>25576.461142578395</v>
      </c>
    </row>
    <row r="41" spans="1:13" ht="21.75" customHeight="1" thickBot="1" x14ac:dyDescent="0.25">
      <c r="A41" s="33" t="s">
        <v>70</v>
      </c>
      <c r="B41" s="34"/>
      <c r="C41" s="35"/>
      <c r="D41" s="10">
        <v>528</v>
      </c>
      <c r="E41" s="10">
        <v>4718</v>
      </c>
      <c r="F41" s="10">
        <v>6269</v>
      </c>
      <c r="G41" s="10">
        <v>5545</v>
      </c>
      <c r="H41" s="10">
        <v>4948</v>
      </c>
      <c r="I41" s="11">
        <f t="shared" si="0"/>
        <v>22008</v>
      </c>
      <c r="J41" s="12">
        <f t="shared" si="1"/>
        <v>9.9654054445672061E-2</v>
      </c>
      <c r="K41" s="13">
        <v>4.3945138921935598</v>
      </c>
      <c r="L41" s="13">
        <f>IF( 68.4604351261912&gt;0,4.39451389219356 + (4.39451389219356 * 68.4604351261912),0)</f>
        <v>305.24484711985679</v>
      </c>
      <c r="M41" s="14">
        <f t="shared" si="2"/>
        <v>948494.02600759454</v>
      </c>
    </row>
    <row r="42" spans="1:13" ht="22.5" customHeight="1" thickBot="1" x14ac:dyDescent="0.25">
      <c r="A42" s="47"/>
      <c r="B42" s="48"/>
      <c r="C42" s="15" t="s">
        <v>71</v>
      </c>
      <c r="D42" s="16">
        <v>6525</v>
      </c>
      <c r="E42" s="16">
        <v>2316</v>
      </c>
      <c r="F42" s="16">
        <v>64</v>
      </c>
      <c r="G42" s="16">
        <v>6141</v>
      </c>
      <c r="H42" s="16">
        <v>4832</v>
      </c>
      <c r="I42" s="16">
        <f t="shared" si="0"/>
        <v>19878</v>
      </c>
      <c r="J42" s="17">
        <f t="shared" si="1"/>
        <v>9.0009237289670543E-2</v>
      </c>
      <c r="K42" s="18">
        <v>0.53320367845390204</v>
      </c>
      <c r="L42" s="18">
        <f>IF( 0.820988831492601&gt;0,0.533203678453902 +(0.533203678453902*23.1129229642045),0)</f>
        <v>12.857099222789406</v>
      </c>
      <c r="M42" s="19">
        <f t="shared" si="2"/>
        <v>97876.833164473544</v>
      </c>
    </row>
    <row r="43" spans="1:13" ht="22.5" customHeight="1" thickBot="1" x14ac:dyDescent="0.25">
      <c r="A43" s="47"/>
      <c r="B43" s="48"/>
      <c r="C43" s="15" t="s">
        <v>72</v>
      </c>
      <c r="D43" s="16">
        <v>1209</v>
      </c>
      <c r="E43" s="16">
        <v>5917</v>
      </c>
      <c r="F43" s="16">
        <v>9590</v>
      </c>
      <c r="G43" s="16">
        <v>3992</v>
      </c>
      <c r="H43" s="16">
        <v>1035</v>
      </c>
      <c r="I43" s="16">
        <f t="shared" si="0"/>
        <v>21743</v>
      </c>
      <c r="J43" s="17">
        <f t="shared" si="1"/>
        <v>9.8454112405136657E-2</v>
      </c>
      <c r="K43" s="18">
        <v>0.234029956736616</v>
      </c>
      <c r="L43" s="18">
        <f>IF( 7.80157579938023&gt;0,0.234029956736616 +(0.234029956736616*34.2916004985066),0)</f>
        <v>8.2592917378314343</v>
      </c>
      <c r="M43" s="19">
        <f t="shared" si="2"/>
        <v>29941.111765541224</v>
      </c>
    </row>
    <row r="44" spans="1:13" ht="22.5" customHeight="1" thickBot="1" x14ac:dyDescent="0.25">
      <c r="A44" s="33" t="s">
        <v>73</v>
      </c>
      <c r="B44" s="34"/>
      <c r="C44" s="35"/>
      <c r="D44" s="10">
        <v>9946</v>
      </c>
      <c r="E44" s="10">
        <v>12766</v>
      </c>
      <c r="F44" s="10">
        <v>12978</v>
      </c>
      <c r="G44" s="10">
        <v>5524</v>
      </c>
      <c r="H44" s="10">
        <v>16454</v>
      </c>
      <c r="I44" s="11">
        <f t="shared" si="0"/>
        <v>57668</v>
      </c>
      <c r="J44" s="12"/>
      <c r="K44" s="13"/>
      <c r="L44" s="13">
        <f>IF( 66.0662032971467&gt;0,6.87737221218523 + 6.87737221218523 * 33.5440770413466,0)</f>
        <v>237.57247553974287</v>
      </c>
      <c r="M44" s="14"/>
    </row>
    <row r="45" spans="1:13" ht="22.5" customHeight="1" thickBot="1" x14ac:dyDescent="0.25">
      <c r="A45" s="33" t="s">
        <v>74</v>
      </c>
      <c r="B45" s="34"/>
      <c r="C45" s="35"/>
      <c r="D45" s="10">
        <v>18183</v>
      </c>
      <c r="E45" s="10">
        <v>13437</v>
      </c>
      <c r="F45" s="10">
        <v>14812</v>
      </c>
      <c r="G45" s="10">
        <v>11876</v>
      </c>
      <c r="H45" s="10">
        <v>4109</v>
      </c>
      <c r="I45" s="11">
        <f t="shared" si="0"/>
        <v>62417</v>
      </c>
      <c r="J45" s="12"/>
      <c r="K45" s="13"/>
      <c r="L45" s="13">
        <f>IF( 27.5858585851201&gt;0,5.54321288389303 + 5.54321288389303 * 46.6602779676487,0)</f>
        <v>264.19106688019343</v>
      </c>
      <c r="M45" s="14"/>
    </row>
    <row r="46" spans="1:13" ht="22.5" customHeight="1" thickBot="1" x14ac:dyDescent="0.25">
      <c r="A46" s="33" t="s">
        <v>75</v>
      </c>
      <c r="B46" s="34"/>
      <c r="C46" s="35"/>
      <c r="D46" s="10">
        <v>10590</v>
      </c>
      <c r="E46" s="10">
        <v>2023</v>
      </c>
      <c r="F46" s="10">
        <v>17195</v>
      </c>
      <c r="G46" s="10">
        <v>7204</v>
      </c>
      <c r="H46" s="10">
        <v>15734</v>
      </c>
      <c r="I46" s="11">
        <f t="shared" si="0"/>
        <v>52746</v>
      </c>
      <c r="J46" s="12"/>
      <c r="K46" s="13"/>
      <c r="L46" s="13">
        <f>IF( 54.8418879298688&gt;0,3.68940522134742 + 3.68940522134742 * 77.3651561594406,0)</f>
        <v>289.12081630634611</v>
      </c>
      <c r="M46" s="14"/>
    </row>
    <row r="47" spans="1:13" ht="22.5" customHeight="1" thickBot="1" x14ac:dyDescent="0.25">
      <c r="A47" s="33" t="s">
        <v>76</v>
      </c>
      <c r="B47" s="34"/>
      <c r="C47" s="35"/>
      <c r="D47" s="10">
        <v>12662</v>
      </c>
      <c r="E47" s="10">
        <v>2914</v>
      </c>
      <c r="F47" s="10">
        <v>12354</v>
      </c>
      <c r="G47" s="10">
        <v>12338</v>
      </c>
      <c r="H47" s="10">
        <v>7745</v>
      </c>
      <c r="I47" s="11">
        <f t="shared" si="0"/>
        <v>48013</v>
      </c>
      <c r="J47" s="12"/>
      <c r="K47" s="13"/>
      <c r="L47" s="13">
        <f>IF( 57.6927868918017&gt;0,0.356100779192569 + 0.356100779192569 * 0.595758576223514,0)</f>
        <v>0.56825087239641792</v>
      </c>
      <c r="M47" s="14"/>
    </row>
    <row r="48" spans="1:13" ht="20.100000000000001" customHeight="1" thickBot="1" x14ac:dyDescent="0.25">
      <c r="A48" s="36" t="s">
        <v>4</v>
      </c>
      <c r="B48" s="37"/>
      <c r="C48" s="38"/>
      <c r="D48" s="20">
        <f>SUM(D44:D47)</f>
        <v>51381</v>
      </c>
      <c r="E48" s="20">
        <f>SUM(E44:E47)</f>
        <v>31140</v>
      </c>
      <c r="F48" s="20">
        <f>SUM(F44:F47)</f>
        <v>57339</v>
      </c>
      <c r="G48" s="20">
        <f>SUM(G44:G47)</f>
        <v>36942</v>
      </c>
      <c r="H48" s="20">
        <f>SUM(H44:H47)</f>
        <v>44042</v>
      </c>
      <c r="I48" s="21">
        <f t="shared" si="0"/>
        <v>220844</v>
      </c>
      <c r="J48" s="22">
        <f>SUM(J8:J43)</f>
        <v>3.9293845429352841</v>
      </c>
      <c r="K48" s="23"/>
      <c r="L48" s="23"/>
      <c r="M48" s="24"/>
    </row>
    <row r="49" spans="1:13" ht="20.100000000000001" customHeight="1" thickBot="1" x14ac:dyDescent="0.25">
      <c r="A49" s="42" t="s">
        <v>5</v>
      </c>
      <c r="B49" s="43"/>
      <c r="C49" s="44"/>
      <c r="D49" s="25">
        <f>D48/I48</f>
        <v>0.23265744145188458</v>
      </c>
      <c r="E49" s="25">
        <f>E48/I48</f>
        <v>0.14100450997083913</v>
      </c>
      <c r="F49" s="25">
        <f>F48/I48</f>
        <v>0.25963576098965785</v>
      </c>
      <c r="G49" s="25">
        <f>G48/I48</f>
        <v>0.16727644853380666</v>
      </c>
      <c r="H49" s="25">
        <f>H48/I48</f>
        <v>0.19942583905381175</v>
      </c>
      <c r="I49" s="26"/>
      <c r="J49" s="25"/>
      <c r="K49" s="25"/>
      <c r="L49" s="25"/>
      <c r="M49" s="25"/>
    </row>
    <row r="50" spans="1:13" s="3" customFormat="1" ht="11.25" customHeight="1" x14ac:dyDescent="0.2">
      <c r="A50" s="45"/>
      <c r="B50" s="45"/>
      <c r="C50" s="45"/>
      <c r="D50" s="45"/>
      <c r="E50" s="31"/>
      <c r="F50" s="31"/>
      <c r="G50" s="31"/>
      <c r="H50" s="31"/>
    </row>
    <row r="51" spans="1:13" s="3" customFormat="1" ht="11.25" customHeight="1" thickBot="1" x14ac:dyDescent="0.25">
      <c r="A51" s="46"/>
      <c r="B51" s="46"/>
      <c r="C51" s="46"/>
      <c r="D51" s="46"/>
      <c r="E51" s="32"/>
      <c r="F51" s="32"/>
      <c r="G51" s="32"/>
      <c r="H51" s="32"/>
    </row>
    <row r="52" spans="1:13" ht="20.100000000000001" customHeight="1" thickBot="1" x14ac:dyDescent="0.25">
      <c r="A52" s="39" t="s">
        <v>10</v>
      </c>
      <c r="B52" s="40"/>
      <c r="C52" s="41"/>
      <c r="D52" s="27">
        <v>9341</v>
      </c>
      <c r="E52" s="27">
        <v>8982</v>
      </c>
      <c r="F52" s="27">
        <v>7802</v>
      </c>
      <c r="G52" s="27">
        <v>2634</v>
      </c>
      <c r="H52" s="27">
        <v>7954</v>
      </c>
      <c r="I52" s="28">
        <f>SUM(D52:H52)</f>
        <v>36713</v>
      </c>
      <c r="J52" s="29"/>
      <c r="K52" s="30"/>
      <c r="L52" s="30"/>
      <c r="M52" s="30"/>
    </row>
    <row r="53" spans="1:13" ht="20.100000000000001" customHeight="1" thickBot="1" x14ac:dyDescent="0.25">
      <c r="A53" s="39" t="s">
        <v>6</v>
      </c>
      <c r="B53" s="40"/>
      <c r="C53" s="41"/>
      <c r="D53" s="27">
        <v>239</v>
      </c>
      <c r="E53" s="27">
        <v>6473</v>
      </c>
      <c r="F53" s="27">
        <v>5265</v>
      </c>
      <c r="G53" s="27">
        <v>5102</v>
      </c>
      <c r="H53" s="27">
        <v>2221</v>
      </c>
      <c r="I53" s="28">
        <f>SUM(D53:H53)</f>
        <v>19300</v>
      </c>
      <c r="J53" s="29"/>
      <c r="K53" s="30"/>
      <c r="L53" s="30"/>
      <c r="M53" s="30"/>
    </row>
    <row r="54" spans="1:13" ht="20.100000000000001" customHeight="1" thickBot="1" x14ac:dyDescent="0.25">
      <c r="A54" s="39" t="s">
        <v>9</v>
      </c>
      <c r="B54" s="40"/>
      <c r="C54" s="41"/>
      <c r="D54" s="27">
        <v>384</v>
      </c>
      <c r="E54" s="27">
        <v>6232</v>
      </c>
      <c r="F54" s="27">
        <v>2296</v>
      </c>
      <c r="G54" s="27">
        <v>8493</v>
      </c>
      <c r="H54" s="27">
        <v>9800</v>
      </c>
      <c r="I54" s="28">
        <f>SUM(D54:H54)</f>
        <v>27205</v>
      </c>
      <c r="J54" s="29"/>
      <c r="K54" s="30"/>
      <c r="L54" s="30"/>
      <c r="M54" s="30"/>
    </row>
  </sheetData>
  <mergeCells count="37">
    <mergeCell ref="A47:C47"/>
    <mergeCell ref="A40:B40"/>
    <mergeCell ref="A41:C41"/>
    <mergeCell ref="A42:B43"/>
    <mergeCell ref="A45:C45"/>
    <mergeCell ref="A46:C46"/>
    <mergeCell ref="A32:C32"/>
    <mergeCell ref="A33:B35"/>
    <mergeCell ref="A36:C36"/>
    <mergeCell ref="A37:B38"/>
    <mergeCell ref="A39:C39"/>
    <mergeCell ref="K5:K7"/>
    <mergeCell ref="L5:L7"/>
    <mergeCell ref="M5:M7"/>
    <mergeCell ref="A1:C1"/>
    <mergeCell ref="A13:C13"/>
    <mergeCell ref="H3:I3"/>
    <mergeCell ref="E1:I1"/>
    <mergeCell ref="A5:C7"/>
    <mergeCell ref="I5:I7"/>
    <mergeCell ref="J5:J7"/>
    <mergeCell ref="A8:C8"/>
    <mergeCell ref="A48:C48"/>
    <mergeCell ref="A52:C52"/>
    <mergeCell ref="A53:C53"/>
    <mergeCell ref="A54:C54"/>
    <mergeCell ref="A49:C49"/>
    <mergeCell ref="A44:C44"/>
    <mergeCell ref="A50:D51"/>
    <mergeCell ref="A9:B12"/>
    <mergeCell ref="A14:B16"/>
    <mergeCell ref="A17:C17"/>
    <mergeCell ref="A18:B21"/>
    <mergeCell ref="A22:C22"/>
    <mergeCell ref="A23:B26"/>
    <mergeCell ref="A27:C27"/>
    <mergeCell ref="A28:B31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88C8-8FE1-44E0-ACFA-D6DB1FEB56F3}">
  <dimension ref="A1:I7"/>
  <sheetViews>
    <sheetView workbookViewId="0">
      <selection activeCell="B2" sqref="B2"/>
    </sheetView>
  </sheetViews>
  <sheetFormatPr defaultRowHeight="12.75" x14ac:dyDescent="0.2"/>
  <cols>
    <col min="1" max="1" width="16" customWidth="1"/>
    <col min="2" max="2" width="11" customWidth="1"/>
    <col min="3" max="3" width="11" hidden="1" customWidth="1"/>
    <col min="4" max="4" width="12.140625" customWidth="1"/>
    <col min="5" max="5" width="9.7109375" customWidth="1"/>
    <col min="6" max="6" width="17.140625" customWidth="1"/>
    <col min="7" max="7" width="13" customWidth="1"/>
    <col min="8" max="8" width="10.85546875" hidden="1" customWidth="1"/>
    <col min="9" max="9" width="16.7109375" customWidth="1"/>
  </cols>
  <sheetData>
    <row r="1" spans="1:9" x14ac:dyDescent="0.2">
      <c r="A1" s="2" t="s">
        <v>11</v>
      </c>
      <c r="B1" s="2" t="s">
        <v>12</v>
      </c>
      <c r="C1" s="2" t="s">
        <v>19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x14ac:dyDescent="0.2">
      <c r="A2" s="2" t="s">
        <v>77</v>
      </c>
      <c r="B2" s="2" t="s">
        <v>78</v>
      </c>
      <c r="C2" s="2"/>
      <c r="D2" s="2">
        <v>400</v>
      </c>
      <c r="E2" s="2">
        <v>300</v>
      </c>
      <c r="F2" s="2">
        <v>25</v>
      </c>
      <c r="G2" s="2">
        <v>25</v>
      </c>
      <c r="H2" s="2"/>
      <c r="I2" s="2">
        <v>160</v>
      </c>
    </row>
    <row r="3" spans="1:9" x14ac:dyDescent="0.2">
      <c r="A3" s="2" t="s">
        <v>79</v>
      </c>
      <c r="B3" s="2" t="s">
        <v>78</v>
      </c>
      <c r="C3" s="2"/>
      <c r="D3" s="2">
        <v>100</v>
      </c>
      <c r="E3" s="2">
        <v>100</v>
      </c>
      <c r="F3" s="2">
        <v>0</v>
      </c>
      <c r="G3" s="2">
        <v>0</v>
      </c>
      <c r="H3" s="2"/>
      <c r="I3" s="2">
        <v>50</v>
      </c>
    </row>
    <row r="4" spans="1:9" x14ac:dyDescent="0.2">
      <c r="A4" s="2" t="s">
        <v>80</v>
      </c>
      <c r="B4" s="2" t="s">
        <v>81</v>
      </c>
      <c r="C4" s="2"/>
      <c r="D4" s="2">
        <v>50</v>
      </c>
      <c r="E4" s="2">
        <v>25</v>
      </c>
      <c r="F4" s="2">
        <v>16</v>
      </c>
      <c r="G4" s="2">
        <v>0</v>
      </c>
      <c r="H4" s="2"/>
      <c r="I4" s="2">
        <v>24</v>
      </c>
    </row>
    <row r="5" spans="1:9" x14ac:dyDescent="0.2">
      <c r="A5" s="2" t="s">
        <v>82</v>
      </c>
      <c r="B5" s="2" t="s">
        <v>81</v>
      </c>
      <c r="C5" s="2"/>
      <c r="D5" s="2">
        <v>25</v>
      </c>
      <c r="E5" s="2">
        <v>75</v>
      </c>
      <c r="F5" s="2">
        <v>10</v>
      </c>
      <c r="G5" s="2">
        <v>10</v>
      </c>
      <c r="H5" s="2"/>
      <c r="I5" s="2">
        <v>50</v>
      </c>
    </row>
    <row r="6" spans="1:9" x14ac:dyDescent="0.2">
      <c r="A6" s="2" t="s">
        <v>83</v>
      </c>
      <c r="B6" s="2" t="s">
        <v>81</v>
      </c>
      <c r="C6" s="2"/>
      <c r="D6" s="2">
        <v>50</v>
      </c>
      <c r="E6" s="2">
        <v>0</v>
      </c>
      <c r="F6" s="2">
        <v>6</v>
      </c>
      <c r="G6" s="2">
        <v>6</v>
      </c>
      <c r="H6" s="2"/>
      <c r="I6" s="2">
        <v>24</v>
      </c>
    </row>
    <row r="7" spans="1:9" x14ac:dyDescent="0.2">
      <c r="A7" s="2" t="s">
        <v>84</v>
      </c>
      <c r="B7" s="2" t="s">
        <v>85</v>
      </c>
      <c r="C7" s="2"/>
      <c r="D7" s="2">
        <v>75</v>
      </c>
      <c r="E7" s="2">
        <v>0</v>
      </c>
      <c r="F7" s="2">
        <v>20</v>
      </c>
      <c r="G7" s="2">
        <v>0</v>
      </c>
      <c r="H7" s="2"/>
      <c r="I7" s="2">
        <v>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Report</vt:lpstr>
      <vt:lpstr>Terran units</vt:lpstr>
      <vt:lpstr>Groups</vt:lpstr>
      <vt:lpstr>Items</vt:lpstr>
      <vt:lpstr>temp_range_0</vt:lpstr>
      <vt:lpstr>temp_range_1</vt:lpstr>
      <vt:lpstr>temp_range_10</vt:lpstr>
      <vt:lpstr>temp_range_11</vt:lpstr>
      <vt:lpstr>temp_range_12</vt:lpstr>
      <vt:lpstr>temp_range_13</vt:lpstr>
      <vt:lpstr>temp_range_14</vt:lpstr>
      <vt:lpstr>temp_range_15</vt:lpstr>
      <vt:lpstr>temp_range_16</vt:lpstr>
      <vt:lpstr>temp_range_17</vt:lpstr>
      <vt:lpstr>temp_range_18</vt:lpstr>
      <vt:lpstr>temp_range_19</vt:lpstr>
      <vt:lpstr>temp_range_2</vt:lpstr>
      <vt:lpstr>temp_range_20</vt:lpstr>
      <vt:lpstr>temp_range_21</vt:lpstr>
      <vt:lpstr>temp_range_22</vt:lpstr>
      <vt:lpstr>temp_range_23</vt:lpstr>
      <vt:lpstr>temp_range_24</vt:lpstr>
      <vt:lpstr>temp_range_25</vt:lpstr>
      <vt:lpstr>temp_range_26</vt:lpstr>
      <vt:lpstr>temp_range_27</vt:lpstr>
      <vt:lpstr>temp_range_28</vt:lpstr>
      <vt:lpstr>temp_range_29</vt:lpstr>
      <vt:lpstr>temp_range_3</vt:lpstr>
      <vt:lpstr>temp_range_30</vt:lpstr>
      <vt:lpstr>temp_range_31</vt:lpstr>
      <vt:lpstr>temp_range_32</vt:lpstr>
      <vt:lpstr>temp_range_33</vt:lpstr>
      <vt:lpstr>temp_range_34</vt:lpstr>
      <vt:lpstr>temp_range_35</vt:lpstr>
      <vt:lpstr>temp_range_36</vt:lpstr>
      <vt:lpstr>temp_range_4</vt:lpstr>
      <vt:lpstr>temp_range_5</vt:lpstr>
      <vt:lpstr>temp_range_6</vt:lpstr>
      <vt:lpstr>temp_range_7</vt:lpstr>
      <vt:lpstr>temp_range_8</vt:lpstr>
      <vt:lpstr>temp_range_9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2024-09-24T14:37:48Z</dcterms:modified>
</cp:coreProperties>
</file>