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HD\Workspace\Multimodal\multimodal-vit\Dataset\"/>
    </mc:Choice>
  </mc:AlternateContent>
  <bookViews>
    <workbookView xWindow="0" yWindow="0" windowWidth="17256" windowHeight="5484" tabRatio="738" firstSheet="1" activeTab="4"/>
  </bookViews>
  <sheets>
    <sheet name="ALL_DATASET" sheetId="1" r:id="rId1"/>
    <sheet name="ALL ALL DATASET" sheetId="8" r:id="rId2"/>
    <sheet name="DATASET 102018" sheetId="11" r:id="rId3"/>
    <sheet name="DATASET RECAP 102018" sheetId="14" r:id="rId4"/>
    <sheet name="DATASET FINAL 102018" sheetId="15" r:id="rId5"/>
    <sheet name="SCORE" sheetId="13" r:id="rId6"/>
    <sheet name="Feuil1" sheetId="10" r:id="rId7"/>
    <sheet name="NV CARAC" sheetId="9" r:id="rId8"/>
    <sheet name="DATASET_2604_RN" sheetId="7" r:id="rId9"/>
    <sheet name="DATASET_2604_AU" sheetId="6" r:id="rId10"/>
    <sheet name="NEW_DATASET" sheetId="4" r:id="rId11"/>
    <sheet name="REFERENTIEL" sheetId="5" r:id="rId12"/>
    <sheet name="LIEUX" sheetId="2" r:id="rId1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4" l="1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2" i="14"/>
  <c r="U76" i="14"/>
  <c r="T3" i="14"/>
  <c r="T4" i="14"/>
  <c r="T5" i="14"/>
  <c r="T6" i="14"/>
  <c r="T7" i="14"/>
  <c r="T8" i="14"/>
  <c r="T9" i="14"/>
  <c r="T17" i="14"/>
  <c r="T18" i="14"/>
  <c r="T19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" i="14"/>
  <c r="T37" i="14"/>
  <c r="T38" i="14"/>
  <c r="T39" i="14"/>
  <c r="T41" i="14"/>
  <c r="T44" i="14"/>
  <c r="T45" i="14"/>
  <c r="T53" i="14"/>
  <c r="T54" i="14"/>
  <c r="T55" i="14"/>
  <c r="T59" i="14"/>
  <c r="T60" i="14"/>
  <c r="T61" i="14"/>
  <c r="T62" i="14"/>
  <c r="T63" i="14"/>
  <c r="T64" i="14"/>
  <c r="T66" i="14"/>
  <c r="T67" i="14"/>
  <c r="T70" i="14"/>
  <c r="T72" i="14"/>
  <c r="T73" i="14"/>
  <c r="T74" i="14"/>
  <c r="T75" i="14"/>
  <c r="T2" i="14"/>
  <c r="C76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3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2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Q75" i="11"/>
  <c r="R75" i="11"/>
  <c r="Q74" i="11"/>
  <c r="R74" i="11"/>
  <c r="Q73" i="11"/>
  <c r="R73" i="11"/>
  <c r="Q72" i="11"/>
  <c r="R72" i="11"/>
  <c r="Q71" i="11"/>
  <c r="R71" i="11"/>
  <c r="Q70" i="11"/>
  <c r="R70" i="11"/>
  <c r="Q69" i="11"/>
  <c r="R69" i="11"/>
  <c r="Q68" i="11"/>
  <c r="R68" i="11"/>
  <c r="Q67" i="11"/>
  <c r="R67" i="11"/>
  <c r="Q66" i="11"/>
  <c r="R66" i="11"/>
  <c r="Q65" i="11"/>
  <c r="R65" i="11"/>
  <c r="Q64" i="11"/>
  <c r="R64" i="11"/>
  <c r="Q63" i="11"/>
  <c r="R63" i="11"/>
  <c r="Q62" i="11"/>
  <c r="R62" i="11"/>
  <c r="Q61" i="11"/>
  <c r="R61" i="11"/>
  <c r="Q60" i="11"/>
  <c r="R60" i="11"/>
  <c r="Q59" i="11"/>
  <c r="R59" i="11"/>
  <c r="Q58" i="11"/>
  <c r="R58" i="11"/>
  <c r="Q57" i="11"/>
  <c r="R57" i="11"/>
  <c r="Q56" i="11"/>
  <c r="R56" i="11"/>
  <c r="Q55" i="11"/>
  <c r="R55" i="11"/>
  <c r="Q54" i="11"/>
  <c r="R54" i="11"/>
  <c r="Q53" i="11"/>
  <c r="R53" i="11"/>
  <c r="Q52" i="11"/>
  <c r="R52" i="11"/>
  <c r="Q51" i="11"/>
  <c r="R51" i="11"/>
  <c r="Q50" i="11"/>
  <c r="R50" i="11"/>
  <c r="Q49" i="11"/>
  <c r="R49" i="11"/>
  <c r="Q48" i="11"/>
  <c r="R48" i="11"/>
  <c r="Q47" i="11"/>
  <c r="R47" i="11"/>
  <c r="Q46" i="11"/>
  <c r="R46" i="11"/>
  <c r="Q45" i="11"/>
  <c r="R45" i="11"/>
  <c r="Q44" i="11"/>
  <c r="R44" i="11"/>
  <c r="Q43" i="11"/>
  <c r="R43" i="11"/>
  <c r="Q42" i="11"/>
  <c r="R42" i="11"/>
  <c r="Q41" i="11"/>
  <c r="R41" i="11"/>
  <c r="Q40" i="11"/>
  <c r="R40" i="11"/>
  <c r="Q39" i="11"/>
  <c r="R39" i="11"/>
  <c r="Q38" i="11"/>
  <c r="R38" i="11"/>
  <c r="Q37" i="11"/>
  <c r="R37" i="11"/>
  <c r="Q36" i="11"/>
  <c r="R36" i="11"/>
  <c r="Q35" i="11"/>
  <c r="R35" i="11"/>
  <c r="Q34" i="11"/>
  <c r="R34" i="11"/>
  <c r="Q33" i="11"/>
  <c r="R33" i="11"/>
  <c r="Q32" i="11"/>
  <c r="R32" i="11"/>
  <c r="Q31" i="11"/>
  <c r="R31" i="11"/>
  <c r="Q30" i="11"/>
  <c r="R30" i="11"/>
  <c r="Q29" i="11"/>
  <c r="R29" i="11"/>
  <c r="Q28" i="11"/>
  <c r="R28" i="11"/>
  <c r="Q27" i="11"/>
  <c r="R27" i="11"/>
  <c r="Q26" i="11"/>
  <c r="R26" i="11"/>
  <c r="Q25" i="11"/>
  <c r="R25" i="11"/>
  <c r="Q24" i="11"/>
  <c r="R24" i="11"/>
  <c r="Q23" i="11"/>
  <c r="R23" i="11"/>
  <c r="Q22" i="11"/>
  <c r="R22" i="11"/>
  <c r="Q21" i="11"/>
  <c r="R21" i="11"/>
  <c r="Q20" i="11"/>
  <c r="R20" i="11"/>
  <c r="Q19" i="11"/>
  <c r="R19" i="11"/>
  <c r="Q18" i="11"/>
  <c r="R18" i="11"/>
  <c r="Q17" i="11"/>
  <c r="R17" i="11"/>
  <c r="Q16" i="11"/>
  <c r="R16" i="11"/>
  <c r="Q15" i="11"/>
  <c r="R15" i="11"/>
  <c r="Q14" i="11"/>
  <c r="R14" i="11"/>
  <c r="Q13" i="11"/>
  <c r="R13" i="11"/>
  <c r="Q12" i="11"/>
  <c r="R12" i="11"/>
  <c r="Q11" i="11"/>
  <c r="R11" i="11"/>
  <c r="Q10" i="11"/>
  <c r="R10" i="11"/>
  <c r="Q9" i="11"/>
  <c r="R9" i="11"/>
  <c r="Q8" i="11"/>
  <c r="R8" i="11"/>
  <c r="Q7" i="11"/>
  <c r="R7" i="11"/>
  <c r="Q6" i="11"/>
  <c r="R6" i="11"/>
  <c r="Q5" i="11"/>
  <c r="R5" i="11"/>
  <c r="Q4" i="11"/>
  <c r="R4" i="11"/>
  <c r="Q3" i="11"/>
  <c r="R3" i="11"/>
  <c r="Q2" i="11"/>
  <c r="R2" i="11"/>
  <c r="X75" i="11"/>
  <c r="Y75" i="11"/>
  <c r="X74" i="11"/>
  <c r="Y74" i="11"/>
  <c r="X73" i="11"/>
  <c r="Y73" i="11"/>
  <c r="X72" i="11"/>
  <c r="Y72" i="11"/>
  <c r="X71" i="11"/>
  <c r="Y71" i="11"/>
  <c r="X70" i="11"/>
  <c r="Y70" i="11"/>
  <c r="X69" i="11"/>
  <c r="Y69" i="11"/>
  <c r="X68" i="11"/>
  <c r="Y68" i="11"/>
  <c r="X67" i="11"/>
  <c r="Y67" i="11"/>
  <c r="X66" i="11"/>
  <c r="Y66" i="11"/>
  <c r="X65" i="11"/>
  <c r="Y65" i="11"/>
  <c r="X64" i="11"/>
  <c r="Y64" i="11"/>
  <c r="X63" i="11"/>
  <c r="Y63" i="11"/>
  <c r="X62" i="11"/>
  <c r="Y62" i="11"/>
  <c r="X61" i="11"/>
  <c r="Y61" i="11"/>
  <c r="X60" i="11"/>
  <c r="Y60" i="11"/>
  <c r="X59" i="11"/>
  <c r="Y59" i="11"/>
  <c r="X58" i="11"/>
  <c r="Y58" i="11"/>
  <c r="X57" i="11"/>
  <c r="Y57" i="11"/>
  <c r="X56" i="11"/>
  <c r="Y56" i="11"/>
  <c r="X55" i="11"/>
  <c r="Y55" i="11"/>
  <c r="X54" i="11"/>
  <c r="Y54" i="11"/>
  <c r="X53" i="11"/>
  <c r="Y53" i="11"/>
  <c r="X52" i="11"/>
  <c r="Y52" i="11"/>
  <c r="X51" i="11"/>
  <c r="Y51" i="11"/>
  <c r="X50" i="11"/>
  <c r="Y50" i="11"/>
  <c r="X49" i="11"/>
  <c r="Y49" i="11"/>
  <c r="X48" i="11"/>
  <c r="Y48" i="11"/>
  <c r="X47" i="11"/>
  <c r="Y47" i="11"/>
  <c r="X46" i="11"/>
  <c r="Y46" i="11"/>
  <c r="X45" i="11"/>
  <c r="Y45" i="11"/>
  <c r="X44" i="11"/>
  <c r="Y44" i="11"/>
  <c r="X43" i="11"/>
  <c r="Y43" i="11"/>
  <c r="X42" i="11"/>
  <c r="Y42" i="11"/>
  <c r="X41" i="11"/>
  <c r="Y41" i="11"/>
  <c r="X40" i="11"/>
  <c r="Y40" i="11"/>
  <c r="X39" i="11"/>
  <c r="Y39" i="11"/>
  <c r="X38" i="11"/>
  <c r="Y38" i="11"/>
  <c r="X37" i="11"/>
  <c r="Y37" i="11"/>
  <c r="X36" i="11"/>
  <c r="Y36" i="11"/>
  <c r="X35" i="11"/>
  <c r="Y35" i="11"/>
  <c r="X34" i="11"/>
  <c r="Y34" i="11"/>
  <c r="X33" i="11"/>
  <c r="Y33" i="11"/>
  <c r="X32" i="11"/>
  <c r="Y32" i="11"/>
  <c r="X31" i="11"/>
  <c r="Y31" i="11"/>
  <c r="X30" i="11"/>
  <c r="Y30" i="11"/>
  <c r="X29" i="11"/>
  <c r="Y29" i="11"/>
  <c r="X28" i="11"/>
  <c r="Y28" i="11"/>
  <c r="X27" i="11"/>
  <c r="Y27" i="11"/>
  <c r="X26" i="11"/>
  <c r="Y26" i="11"/>
  <c r="X25" i="11"/>
  <c r="Y25" i="11"/>
  <c r="X24" i="11"/>
  <c r="Y24" i="11"/>
  <c r="X23" i="11"/>
  <c r="Y23" i="11"/>
  <c r="X22" i="11"/>
  <c r="Y22" i="11"/>
  <c r="X21" i="11"/>
  <c r="Y21" i="11"/>
  <c r="X20" i="11"/>
  <c r="Y20" i="11"/>
  <c r="X19" i="11"/>
  <c r="Y19" i="11"/>
  <c r="X18" i="11"/>
  <c r="Y18" i="11"/>
  <c r="X17" i="11"/>
  <c r="Y17" i="11"/>
  <c r="X16" i="11"/>
  <c r="Y16" i="11"/>
  <c r="X15" i="11"/>
  <c r="Y15" i="11"/>
  <c r="X14" i="11"/>
  <c r="Y14" i="11"/>
  <c r="X13" i="11"/>
  <c r="Y13" i="11"/>
  <c r="X12" i="11"/>
  <c r="Y12" i="11"/>
  <c r="X11" i="11"/>
  <c r="Y11" i="11"/>
  <c r="X10" i="11"/>
  <c r="Y10" i="11"/>
  <c r="X9" i="11"/>
  <c r="Y9" i="11"/>
  <c r="X8" i="11"/>
  <c r="Y8" i="11"/>
  <c r="X7" i="11"/>
  <c r="Y7" i="11"/>
  <c r="X6" i="11"/>
  <c r="Y6" i="11"/>
  <c r="X5" i="11"/>
  <c r="Y5" i="11"/>
  <c r="X4" i="11"/>
  <c r="Y4" i="11"/>
  <c r="X3" i="11"/>
  <c r="Y3" i="11"/>
  <c r="X2" i="11"/>
  <c r="Y2" i="11"/>
  <c r="U75" i="11"/>
  <c r="U74" i="11"/>
  <c r="U73" i="11"/>
  <c r="U72" i="11"/>
  <c r="W72" i="11"/>
  <c r="U71" i="11"/>
  <c r="U70" i="11"/>
  <c r="U69" i="11"/>
  <c r="U68" i="11"/>
  <c r="W68" i="11"/>
  <c r="U67" i="11"/>
  <c r="U66" i="11"/>
  <c r="U65" i="11"/>
  <c r="U64" i="11"/>
  <c r="W64" i="11"/>
  <c r="U63" i="11"/>
  <c r="U62" i="11"/>
  <c r="U61" i="11"/>
  <c r="U60" i="11"/>
  <c r="W60" i="11"/>
  <c r="U59" i="11"/>
  <c r="U58" i="11"/>
  <c r="U57" i="11"/>
  <c r="U56" i="11"/>
  <c r="W56" i="11"/>
  <c r="U55" i="11"/>
  <c r="U54" i="11"/>
  <c r="U53" i="11"/>
  <c r="U52" i="11"/>
  <c r="W52" i="11"/>
  <c r="U51" i="11"/>
  <c r="U50" i="11"/>
  <c r="U49" i="11"/>
  <c r="U48" i="11"/>
  <c r="W48" i="11"/>
  <c r="U47" i="11"/>
  <c r="U46" i="11"/>
  <c r="U45" i="11"/>
  <c r="U44" i="11"/>
  <c r="W44" i="11"/>
  <c r="U43" i="11"/>
  <c r="U42" i="11"/>
  <c r="U41" i="11"/>
  <c r="U40" i="11"/>
  <c r="W40" i="11"/>
  <c r="U39" i="11"/>
  <c r="U38" i="11"/>
  <c r="U37" i="11"/>
  <c r="U36" i="11"/>
  <c r="W36" i="11"/>
  <c r="U35" i="11"/>
  <c r="U34" i="11"/>
  <c r="U33" i="11"/>
  <c r="U32" i="11"/>
  <c r="W32" i="11"/>
  <c r="U31" i="11"/>
  <c r="U30" i="11"/>
  <c r="U29" i="11"/>
  <c r="U28" i="11"/>
  <c r="W28" i="11"/>
  <c r="U27" i="11"/>
  <c r="U26" i="11"/>
  <c r="U25" i="11"/>
  <c r="U24" i="11"/>
  <c r="W24" i="11"/>
  <c r="U23" i="11"/>
  <c r="U22" i="11"/>
  <c r="U21" i="11"/>
  <c r="U20" i="11"/>
  <c r="W20" i="11"/>
  <c r="U19" i="11"/>
  <c r="U18" i="11"/>
  <c r="W18" i="11"/>
  <c r="U17" i="11"/>
  <c r="U16" i="11"/>
  <c r="W16" i="11"/>
  <c r="U15" i="11"/>
  <c r="U14" i="11"/>
  <c r="U13" i="11"/>
  <c r="U12" i="11"/>
  <c r="W12" i="11"/>
  <c r="U11" i="11"/>
  <c r="U10" i="11"/>
  <c r="U9" i="11"/>
  <c r="U8" i="11"/>
  <c r="W8" i="11"/>
  <c r="U7" i="11"/>
  <c r="U6" i="11"/>
  <c r="U5" i="11"/>
  <c r="U4" i="11"/>
  <c r="W4" i="11"/>
  <c r="U3" i="11"/>
  <c r="U2" i="11"/>
  <c r="S75" i="11"/>
  <c r="S74" i="11"/>
  <c r="T74" i="11"/>
  <c r="S73" i="11"/>
  <c r="S72" i="11"/>
  <c r="S71" i="11"/>
  <c r="S70" i="11"/>
  <c r="T70" i="11"/>
  <c r="S69" i="11"/>
  <c r="S68" i="11"/>
  <c r="S67" i="11"/>
  <c r="S66" i="11"/>
  <c r="T66" i="11"/>
  <c r="S65" i="11"/>
  <c r="S64" i="11"/>
  <c r="S63" i="11"/>
  <c r="S62" i="11"/>
  <c r="T62" i="11"/>
  <c r="S61" i="11"/>
  <c r="S60" i="11"/>
  <c r="S59" i="11"/>
  <c r="S58" i="11"/>
  <c r="T58" i="11"/>
  <c r="S57" i="11"/>
  <c r="S56" i="11"/>
  <c r="S55" i="11"/>
  <c r="S54" i="11"/>
  <c r="T54" i="11"/>
  <c r="S53" i="11"/>
  <c r="S52" i="11"/>
  <c r="S51" i="11"/>
  <c r="S50" i="11"/>
  <c r="T50" i="11"/>
  <c r="S49" i="11"/>
  <c r="S48" i="11"/>
  <c r="S47" i="11"/>
  <c r="S46" i="11"/>
  <c r="T46" i="11"/>
  <c r="S45" i="11"/>
  <c r="S44" i="11"/>
  <c r="S43" i="11"/>
  <c r="S42" i="11"/>
  <c r="T42" i="11"/>
  <c r="S41" i="11"/>
  <c r="S40" i="11"/>
  <c r="S39" i="11"/>
  <c r="S38" i="11"/>
  <c r="T38" i="11"/>
  <c r="S37" i="11"/>
  <c r="S36" i="11"/>
  <c r="S35" i="11"/>
  <c r="S34" i="11"/>
  <c r="T34" i="11"/>
  <c r="S33" i="11"/>
  <c r="S32" i="11"/>
  <c r="S31" i="11"/>
  <c r="S30" i="11"/>
  <c r="T30" i="11"/>
  <c r="S29" i="11"/>
  <c r="S28" i="11"/>
  <c r="S27" i="11"/>
  <c r="S26" i="11"/>
  <c r="T26" i="11"/>
  <c r="S25" i="11"/>
  <c r="S24" i="11"/>
  <c r="S23" i="11"/>
  <c r="S22" i="11"/>
  <c r="T22" i="11"/>
  <c r="S21" i="11"/>
  <c r="S20" i="11"/>
  <c r="S19" i="11"/>
  <c r="S18" i="11"/>
  <c r="T18" i="11"/>
  <c r="S17" i="11"/>
  <c r="S16" i="11"/>
  <c r="S15" i="11"/>
  <c r="S14" i="11"/>
  <c r="T14" i="11"/>
  <c r="S13" i="11"/>
  <c r="S12" i="11"/>
  <c r="S11" i="11"/>
  <c r="S10" i="11"/>
  <c r="T10" i="11"/>
  <c r="S9" i="11"/>
  <c r="S8" i="11"/>
  <c r="S7" i="11"/>
  <c r="S6" i="11"/>
  <c r="T6" i="11"/>
  <c r="S5" i="11"/>
  <c r="S4" i="11"/>
  <c r="S3" i="11"/>
  <c r="S2" i="11"/>
  <c r="T2" i="11"/>
  <c r="T76" i="14"/>
  <c r="T4" i="11"/>
  <c r="T12" i="11"/>
  <c r="T20" i="11"/>
  <c r="T28" i="11"/>
  <c r="T36" i="11"/>
  <c r="T44" i="11"/>
  <c r="T52" i="11"/>
  <c r="T60" i="11"/>
  <c r="T72" i="11"/>
  <c r="W6" i="11"/>
  <c r="W14" i="11"/>
  <c r="W22" i="11"/>
  <c r="W34" i="11"/>
  <c r="W42" i="11"/>
  <c r="W50" i="11"/>
  <c r="W58" i="11"/>
  <c r="W66" i="11"/>
  <c r="W74" i="11"/>
  <c r="T8" i="11"/>
  <c r="T16" i="11"/>
  <c r="T24" i="11"/>
  <c r="T32" i="11"/>
  <c r="T40" i="11"/>
  <c r="T48" i="11"/>
  <c r="T56" i="11"/>
  <c r="T64" i="11"/>
  <c r="T68" i="11"/>
  <c r="W2" i="11"/>
  <c r="W10" i="11"/>
  <c r="W26" i="11"/>
  <c r="W30" i="11"/>
  <c r="W38" i="11"/>
  <c r="W46" i="11"/>
  <c r="W54" i="11"/>
  <c r="W62" i="11"/>
  <c r="W70" i="11"/>
  <c r="T5" i="11"/>
  <c r="T9" i="11"/>
  <c r="T13" i="11"/>
  <c r="T17" i="11"/>
  <c r="T21" i="11"/>
  <c r="T25" i="11"/>
  <c r="T29" i="11"/>
  <c r="T33" i="11"/>
  <c r="T37" i="11"/>
  <c r="T41" i="11"/>
  <c r="T45" i="11"/>
  <c r="T49" i="11"/>
  <c r="T53" i="11"/>
  <c r="T57" i="11"/>
  <c r="T61" i="11"/>
  <c r="T65" i="11"/>
  <c r="T69" i="11"/>
  <c r="T73" i="11"/>
  <c r="T3" i="11"/>
  <c r="T7" i="11"/>
  <c r="T11" i="11"/>
  <c r="T15" i="11"/>
  <c r="T19" i="11"/>
  <c r="T23" i="11"/>
  <c r="T27" i="11"/>
  <c r="T31" i="11"/>
  <c r="T35" i="11"/>
  <c r="T39" i="11"/>
  <c r="T43" i="11"/>
  <c r="T47" i="11"/>
  <c r="T51" i="11"/>
  <c r="T55" i="11"/>
  <c r="T59" i="11"/>
  <c r="T63" i="11"/>
  <c r="T67" i="11"/>
  <c r="T71" i="11"/>
  <c r="T75" i="11"/>
  <c r="W5" i="11"/>
  <c r="W9" i="11"/>
  <c r="W13" i="11"/>
  <c r="W17" i="11"/>
  <c r="W21" i="11"/>
  <c r="W25" i="11"/>
  <c r="W29" i="11"/>
  <c r="W33" i="11"/>
  <c r="W3" i="11"/>
  <c r="W7" i="11"/>
  <c r="W11" i="11"/>
  <c r="W15" i="11"/>
  <c r="W19" i="11"/>
  <c r="W23" i="11"/>
  <c r="W27" i="11"/>
  <c r="W31" i="11"/>
  <c r="W35" i="11"/>
  <c r="W39" i="11"/>
  <c r="W43" i="11"/>
  <c r="W47" i="11"/>
  <c r="W51" i="11"/>
  <c r="W55" i="11"/>
  <c r="W59" i="11"/>
  <c r="W63" i="11"/>
  <c r="W67" i="11"/>
  <c r="W71" i="11"/>
  <c r="W75" i="11"/>
  <c r="W37" i="11"/>
  <c r="W41" i="11"/>
  <c r="W45" i="11"/>
  <c r="W49" i="11"/>
  <c r="W53" i="11"/>
  <c r="W57" i="11"/>
  <c r="W61" i="11"/>
  <c r="W65" i="11"/>
  <c r="W69" i="11"/>
  <c r="W73" i="11"/>
  <c r="N6" i="8"/>
  <c r="O6" i="8"/>
  <c r="Q6" i="8"/>
  <c r="S6" i="8"/>
  <c r="AA6" i="8"/>
  <c r="AB6" i="8"/>
  <c r="AC6" i="8"/>
  <c r="AE6" i="8"/>
  <c r="AV6" i="8"/>
  <c r="AW6" i="8"/>
  <c r="BD6" i="8"/>
  <c r="BE6" i="8"/>
  <c r="L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7" i="6"/>
  <c r="M6" i="6"/>
  <c r="L3" i="6"/>
  <c r="M3" i="6"/>
  <c r="L4" i="6"/>
  <c r="M4" i="6"/>
  <c r="L5" i="6"/>
  <c r="M5" i="6"/>
  <c r="L6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2" i="6"/>
  <c r="M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AV2" i="8"/>
  <c r="Q54" i="8"/>
  <c r="S48" i="8"/>
  <c r="BH2" i="8"/>
  <c r="BH3" i="8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N49" i="8"/>
  <c r="BE2" i="8"/>
  <c r="BE3" i="8"/>
  <c r="BE7" i="8"/>
  <c r="BE8" i="8"/>
  <c r="BE9" i="8"/>
  <c r="BE17" i="8"/>
  <c r="BE22" i="8"/>
  <c r="BE24" i="8"/>
  <c r="BE25" i="8"/>
  <c r="BE26" i="8"/>
  <c r="BE27" i="8"/>
  <c r="BE28" i="8"/>
  <c r="BE31" i="8"/>
  <c r="BE32" i="8"/>
  <c r="BE33" i="8"/>
  <c r="BE42" i="8"/>
  <c r="BE43" i="8"/>
  <c r="BE44" i="8"/>
  <c r="BE45" i="8"/>
  <c r="BE49" i="8"/>
  <c r="BE50" i="8"/>
  <c r="BE59" i="8"/>
  <c r="BE60" i="8"/>
  <c r="BE61" i="8"/>
  <c r="BE62" i="8"/>
  <c r="BE63" i="8"/>
  <c r="BE64" i="8"/>
  <c r="BE68" i="8"/>
  <c r="BE69" i="8"/>
  <c r="BE70" i="8"/>
  <c r="BE71" i="8"/>
  <c r="BE72" i="8"/>
  <c r="BE75" i="8"/>
  <c r="BD2" i="8"/>
  <c r="BD3" i="8"/>
  <c r="BD4" i="8"/>
  <c r="BD5" i="8"/>
  <c r="BD7" i="8"/>
  <c r="M7" i="7"/>
  <c r="BD8" i="8"/>
  <c r="BD9" i="8"/>
  <c r="L9" i="7"/>
  <c r="BD10" i="8"/>
  <c r="BD11" i="8"/>
  <c r="BD12" i="8"/>
  <c r="BD13" i="8"/>
  <c r="BD14" i="8"/>
  <c r="BD15" i="8"/>
  <c r="M15" i="7"/>
  <c r="BD16" i="8"/>
  <c r="BD17" i="8"/>
  <c r="BD18" i="8"/>
  <c r="BD19" i="8"/>
  <c r="BD20" i="8"/>
  <c r="BD21" i="8"/>
  <c r="BD22" i="8"/>
  <c r="BD23" i="8"/>
  <c r="M23" i="7"/>
  <c r="BD24" i="8"/>
  <c r="BD25" i="8"/>
  <c r="L25" i="7"/>
  <c r="BD26" i="8"/>
  <c r="BD27" i="8"/>
  <c r="BD28" i="8"/>
  <c r="BD29" i="8"/>
  <c r="BD30" i="8"/>
  <c r="BD31" i="8"/>
  <c r="M31" i="7"/>
  <c r="BD32" i="8"/>
  <c r="BD33" i="8"/>
  <c r="BD34" i="8"/>
  <c r="BD35" i="8"/>
  <c r="BD36" i="8"/>
  <c r="BD37" i="8"/>
  <c r="BD38" i="8"/>
  <c r="BD39" i="8"/>
  <c r="M39" i="7"/>
  <c r="BD40" i="8"/>
  <c r="BD41" i="8"/>
  <c r="BD42" i="8"/>
  <c r="BD43" i="8"/>
  <c r="BD44" i="8"/>
  <c r="BD45" i="8"/>
  <c r="BD46" i="8"/>
  <c r="BD47" i="8"/>
  <c r="BK47" i="8"/>
  <c r="BD48" i="8"/>
  <c r="BE48" i="8"/>
  <c r="BD49" i="8"/>
  <c r="BI49" i="8"/>
  <c r="BD50" i="8"/>
  <c r="BK50" i="8"/>
  <c r="BD51" i="8"/>
  <c r="BK51" i="8"/>
  <c r="BD52" i="8"/>
  <c r="BE52" i="8"/>
  <c r="BD53" i="8"/>
  <c r="BE53" i="8"/>
  <c r="BD54" i="8"/>
  <c r="BE54" i="8"/>
  <c r="BD55" i="8"/>
  <c r="BE55" i="8"/>
  <c r="BD56" i="8"/>
  <c r="BE56" i="8"/>
  <c r="BD57" i="8"/>
  <c r="BE57" i="8"/>
  <c r="BD58" i="8"/>
  <c r="BE58" i="8"/>
  <c r="BD59" i="8"/>
  <c r="BK59" i="8"/>
  <c r="BD60" i="8"/>
  <c r="BK60" i="8"/>
  <c r="BD61" i="8"/>
  <c r="BI61" i="8"/>
  <c r="BD62" i="8"/>
  <c r="BK62" i="8"/>
  <c r="BD63" i="8"/>
  <c r="BK63" i="8"/>
  <c r="BD64" i="8"/>
  <c r="BK64" i="8"/>
  <c r="BD65" i="8"/>
  <c r="BE65" i="8"/>
  <c r="BD66" i="8"/>
  <c r="BE66" i="8"/>
  <c r="BD67" i="8"/>
  <c r="BE67" i="8"/>
  <c r="BD68" i="8"/>
  <c r="BK68" i="8"/>
  <c r="BD69" i="8"/>
  <c r="BI69" i="8"/>
  <c r="BD70" i="8"/>
  <c r="BK70" i="8"/>
  <c r="BD71" i="8"/>
  <c r="BK71" i="8"/>
  <c r="BD72" i="8"/>
  <c r="BK72" i="8"/>
  <c r="BD73" i="8"/>
  <c r="BE73" i="8"/>
  <c r="BD74" i="8"/>
  <c r="BE74" i="8"/>
  <c r="BD75" i="8"/>
  <c r="BK75" i="8"/>
  <c r="L45" i="7"/>
  <c r="M45" i="7"/>
  <c r="BE41" i="8"/>
  <c r="L41" i="7"/>
  <c r="BE37" i="8"/>
  <c r="L37" i="7"/>
  <c r="BK33" i="8"/>
  <c r="L33" i="7"/>
  <c r="BE29" i="8"/>
  <c r="L29" i="7"/>
  <c r="BE21" i="8"/>
  <c r="L21" i="7"/>
  <c r="BK17" i="8"/>
  <c r="L17" i="7"/>
  <c r="BE13" i="8"/>
  <c r="L13" i="7"/>
  <c r="BE5" i="8"/>
  <c r="L5" i="7"/>
  <c r="M5" i="7"/>
  <c r="M13" i="7"/>
  <c r="M21" i="7"/>
  <c r="M29" i="7"/>
  <c r="M37" i="7"/>
  <c r="BK44" i="8"/>
  <c r="M44" i="7"/>
  <c r="L44" i="7"/>
  <c r="BK40" i="8"/>
  <c r="M40" i="7"/>
  <c r="L40" i="7"/>
  <c r="BK36" i="8"/>
  <c r="M36" i="7"/>
  <c r="L36" i="7"/>
  <c r="BK32" i="8"/>
  <c r="M32" i="7"/>
  <c r="L32" i="7"/>
  <c r="BK28" i="8"/>
  <c r="M28" i="7"/>
  <c r="L28" i="7"/>
  <c r="BK24" i="8"/>
  <c r="M24" i="7"/>
  <c r="L24" i="7"/>
  <c r="BK20" i="8"/>
  <c r="M20" i="7"/>
  <c r="L20" i="7"/>
  <c r="BK16" i="8"/>
  <c r="M16" i="7"/>
  <c r="L16" i="7"/>
  <c r="N16" i="7"/>
  <c r="BK12" i="8"/>
  <c r="M12" i="7"/>
  <c r="L12" i="7"/>
  <c r="BK8" i="8"/>
  <c r="M8" i="7"/>
  <c r="L8" i="7"/>
  <c r="BK4" i="8"/>
  <c r="M4" i="7"/>
  <c r="L4" i="7"/>
  <c r="BK43" i="8"/>
  <c r="L43" i="7"/>
  <c r="BK39" i="8"/>
  <c r="L39" i="7"/>
  <c r="BK35" i="8"/>
  <c r="L35" i="7"/>
  <c r="BK31" i="8"/>
  <c r="L31" i="7"/>
  <c r="BK27" i="8"/>
  <c r="L27" i="7"/>
  <c r="BK23" i="8"/>
  <c r="L23" i="7"/>
  <c r="BK19" i="8"/>
  <c r="L19" i="7"/>
  <c r="BK15" i="8"/>
  <c r="L15" i="7"/>
  <c r="BK11" i="8"/>
  <c r="L11" i="7"/>
  <c r="BK7" i="8"/>
  <c r="L7" i="7"/>
  <c r="BK3" i="8"/>
  <c r="L3" i="7"/>
  <c r="BK65" i="8"/>
  <c r="M9" i="7"/>
  <c r="M17" i="7"/>
  <c r="M25" i="7"/>
  <c r="M33" i="7"/>
  <c r="M41" i="7"/>
  <c r="BK46" i="8"/>
  <c r="M46" i="7"/>
  <c r="L46" i="7"/>
  <c r="BK42" i="8"/>
  <c r="M42" i="7"/>
  <c r="L42" i="7"/>
  <c r="BK38" i="8"/>
  <c r="M38" i="7"/>
  <c r="L38" i="7"/>
  <c r="BK34" i="8"/>
  <c r="M34" i="7"/>
  <c r="L34" i="7"/>
  <c r="BK30" i="8"/>
  <c r="M30" i="7"/>
  <c r="L30" i="7"/>
  <c r="BK26" i="8"/>
  <c r="M26" i="7"/>
  <c r="L26" i="7"/>
  <c r="BK22" i="8"/>
  <c r="M22" i="7"/>
  <c r="L22" i="7"/>
  <c r="BK18" i="8"/>
  <c r="M18" i="7"/>
  <c r="L18" i="7"/>
  <c r="BK14" i="8"/>
  <c r="M14" i="7"/>
  <c r="L14" i="7"/>
  <c r="BK10" i="8"/>
  <c r="M10" i="7"/>
  <c r="L10" i="7"/>
  <c r="BK6" i="8"/>
  <c r="M6" i="7"/>
  <c r="L6" i="7"/>
  <c r="BK2" i="8"/>
  <c r="M2" i="7"/>
  <c r="L2" i="7"/>
  <c r="M3" i="7"/>
  <c r="M11" i="7"/>
  <c r="M19" i="7"/>
  <c r="M27" i="7"/>
  <c r="M35" i="7"/>
  <c r="M43" i="7"/>
  <c r="BE40" i="8"/>
  <c r="BE36" i="8"/>
  <c r="BE20" i="8"/>
  <c r="BE16" i="8"/>
  <c r="BE12" i="8"/>
  <c r="BE4" i="8"/>
  <c r="BE47" i="8"/>
  <c r="BE39" i="8"/>
  <c r="BE35" i="8"/>
  <c r="BE23" i="8"/>
  <c r="BE19" i="8"/>
  <c r="BE15" i="8"/>
  <c r="BE11" i="8"/>
  <c r="BE46" i="8"/>
  <c r="BE38" i="8"/>
  <c r="BE34" i="8"/>
  <c r="BE30" i="8"/>
  <c r="BE18" i="8"/>
  <c r="BE14" i="8"/>
  <c r="BE10" i="8"/>
  <c r="BK49" i="8"/>
  <c r="BI45" i="8"/>
  <c r="BI41" i="8"/>
  <c r="BI37" i="8"/>
  <c r="BI33" i="8"/>
  <c r="BI29" i="8"/>
  <c r="BI25" i="8"/>
  <c r="BI21" i="8"/>
  <c r="BI17" i="8"/>
  <c r="BI13" i="8"/>
  <c r="BI9" i="8"/>
  <c r="BI5" i="8"/>
  <c r="BI48" i="8"/>
  <c r="BI16" i="8"/>
  <c r="BL16" i="8"/>
  <c r="BI60" i="8"/>
  <c r="BI44" i="8"/>
  <c r="BI28" i="8"/>
  <c r="BI12" i="8"/>
  <c r="BK61" i="8"/>
  <c r="BK45" i="8"/>
  <c r="BK29" i="8"/>
  <c r="BK13" i="8"/>
  <c r="BI64" i="8"/>
  <c r="BI32" i="8"/>
  <c r="BI72" i="8"/>
  <c r="BI56" i="8"/>
  <c r="BI40" i="8"/>
  <c r="BI24" i="8"/>
  <c r="BI8" i="8"/>
  <c r="BK73" i="8"/>
  <c r="BK57" i="8"/>
  <c r="BK41" i="8"/>
  <c r="BK25" i="8"/>
  <c r="BK9" i="8"/>
  <c r="BI68" i="8"/>
  <c r="BI52" i="8"/>
  <c r="BI36" i="8"/>
  <c r="BI20" i="8"/>
  <c r="BI4" i="8"/>
  <c r="BK69" i="8"/>
  <c r="BK53" i="8"/>
  <c r="BK37" i="8"/>
  <c r="BK21" i="8"/>
  <c r="BK5" i="8"/>
  <c r="BE51" i="8"/>
  <c r="BI75" i="8"/>
  <c r="BI71" i="8"/>
  <c r="BI67" i="8"/>
  <c r="BI63" i="8"/>
  <c r="BI59" i="8"/>
  <c r="BI55" i="8"/>
  <c r="BI51" i="8"/>
  <c r="BI47" i="8"/>
  <c r="BI43" i="8"/>
  <c r="BI39" i="8"/>
  <c r="BI35" i="8"/>
  <c r="BI31" i="8"/>
  <c r="BI27" i="8"/>
  <c r="BI23" i="8"/>
  <c r="BI19" i="8"/>
  <c r="BI15" i="8"/>
  <c r="BI11" i="8"/>
  <c r="BI7" i="8"/>
  <c r="BI3" i="8"/>
  <c r="BK56" i="8"/>
  <c r="BK52" i="8"/>
  <c r="BK48" i="8"/>
  <c r="BI74" i="8"/>
  <c r="BI70" i="8"/>
  <c r="BI66" i="8"/>
  <c r="BI62" i="8"/>
  <c r="BI58" i="8"/>
  <c r="BI54" i="8"/>
  <c r="BI50" i="8"/>
  <c r="BI46" i="8"/>
  <c r="BI42" i="8"/>
  <c r="BI38" i="8"/>
  <c r="BI34" i="8"/>
  <c r="BI30" i="8"/>
  <c r="BI26" i="8"/>
  <c r="BI22" i="8"/>
  <c r="BI18" i="8"/>
  <c r="BI14" i="8"/>
  <c r="BI10" i="8"/>
  <c r="BI6" i="8"/>
  <c r="BI2" i="8"/>
  <c r="BK67" i="8"/>
  <c r="BK55" i="8"/>
  <c r="BI73" i="8"/>
  <c r="BI65" i="8"/>
  <c r="BI57" i="8"/>
  <c r="BI53" i="8"/>
  <c r="BK74" i="8"/>
  <c r="BK66" i="8"/>
  <c r="BK58" i="8"/>
  <c r="BK54" i="8"/>
  <c r="BM54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W3" i="8"/>
  <c r="AW4" i="8"/>
  <c r="AW5" i="8"/>
  <c r="AW7" i="8"/>
  <c r="AW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V3" i="8"/>
  <c r="AV4" i="8"/>
  <c r="AV5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3" i="7"/>
  <c r="A4" i="7"/>
  <c r="A5" i="7"/>
  <c r="A6" i="7"/>
  <c r="A7" i="7"/>
  <c r="A8" i="7"/>
  <c r="A9" i="7"/>
  <c r="A10" i="7"/>
  <c r="A1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J2" i="8"/>
  <c r="N2" i="8"/>
  <c r="S2" i="8"/>
  <c r="AA2" i="8"/>
  <c r="AW2" i="8"/>
  <c r="J3" i="8"/>
  <c r="N3" i="8"/>
  <c r="S3" i="8"/>
  <c r="AA3" i="8"/>
  <c r="J6" i="8"/>
  <c r="K6" i="8"/>
  <c r="J7" i="8"/>
  <c r="K7" i="8"/>
  <c r="N7" i="8"/>
  <c r="S7" i="8"/>
  <c r="AA7" i="8"/>
  <c r="J8" i="8"/>
  <c r="N8" i="8"/>
  <c r="S8" i="8"/>
  <c r="AA8" i="8"/>
  <c r="J9" i="8"/>
  <c r="N9" i="8"/>
  <c r="S9" i="8"/>
  <c r="AA9" i="8"/>
  <c r="J12" i="8"/>
  <c r="N12" i="8"/>
  <c r="S12" i="8"/>
  <c r="AA12" i="8"/>
  <c r="J13" i="8"/>
  <c r="N13" i="8"/>
  <c r="S13" i="8"/>
  <c r="AA13" i="8"/>
  <c r="J14" i="8"/>
  <c r="N14" i="8"/>
  <c r="S14" i="8"/>
  <c r="AA14" i="8"/>
  <c r="J15" i="8"/>
  <c r="K15" i="8"/>
  <c r="N15" i="8"/>
  <c r="S15" i="8"/>
  <c r="AA15" i="8"/>
  <c r="J16" i="8"/>
  <c r="K16" i="8"/>
  <c r="N16" i="8"/>
  <c r="S16" i="8"/>
  <c r="AA16" i="8"/>
  <c r="AB16" i="8"/>
  <c r="J18" i="8"/>
  <c r="N18" i="8"/>
  <c r="S18" i="8"/>
  <c r="AA18" i="8"/>
  <c r="J19" i="8"/>
  <c r="N19" i="8"/>
  <c r="S19" i="8"/>
  <c r="AA19" i="8"/>
  <c r="AB19" i="8"/>
  <c r="J20" i="8"/>
  <c r="N20" i="8"/>
  <c r="S20" i="8"/>
  <c r="AA20" i="8"/>
  <c r="J21" i="8"/>
  <c r="N21" i="8"/>
  <c r="S21" i="8"/>
  <c r="AA21" i="8"/>
  <c r="AB21" i="8"/>
  <c r="J22" i="8"/>
  <c r="N22" i="8"/>
  <c r="S22" i="8"/>
  <c r="AA22" i="8"/>
  <c r="AB22" i="8"/>
  <c r="J24" i="8"/>
  <c r="N24" i="8"/>
  <c r="S24" i="8"/>
  <c r="AA24" i="8"/>
  <c r="J25" i="8"/>
  <c r="K25" i="8"/>
  <c r="N25" i="8"/>
  <c r="S25" i="8"/>
  <c r="AA25" i="8"/>
  <c r="AB25" i="8"/>
  <c r="J26" i="8"/>
  <c r="K26" i="8"/>
  <c r="N26" i="8"/>
  <c r="S26" i="8"/>
  <c r="AA26" i="8"/>
  <c r="J29" i="8"/>
  <c r="N29" i="8"/>
  <c r="S29" i="8"/>
  <c r="AA29" i="8"/>
  <c r="AB29" i="8"/>
  <c r="J30" i="8"/>
  <c r="N30" i="8"/>
  <c r="S30" i="8"/>
  <c r="AA30" i="8"/>
  <c r="AB30" i="8"/>
  <c r="J31" i="8"/>
  <c r="K31" i="8"/>
  <c r="N31" i="8"/>
  <c r="S31" i="8"/>
  <c r="AA31" i="8"/>
  <c r="J32" i="8"/>
  <c r="K32" i="8"/>
  <c r="N32" i="8"/>
  <c r="S32" i="8"/>
  <c r="AA32" i="8"/>
  <c r="AB32" i="8"/>
  <c r="J33" i="8"/>
  <c r="N33" i="8"/>
  <c r="S33" i="8"/>
  <c r="AA33" i="8"/>
  <c r="AB33" i="8"/>
  <c r="J34" i="8"/>
  <c r="N34" i="8"/>
  <c r="S34" i="8"/>
  <c r="AA34" i="8"/>
  <c r="AB34" i="8"/>
  <c r="J35" i="8"/>
  <c r="K35" i="8"/>
  <c r="N35" i="8"/>
  <c r="S35" i="8"/>
  <c r="AA35" i="8"/>
  <c r="AB35" i="8"/>
  <c r="J36" i="8"/>
  <c r="N36" i="8"/>
  <c r="S36" i="8"/>
  <c r="AA36" i="8"/>
  <c r="J37" i="8"/>
  <c r="N37" i="8"/>
  <c r="S37" i="8"/>
  <c r="AA37" i="8"/>
  <c r="AB37" i="8"/>
  <c r="J40" i="8"/>
  <c r="K40" i="8"/>
  <c r="N40" i="8"/>
  <c r="S40" i="8"/>
  <c r="AA40" i="8"/>
  <c r="J41" i="8"/>
  <c r="K41" i="8"/>
  <c r="N41" i="8"/>
  <c r="S41" i="8"/>
  <c r="AA41" i="8"/>
  <c r="AB41" i="8"/>
  <c r="J43" i="8"/>
  <c r="K43" i="8"/>
  <c r="N43" i="8"/>
  <c r="S43" i="8"/>
  <c r="AA43" i="8"/>
  <c r="AB43" i="8"/>
  <c r="J46" i="8"/>
  <c r="N46" i="8"/>
  <c r="S46" i="8"/>
  <c r="AA46" i="8"/>
  <c r="J47" i="8"/>
  <c r="N47" i="8"/>
  <c r="S47" i="8"/>
  <c r="AA47" i="8"/>
  <c r="AB47" i="8"/>
  <c r="J48" i="8"/>
  <c r="Q48" i="8"/>
  <c r="BM48" i="8"/>
  <c r="N48" i="8"/>
  <c r="AA48" i="8"/>
  <c r="AB48" i="8"/>
  <c r="J49" i="8"/>
  <c r="S49" i="8"/>
  <c r="AA49" i="8"/>
  <c r="AB49" i="8"/>
  <c r="J50" i="8"/>
  <c r="N50" i="8"/>
  <c r="S50" i="8"/>
  <c r="AA50" i="8"/>
  <c r="AB50" i="8"/>
  <c r="J51" i="8"/>
  <c r="Q51" i="8"/>
  <c r="BM51" i="8"/>
  <c r="K51" i="8"/>
  <c r="N51" i="8"/>
  <c r="S51" i="8"/>
  <c r="AA51" i="8"/>
  <c r="AB51" i="8"/>
  <c r="J52" i="8"/>
  <c r="Q52" i="8"/>
  <c r="BM52" i="8"/>
  <c r="K52" i="8"/>
  <c r="N52" i="8"/>
  <c r="S52" i="8"/>
  <c r="AA52" i="8"/>
  <c r="AB52" i="8"/>
  <c r="J53" i="8"/>
  <c r="Q53" i="8"/>
  <c r="BM53" i="8"/>
  <c r="N53" i="8"/>
  <c r="S53" i="8"/>
  <c r="AA53" i="8"/>
  <c r="AB53" i="8"/>
  <c r="K54" i="8"/>
  <c r="N54" i="8"/>
  <c r="O54" i="8"/>
  <c r="BL54" i="8"/>
  <c r="S54" i="8"/>
  <c r="AA54" i="8"/>
  <c r="AB54" i="8"/>
  <c r="J56" i="8"/>
  <c r="Q56" i="8"/>
  <c r="BM56" i="8"/>
  <c r="N56" i="8"/>
  <c r="S56" i="8"/>
  <c r="AA56" i="8"/>
  <c r="AB56" i="8"/>
  <c r="J57" i="8"/>
  <c r="Q57" i="8"/>
  <c r="BM57" i="8"/>
  <c r="N57" i="8"/>
  <c r="S57" i="8"/>
  <c r="AA57" i="8"/>
  <c r="AB57" i="8"/>
  <c r="J58" i="8"/>
  <c r="Q58" i="8"/>
  <c r="BM58" i="8"/>
  <c r="N58" i="8"/>
  <c r="S58" i="8"/>
  <c r="AA58" i="8"/>
  <c r="AB58" i="8"/>
  <c r="J60" i="8"/>
  <c r="Q60" i="8"/>
  <c r="BM60" i="8"/>
  <c r="K60" i="8"/>
  <c r="N60" i="8"/>
  <c r="S60" i="8"/>
  <c r="AA60" i="8"/>
  <c r="AB60" i="8"/>
  <c r="J61" i="8"/>
  <c r="Q61" i="8"/>
  <c r="BM61" i="8"/>
  <c r="K61" i="8"/>
  <c r="N61" i="8"/>
  <c r="S61" i="8"/>
  <c r="AA61" i="8"/>
  <c r="AB61" i="8"/>
  <c r="J62" i="8"/>
  <c r="Q62" i="8"/>
  <c r="BM62" i="8"/>
  <c r="K62" i="8"/>
  <c r="N62" i="8"/>
  <c r="S62" i="8"/>
  <c r="AA62" i="8"/>
  <c r="AB62" i="8"/>
  <c r="J63" i="8"/>
  <c r="Q63" i="8"/>
  <c r="BM63" i="8"/>
  <c r="K63" i="8"/>
  <c r="N63" i="8"/>
  <c r="S63" i="8"/>
  <c r="AA63" i="8"/>
  <c r="AB63" i="8"/>
  <c r="J64" i="8"/>
  <c r="Q64" i="8"/>
  <c r="BM64" i="8"/>
  <c r="K64" i="8"/>
  <c r="N64" i="8"/>
  <c r="S64" i="8"/>
  <c r="AA64" i="8"/>
  <c r="AB64" i="8"/>
  <c r="J65" i="8"/>
  <c r="N65" i="8"/>
  <c r="S65" i="8"/>
  <c r="AA65" i="8"/>
  <c r="AB65" i="8"/>
  <c r="J66" i="8"/>
  <c r="Q66" i="8"/>
  <c r="BM66" i="8"/>
  <c r="K66" i="8"/>
  <c r="N66" i="8"/>
  <c r="S66" i="8"/>
  <c r="AA66" i="8"/>
  <c r="AB66" i="8"/>
  <c r="J67" i="8"/>
  <c r="Q67" i="8"/>
  <c r="BM67" i="8"/>
  <c r="N67" i="8"/>
  <c r="S67" i="8"/>
  <c r="AA67" i="8"/>
  <c r="AB67" i="8"/>
  <c r="J70" i="8"/>
  <c r="N70" i="8"/>
  <c r="S70" i="8"/>
  <c r="AA70" i="8"/>
  <c r="AB70" i="8"/>
  <c r="J71" i="8"/>
  <c r="Q71" i="8"/>
  <c r="BM71" i="8"/>
  <c r="K71" i="8"/>
  <c r="N71" i="8"/>
  <c r="S71" i="8"/>
  <c r="AA71" i="8"/>
  <c r="AB71" i="8"/>
  <c r="J72" i="8"/>
  <c r="Q72" i="8"/>
  <c r="BM72" i="8"/>
  <c r="K72" i="8"/>
  <c r="N72" i="8"/>
  <c r="S72" i="8"/>
  <c r="AA72" i="8"/>
  <c r="AB72" i="8"/>
  <c r="J73" i="8"/>
  <c r="Q73" i="8"/>
  <c r="BM73" i="8"/>
  <c r="K73" i="8"/>
  <c r="N73" i="8"/>
  <c r="S73" i="8"/>
  <c r="AA73" i="8"/>
  <c r="AB73" i="8"/>
  <c r="J74" i="8"/>
  <c r="Q74" i="8"/>
  <c r="BM74" i="8"/>
  <c r="K74" i="8"/>
  <c r="N74" i="8"/>
  <c r="S74" i="8"/>
  <c r="AA74" i="8"/>
  <c r="AB74" i="8"/>
  <c r="J4" i="8"/>
  <c r="K4" i="8"/>
  <c r="N4" i="8"/>
  <c r="S4" i="8"/>
  <c r="AA4" i="8"/>
  <c r="AB4" i="8"/>
  <c r="J5" i="8"/>
  <c r="K5" i="8"/>
  <c r="N5" i="8"/>
  <c r="S5" i="8"/>
  <c r="AA5" i="8"/>
  <c r="AB5" i="8"/>
  <c r="J10" i="8"/>
  <c r="K10" i="8"/>
  <c r="N10" i="8"/>
  <c r="S10" i="8"/>
  <c r="AA10" i="8"/>
  <c r="AB10" i="8"/>
  <c r="J11" i="8"/>
  <c r="N11" i="8"/>
  <c r="S11" i="8"/>
  <c r="AA11" i="8"/>
  <c r="AB11" i="8"/>
  <c r="J17" i="8"/>
  <c r="K17" i="8"/>
  <c r="N17" i="8"/>
  <c r="S17" i="8"/>
  <c r="AA17" i="8"/>
  <c r="AB17" i="8"/>
  <c r="J23" i="8"/>
  <c r="K23" i="8"/>
  <c r="N23" i="8"/>
  <c r="S23" i="8"/>
  <c r="AA23" i="8"/>
  <c r="AB23" i="8"/>
  <c r="J27" i="8"/>
  <c r="K27" i="8"/>
  <c r="N27" i="8"/>
  <c r="S27" i="8"/>
  <c r="AA27" i="8"/>
  <c r="AB27" i="8"/>
  <c r="J28" i="8"/>
  <c r="K28" i="8"/>
  <c r="N28" i="8"/>
  <c r="S28" i="8"/>
  <c r="AA28" i="8"/>
  <c r="AB28" i="8"/>
  <c r="J38" i="8"/>
  <c r="K38" i="8"/>
  <c r="N38" i="8"/>
  <c r="S38" i="8"/>
  <c r="AA38" i="8"/>
  <c r="AB38" i="8"/>
  <c r="J39" i="8"/>
  <c r="K39" i="8"/>
  <c r="N39" i="8"/>
  <c r="S39" i="8"/>
  <c r="AA39" i="8"/>
  <c r="AB39" i="8"/>
  <c r="J42" i="8"/>
  <c r="K42" i="8"/>
  <c r="N42" i="8"/>
  <c r="S42" i="8"/>
  <c r="AA42" i="8"/>
  <c r="AB42" i="8"/>
  <c r="J44" i="8"/>
  <c r="K44" i="8"/>
  <c r="N44" i="8"/>
  <c r="S44" i="8"/>
  <c r="AA44" i="8"/>
  <c r="AB44" i="8"/>
  <c r="J45" i="8"/>
  <c r="K45" i="8"/>
  <c r="N45" i="8"/>
  <c r="S45" i="8"/>
  <c r="AA45" i="8"/>
  <c r="AB45" i="8"/>
  <c r="J55" i="8"/>
  <c r="Q55" i="8"/>
  <c r="BM55" i="8"/>
  <c r="N55" i="8"/>
  <c r="S55" i="8"/>
  <c r="AA55" i="8"/>
  <c r="AB55" i="8"/>
  <c r="J59" i="8"/>
  <c r="N59" i="8"/>
  <c r="S59" i="8"/>
  <c r="AA59" i="8"/>
  <c r="AB59" i="8"/>
  <c r="J68" i="8"/>
  <c r="Q68" i="8"/>
  <c r="BM68" i="8"/>
  <c r="K68" i="8"/>
  <c r="N68" i="8"/>
  <c r="S68" i="8"/>
  <c r="AA68" i="8"/>
  <c r="AB68" i="8"/>
  <c r="J69" i="8"/>
  <c r="Q69" i="8"/>
  <c r="BM69" i="8"/>
  <c r="K69" i="8"/>
  <c r="N69" i="8"/>
  <c r="S69" i="8"/>
  <c r="AA69" i="8"/>
  <c r="AB69" i="8"/>
  <c r="J75" i="8"/>
  <c r="Q75" i="8"/>
  <c r="BM75" i="8"/>
  <c r="K75" i="8"/>
  <c r="N75" i="8"/>
  <c r="S75" i="8"/>
  <c r="AA75" i="8"/>
  <c r="AB75" i="8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Q45" i="8"/>
  <c r="BM45" i="8"/>
  <c r="K45" i="7"/>
  <c r="O45" i="7"/>
  <c r="J45" i="7"/>
  <c r="N45" i="7"/>
  <c r="Q42" i="8"/>
  <c r="BM42" i="8"/>
  <c r="J42" i="7"/>
  <c r="N42" i="7"/>
  <c r="K42" i="7"/>
  <c r="O42" i="7"/>
  <c r="P42" i="7"/>
  <c r="Q38" i="8"/>
  <c r="BM38" i="8"/>
  <c r="J38" i="7"/>
  <c r="N38" i="7"/>
  <c r="K38" i="7"/>
  <c r="O38" i="7"/>
  <c r="Q27" i="8"/>
  <c r="BM27" i="8"/>
  <c r="K27" i="7"/>
  <c r="O27" i="7"/>
  <c r="J27" i="7"/>
  <c r="N27" i="7"/>
  <c r="Q17" i="8"/>
  <c r="BM17" i="8"/>
  <c r="K17" i="7"/>
  <c r="O17" i="7"/>
  <c r="P17" i="7"/>
  <c r="J17" i="7"/>
  <c r="N17" i="7"/>
  <c r="Q11" i="8"/>
  <c r="BM11" i="8"/>
  <c r="K11" i="7"/>
  <c r="O11" i="7"/>
  <c r="J11" i="7"/>
  <c r="N11" i="7"/>
  <c r="Q5" i="8"/>
  <c r="BM5" i="8"/>
  <c r="K5" i="7"/>
  <c r="O5" i="7"/>
  <c r="P5" i="7"/>
  <c r="J5" i="7"/>
  <c r="N5" i="7"/>
  <c r="Q43" i="8"/>
  <c r="BM43" i="8"/>
  <c r="K43" i="7"/>
  <c r="O43" i="7"/>
  <c r="J43" i="7"/>
  <c r="N43" i="7"/>
  <c r="Q32" i="8"/>
  <c r="BM32" i="8"/>
  <c r="J32" i="7"/>
  <c r="N32" i="7"/>
  <c r="K32" i="7"/>
  <c r="O32" i="7"/>
  <c r="P32" i="7"/>
  <c r="Q16" i="8"/>
  <c r="BM16" i="8"/>
  <c r="K16" i="7"/>
  <c r="O16" i="7"/>
  <c r="P16" i="7"/>
  <c r="Q3" i="8"/>
  <c r="BM3" i="8"/>
  <c r="K3" i="7"/>
  <c r="O3" i="7"/>
  <c r="J3" i="7"/>
  <c r="N3" i="7"/>
  <c r="Q41" i="8"/>
  <c r="BM41" i="8"/>
  <c r="K41" i="7"/>
  <c r="O41" i="7"/>
  <c r="P41" i="7"/>
  <c r="J41" i="7"/>
  <c r="N41" i="7"/>
  <c r="Q31" i="8"/>
  <c r="BM31" i="8"/>
  <c r="K31" i="7"/>
  <c r="O31" i="7"/>
  <c r="J31" i="7"/>
  <c r="N31" i="7"/>
  <c r="J30" i="7"/>
  <c r="N30" i="7"/>
  <c r="K30" i="7"/>
  <c r="O30" i="7"/>
  <c r="P30" i="7"/>
  <c r="Q29" i="8"/>
  <c r="BM29" i="8"/>
  <c r="K29" i="7"/>
  <c r="O29" i="7"/>
  <c r="P29" i="7"/>
  <c r="J29" i="7"/>
  <c r="N29" i="7"/>
  <c r="Q15" i="8"/>
  <c r="BM15" i="8"/>
  <c r="K15" i="7"/>
  <c r="O15" i="7"/>
  <c r="J15" i="7"/>
  <c r="N15" i="7"/>
  <c r="Q14" i="8"/>
  <c r="BM14" i="8"/>
  <c r="K14" i="7"/>
  <c r="O14" i="7"/>
  <c r="P14" i="7"/>
  <c r="J14" i="7"/>
  <c r="N14" i="7"/>
  <c r="Q13" i="8"/>
  <c r="BM13" i="8"/>
  <c r="K13" i="7"/>
  <c r="O13" i="7"/>
  <c r="J13" i="7"/>
  <c r="N13" i="7"/>
  <c r="Q12" i="8"/>
  <c r="BM12" i="8"/>
  <c r="J12" i="7"/>
  <c r="N12" i="7"/>
  <c r="K12" i="7"/>
  <c r="O12" i="7"/>
  <c r="Q9" i="8"/>
  <c r="BM9" i="8"/>
  <c r="K9" i="7"/>
  <c r="O9" i="7"/>
  <c r="J9" i="7"/>
  <c r="N9" i="7"/>
  <c r="Q8" i="8"/>
  <c r="BM8" i="8"/>
  <c r="J8" i="7"/>
  <c r="N8" i="7"/>
  <c r="K8" i="7"/>
  <c r="O8" i="7"/>
  <c r="Q2" i="8"/>
  <c r="BM2" i="8"/>
  <c r="O2" i="8"/>
  <c r="K2" i="7"/>
  <c r="O2" i="7"/>
  <c r="P2" i="7"/>
  <c r="J2" i="7"/>
  <c r="N2" i="7"/>
  <c r="BM6" i="8"/>
  <c r="K6" i="7"/>
  <c r="O6" i="7"/>
  <c r="J6" i="7"/>
  <c r="N6" i="7"/>
  <c r="Q44" i="8"/>
  <c r="BM44" i="8"/>
  <c r="J44" i="7"/>
  <c r="N44" i="7"/>
  <c r="K44" i="7"/>
  <c r="O44" i="7"/>
  <c r="Q39" i="8"/>
  <c r="BM39" i="8"/>
  <c r="K39" i="7"/>
  <c r="O39" i="7"/>
  <c r="J39" i="7"/>
  <c r="N39" i="7"/>
  <c r="J28" i="7"/>
  <c r="N28" i="7"/>
  <c r="K28" i="7"/>
  <c r="O28" i="7"/>
  <c r="P28" i="7"/>
  <c r="Q23" i="8"/>
  <c r="BM23" i="8"/>
  <c r="K23" i="7"/>
  <c r="O23" i="7"/>
  <c r="P23" i="7"/>
  <c r="J23" i="7"/>
  <c r="N23" i="7"/>
  <c r="Q10" i="8"/>
  <c r="BM10" i="8"/>
  <c r="K10" i="7"/>
  <c r="O10" i="7"/>
  <c r="J10" i="7"/>
  <c r="N10" i="7"/>
  <c r="Q4" i="8"/>
  <c r="BM4" i="8"/>
  <c r="J4" i="7"/>
  <c r="N4" i="7"/>
  <c r="K4" i="7"/>
  <c r="O4" i="7"/>
  <c r="Q40" i="8"/>
  <c r="BM40" i="8"/>
  <c r="J40" i="7"/>
  <c r="N40" i="7"/>
  <c r="K40" i="7"/>
  <c r="O40" i="7"/>
  <c r="P40" i="7"/>
  <c r="K37" i="7"/>
  <c r="O37" i="7"/>
  <c r="J37" i="7"/>
  <c r="N37" i="7"/>
  <c r="Q36" i="8"/>
  <c r="BM36" i="8"/>
  <c r="J36" i="7"/>
  <c r="N36" i="7"/>
  <c r="K36" i="7"/>
  <c r="O36" i="7"/>
  <c r="J26" i="7"/>
  <c r="N26" i="7"/>
  <c r="K26" i="7"/>
  <c r="O26" i="7"/>
  <c r="P26" i="7"/>
  <c r="K7" i="7"/>
  <c r="O7" i="7"/>
  <c r="P7" i="7"/>
  <c r="J7" i="7"/>
  <c r="N7" i="7"/>
  <c r="AC2" i="8"/>
  <c r="Q46" i="8"/>
  <c r="BM46" i="8"/>
  <c r="J46" i="7"/>
  <c r="N46" i="7"/>
  <c r="K46" i="7"/>
  <c r="O46" i="7"/>
  <c r="Q35" i="8"/>
  <c r="BM35" i="8"/>
  <c r="K35" i="7"/>
  <c r="O35" i="7"/>
  <c r="J35" i="7"/>
  <c r="N35" i="7"/>
  <c r="J34" i="7"/>
  <c r="N34" i="7"/>
  <c r="K34" i="7"/>
  <c r="O34" i="7"/>
  <c r="P34" i="7"/>
  <c r="Q33" i="8"/>
  <c r="BM33" i="8"/>
  <c r="K33" i="7"/>
  <c r="O33" i="7"/>
  <c r="P33" i="7"/>
  <c r="J33" i="7"/>
  <c r="N33" i="7"/>
  <c r="Q25" i="8"/>
  <c r="BM25" i="8"/>
  <c r="K25" i="7"/>
  <c r="O25" i="7"/>
  <c r="J25" i="7"/>
  <c r="N25" i="7"/>
  <c r="Q24" i="8"/>
  <c r="BM24" i="8"/>
  <c r="J24" i="7"/>
  <c r="N24" i="7"/>
  <c r="K24" i="7"/>
  <c r="O24" i="7"/>
  <c r="P24" i="7"/>
  <c r="Q22" i="8"/>
  <c r="BM22" i="8"/>
  <c r="J22" i="7"/>
  <c r="N22" i="7"/>
  <c r="K22" i="7"/>
  <c r="O22" i="7"/>
  <c r="P22" i="7"/>
  <c r="Q21" i="8"/>
  <c r="BM21" i="8"/>
  <c r="K21" i="7"/>
  <c r="O21" i="7"/>
  <c r="P21" i="7"/>
  <c r="J21" i="7"/>
  <c r="N21" i="7"/>
  <c r="Q20" i="8"/>
  <c r="BM20" i="8"/>
  <c r="J20" i="7"/>
  <c r="N20" i="7"/>
  <c r="K20" i="7"/>
  <c r="O20" i="7"/>
  <c r="P20" i="7"/>
  <c r="Q19" i="8"/>
  <c r="BM19" i="8"/>
  <c r="K19" i="7"/>
  <c r="O19" i="7"/>
  <c r="J19" i="7"/>
  <c r="N19" i="7"/>
  <c r="Q18" i="8"/>
  <c r="BM18" i="8"/>
  <c r="J18" i="7"/>
  <c r="N18" i="7"/>
  <c r="K18" i="7"/>
  <c r="O18" i="7"/>
  <c r="P18" i="7"/>
  <c r="K37" i="8"/>
  <c r="Q37" i="8"/>
  <c r="BM37" i="8"/>
  <c r="K70" i="8"/>
  <c r="Q70" i="8"/>
  <c r="BM70" i="8"/>
  <c r="K65" i="8"/>
  <c r="Q65" i="8"/>
  <c r="BM65" i="8"/>
  <c r="K50" i="8"/>
  <c r="Q50" i="8"/>
  <c r="BM50" i="8"/>
  <c r="K49" i="8"/>
  <c r="Q49" i="8"/>
  <c r="BM49" i="8"/>
  <c r="Q47" i="8"/>
  <c r="BM47" i="8"/>
  <c r="K47" i="8"/>
  <c r="K34" i="8"/>
  <c r="Q34" i="8"/>
  <c r="BM34" i="8"/>
  <c r="Q26" i="8"/>
  <c r="BM26" i="8"/>
  <c r="K59" i="8"/>
  <c r="Q59" i="8"/>
  <c r="BM59" i="8"/>
  <c r="Q7" i="8"/>
  <c r="BM7" i="8"/>
  <c r="Q28" i="8"/>
  <c r="BM28" i="8"/>
  <c r="K30" i="8"/>
  <c r="Q30" i="8"/>
  <c r="BM30" i="8"/>
  <c r="K24" i="8"/>
  <c r="K22" i="8"/>
  <c r="K21" i="8"/>
  <c r="K20" i="8"/>
  <c r="K18" i="8"/>
  <c r="K3" i="8"/>
  <c r="K2" i="8"/>
  <c r="BL2" i="8"/>
  <c r="K11" i="8"/>
  <c r="K29" i="8"/>
  <c r="K14" i="8"/>
  <c r="K13" i="8"/>
  <c r="K9" i="8"/>
  <c r="K8" i="8"/>
  <c r="AE45" i="8"/>
  <c r="AC63" i="8"/>
  <c r="K53" i="8"/>
  <c r="AE67" i="8"/>
  <c r="K48" i="8"/>
  <c r="AC14" i="8"/>
  <c r="AE70" i="8"/>
  <c r="O34" i="8"/>
  <c r="BL34" i="8"/>
  <c r="AE38" i="8"/>
  <c r="AC50" i="8"/>
  <c r="AC41" i="8"/>
  <c r="AC9" i="8"/>
  <c r="AC7" i="8"/>
  <c r="BL6" i="8"/>
  <c r="K67" i="8"/>
  <c r="AC56" i="8"/>
  <c r="K19" i="8"/>
  <c r="K12" i="8"/>
  <c r="AC74" i="8"/>
  <c r="K55" i="8"/>
  <c r="AC3" i="8"/>
  <c r="AC60" i="8"/>
  <c r="AC47" i="8"/>
  <c r="AC19" i="8"/>
  <c r="O4" i="8"/>
  <c r="BL4" i="8"/>
  <c r="O52" i="8"/>
  <c r="BL52" i="8"/>
  <c r="AE17" i="8"/>
  <c r="AB3" i="8"/>
  <c r="AB2" i="8"/>
  <c r="O42" i="8"/>
  <c r="BL42" i="8"/>
  <c r="O39" i="8"/>
  <c r="BL39" i="8"/>
  <c r="O17" i="8"/>
  <c r="BL17" i="8"/>
  <c r="O11" i="8"/>
  <c r="BL11" i="8"/>
  <c r="AE10" i="8"/>
  <c r="AE74" i="8"/>
  <c r="AC16" i="8"/>
  <c r="O3" i="8"/>
  <c r="BL3" i="8"/>
  <c r="AE68" i="8"/>
  <c r="O59" i="8"/>
  <c r="BL59" i="8"/>
  <c r="AC61" i="8"/>
  <c r="AC57" i="8"/>
  <c r="AC49" i="8"/>
  <c r="O49" i="8"/>
  <c r="BL49" i="8"/>
  <c r="AC15" i="8"/>
  <c r="O15" i="8"/>
  <c r="BL15" i="8"/>
  <c r="AE27" i="8"/>
  <c r="AE60" i="8"/>
  <c r="AC37" i="8"/>
  <c r="AC22" i="8"/>
  <c r="AC21" i="8"/>
  <c r="AC8" i="8"/>
  <c r="AC69" i="8"/>
  <c r="AC45" i="8"/>
  <c r="O5" i="8"/>
  <c r="BL5" i="8"/>
  <c r="O75" i="8"/>
  <c r="BL75" i="8"/>
  <c r="AC5" i="8"/>
  <c r="AC64" i="8"/>
  <c r="O45" i="8"/>
  <c r="BL45" i="8"/>
  <c r="AC44" i="8"/>
  <c r="AC28" i="8"/>
  <c r="O28" i="8"/>
  <c r="BL28" i="8"/>
  <c r="AC17" i="8"/>
  <c r="AC73" i="8"/>
  <c r="AC70" i="8"/>
  <c r="AC58" i="8"/>
  <c r="AE57" i="8"/>
  <c r="O53" i="8"/>
  <c r="BL53" i="8"/>
  <c r="AC13" i="8"/>
  <c r="AC71" i="8"/>
  <c r="AC67" i="8"/>
  <c r="AE53" i="8"/>
  <c r="AB8" i="8"/>
  <c r="O8" i="8"/>
  <c r="BL8" i="8"/>
  <c r="O69" i="8"/>
  <c r="BL69" i="8"/>
  <c r="O55" i="8"/>
  <c r="BL55" i="8"/>
  <c r="O44" i="8"/>
  <c r="BL44" i="8"/>
  <c r="AC38" i="8"/>
  <c r="AE28" i="8"/>
  <c r="AC27" i="8"/>
  <c r="O23" i="8"/>
  <c r="BL23" i="8"/>
  <c r="AC10" i="8"/>
  <c r="AE5" i="8"/>
  <c r="AE73" i="8"/>
  <c r="AE71" i="8"/>
  <c r="AE64" i="8"/>
  <c r="O64" i="8"/>
  <c r="BL64" i="8"/>
  <c r="O9" i="8"/>
  <c r="BL9" i="8"/>
  <c r="AE69" i="8"/>
  <c r="AC68" i="8"/>
  <c r="O68" i="8"/>
  <c r="BL68" i="8"/>
  <c r="AE44" i="8"/>
  <c r="O38" i="8"/>
  <c r="BL38" i="8"/>
  <c r="O27" i="8"/>
  <c r="BL27" i="8"/>
  <c r="O10" i="8"/>
  <c r="BL10" i="8"/>
  <c r="AE63" i="8"/>
  <c r="AE61" i="8"/>
  <c r="O60" i="8"/>
  <c r="BL60" i="8"/>
  <c r="AC53" i="8"/>
  <c r="AC32" i="8"/>
  <c r="AC30" i="8"/>
  <c r="AC25" i="8"/>
  <c r="AE16" i="8"/>
  <c r="AB15" i="8"/>
  <c r="AB14" i="8"/>
  <c r="O14" i="8"/>
  <c r="BL14" i="8"/>
  <c r="O12" i="8"/>
  <c r="BL12" i="8"/>
  <c r="AB7" i="8"/>
  <c r="AE58" i="8"/>
  <c r="AE56" i="8"/>
  <c r="AE49" i="8"/>
  <c r="AC34" i="8"/>
  <c r="AC29" i="8"/>
  <c r="AB13" i="8"/>
  <c r="AB9" i="8"/>
  <c r="O7" i="8"/>
  <c r="BL7" i="8"/>
  <c r="AC75" i="8"/>
  <c r="AE75" i="8"/>
  <c r="AC55" i="8"/>
  <c r="AE55" i="8"/>
  <c r="AC11" i="8"/>
  <c r="AE11" i="8"/>
  <c r="O70" i="8"/>
  <c r="BL70" i="8"/>
  <c r="AE36" i="8"/>
  <c r="AB36" i="8"/>
  <c r="AC36" i="8"/>
  <c r="O13" i="8"/>
  <c r="BL13" i="8"/>
  <c r="O74" i="8"/>
  <c r="BL74" i="8"/>
  <c r="O41" i="8"/>
  <c r="BL41" i="8"/>
  <c r="AC59" i="8"/>
  <c r="AE59" i="8"/>
  <c r="AC42" i="8"/>
  <c r="AE42" i="8"/>
  <c r="AC23" i="8"/>
  <c r="AE23" i="8"/>
  <c r="AC4" i="8"/>
  <c r="AE4" i="8"/>
  <c r="AC65" i="8"/>
  <c r="AE65" i="8"/>
  <c r="O65" i="8"/>
  <c r="BL65" i="8"/>
  <c r="O50" i="8"/>
  <c r="BL50" i="8"/>
  <c r="AC39" i="8"/>
  <c r="AE39" i="8"/>
  <c r="AC72" i="8"/>
  <c r="AE72" i="8"/>
  <c r="AE40" i="8"/>
  <c r="AC40" i="8"/>
  <c r="AB40" i="8"/>
  <c r="AC54" i="8"/>
  <c r="AE54" i="8"/>
  <c r="K33" i="8"/>
  <c r="AC12" i="8"/>
  <c r="AB12" i="8"/>
  <c r="O71" i="8"/>
  <c r="BL71" i="8"/>
  <c r="O61" i="8"/>
  <c r="BL61" i="8"/>
  <c r="O57" i="8"/>
  <c r="BL57" i="8"/>
  <c r="O51" i="8"/>
  <c r="BL51" i="8"/>
  <c r="K46" i="8"/>
  <c r="AE43" i="8"/>
  <c r="AC43" i="8"/>
  <c r="AE24" i="8"/>
  <c r="AB24" i="8"/>
  <c r="AC24" i="8"/>
  <c r="O24" i="8"/>
  <c r="BL24" i="8"/>
  <c r="AE20" i="8"/>
  <c r="AB20" i="8"/>
  <c r="AC20" i="8"/>
  <c r="O20" i="8"/>
  <c r="BL20" i="8"/>
  <c r="AC62" i="8"/>
  <c r="AE62" i="8"/>
  <c r="AE51" i="8"/>
  <c r="AC51" i="8"/>
  <c r="AE33" i="8"/>
  <c r="AC33" i="8"/>
  <c r="AE31" i="8"/>
  <c r="AB31" i="8"/>
  <c r="AC31" i="8"/>
  <c r="O31" i="8"/>
  <c r="BL31" i="8"/>
  <c r="AE26" i="8"/>
  <c r="AB26" i="8"/>
  <c r="AC26" i="8"/>
  <c r="O26" i="8"/>
  <c r="BL26" i="8"/>
  <c r="AC66" i="8"/>
  <c r="AE66" i="8"/>
  <c r="AE52" i="8"/>
  <c r="AC52" i="8"/>
  <c r="AE48" i="8"/>
  <c r="AC48" i="8"/>
  <c r="AE46" i="8"/>
  <c r="AB46" i="8"/>
  <c r="AC46" i="8"/>
  <c r="K36" i="8"/>
  <c r="AE35" i="8"/>
  <c r="AC35" i="8"/>
  <c r="AE18" i="8"/>
  <c r="AB18" i="8"/>
  <c r="AC18" i="8"/>
  <c r="O18" i="8"/>
  <c r="BL18" i="8"/>
  <c r="O72" i="8"/>
  <c r="BL72" i="8"/>
  <c r="O66" i="8"/>
  <c r="BL66" i="8"/>
  <c r="O62" i="8"/>
  <c r="BL62" i="8"/>
  <c r="O58" i="8"/>
  <c r="BL58" i="8"/>
  <c r="O56" i="8"/>
  <c r="BL56" i="8"/>
  <c r="O48" i="8"/>
  <c r="BL48" i="8"/>
  <c r="O43" i="8"/>
  <c r="BL43" i="8"/>
  <c r="O40" i="8"/>
  <c r="BL40" i="8"/>
  <c r="O35" i="8"/>
  <c r="BL35" i="8"/>
  <c r="AE32" i="8"/>
  <c r="AE30" i="8"/>
  <c r="AE25" i="8"/>
  <c r="AE22" i="8"/>
  <c r="AE19" i="8"/>
  <c r="O73" i="8"/>
  <c r="BL73" i="8"/>
  <c r="O67" i="8"/>
  <c r="BL67" i="8"/>
  <c r="O63" i="8"/>
  <c r="BL63" i="8"/>
  <c r="AE50" i="8"/>
  <c r="AE47" i="8"/>
  <c r="AE41" i="8"/>
  <c r="AE37" i="8"/>
  <c r="AE34" i="8"/>
  <c r="O32" i="8"/>
  <c r="BL32" i="8"/>
  <c r="AE29" i="8"/>
  <c r="O25" i="8"/>
  <c r="BL25" i="8"/>
  <c r="AE21" i="8"/>
  <c r="O19" i="8"/>
  <c r="BL19" i="8"/>
  <c r="K58" i="8"/>
  <c r="K57" i="8"/>
  <c r="K56" i="8"/>
  <c r="O47" i="8"/>
  <c r="BL47" i="8"/>
  <c r="O46" i="8"/>
  <c r="BL46" i="8"/>
  <c r="O37" i="8"/>
  <c r="BL37" i="8"/>
  <c r="O36" i="8"/>
  <c r="BL36" i="8"/>
  <c r="O33" i="8"/>
  <c r="BL33" i="8"/>
  <c r="O30" i="8"/>
  <c r="BL30" i="8"/>
  <c r="O29" i="8"/>
  <c r="BL29" i="8"/>
  <c r="O22" i="8"/>
  <c r="BL22" i="8"/>
  <c r="O21" i="8"/>
  <c r="BL21" i="8"/>
  <c r="AE15" i="8"/>
  <c r="AE14" i="8"/>
  <c r="AE13" i="8"/>
  <c r="AE12" i="8"/>
  <c r="AE9" i="8"/>
  <c r="AE8" i="8"/>
  <c r="AE7" i="8"/>
  <c r="AE3" i="8"/>
  <c r="AE2" i="8"/>
  <c r="P25" i="7"/>
  <c r="P35" i="7"/>
  <c r="P44" i="7"/>
  <c r="P6" i="7"/>
  <c r="P12" i="7"/>
  <c r="P13" i="7"/>
  <c r="P3" i="7"/>
  <c r="P43" i="7"/>
  <c r="P27" i="7"/>
  <c r="P19" i="7"/>
  <c r="P45" i="7"/>
  <c r="P46" i="7"/>
  <c r="P36" i="7"/>
  <c r="P37" i="7"/>
  <c r="P4" i="7"/>
  <c r="P10" i="7"/>
  <c r="P39" i="7"/>
  <c r="P8" i="7"/>
  <c r="P9" i="7"/>
  <c r="P15" i="7"/>
  <c r="P31" i="7"/>
  <c r="P11" i="7"/>
  <c r="P38" i="7"/>
  <c r="J52" i="1"/>
  <c r="J53" i="1"/>
  <c r="K52" i="1"/>
  <c r="K53" i="1"/>
  <c r="N52" i="1"/>
  <c r="N53" i="1"/>
  <c r="S52" i="1"/>
  <c r="AE52" i="1"/>
  <c r="S53" i="1"/>
  <c r="AA52" i="1"/>
  <c r="AA53" i="1"/>
  <c r="AB52" i="1"/>
  <c r="AB53" i="1"/>
  <c r="AC52" i="1"/>
  <c r="AC53" i="1"/>
  <c r="J54" i="1"/>
  <c r="K54" i="1"/>
  <c r="N54" i="1"/>
  <c r="S54" i="1"/>
  <c r="AA54" i="1"/>
  <c r="AB54" i="1"/>
  <c r="J45" i="1"/>
  <c r="Q45" i="1"/>
  <c r="J46" i="1"/>
  <c r="Q46" i="1"/>
  <c r="J47" i="1"/>
  <c r="Q47" i="1"/>
  <c r="J48" i="1"/>
  <c r="K46" i="1"/>
  <c r="K47" i="1"/>
  <c r="K48" i="1"/>
  <c r="N45" i="1"/>
  <c r="N46" i="1"/>
  <c r="N47" i="1"/>
  <c r="N48" i="1"/>
  <c r="S45" i="1"/>
  <c r="S46" i="1"/>
  <c r="S47" i="1"/>
  <c r="S48" i="1"/>
  <c r="AA45" i="1"/>
  <c r="AA46" i="1"/>
  <c r="AA47" i="1"/>
  <c r="AC47" i="1"/>
  <c r="AA48" i="1"/>
  <c r="AC48" i="1"/>
  <c r="AB45" i="1"/>
  <c r="AB46" i="1"/>
  <c r="AB47" i="1"/>
  <c r="AB48" i="1"/>
  <c r="J49" i="1"/>
  <c r="J50" i="1"/>
  <c r="K49" i="1"/>
  <c r="K50" i="1"/>
  <c r="N49" i="1"/>
  <c r="N50" i="1"/>
  <c r="S49" i="1"/>
  <c r="S50" i="1"/>
  <c r="AA49" i="1"/>
  <c r="AA50" i="1"/>
  <c r="AB49" i="1"/>
  <c r="AB50" i="1"/>
  <c r="J51" i="1"/>
  <c r="K51" i="1"/>
  <c r="N51" i="1"/>
  <c r="S51" i="1"/>
  <c r="AA51" i="1"/>
  <c r="AB51" i="1"/>
  <c r="J55" i="1"/>
  <c r="Q55" i="1"/>
  <c r="K55" i="1"/>
  <c r="N55" i="1"/>
  <c r="S55" i="1"/>
  <c r="AA55" i="1"/>
  <c r="AB55" i="1"/>
  <c r="J35" i="1"/>
  <c r="N35" i="1"/>
  <c r="S35" i="1"/>
  <c r="AA35" i="1"/>
  <c r="AB35" i="1"/>
  <c r="J36" i="1"/>
  <c r="Q36" i="1"/>
  <c r="K36" i="1"/>
  <c r="N36" i="1"/>
  <c r="S36" i="1"/>
  <c r="AA36" i="1"/>
  <c r="AB36" i="1"/>
  <c r="J37" i="1"/>
  <c r="Q37" i="1"/>
  <c r="K37" i="1"/>
  <c r="N37" i="1"/>
  <c r="S37" i="1"/>
  <c r="AA37" i="1"/>
  <c r="AB37" i="1"/>
  <c r="AC51" i="1"/>
  <c r="AE45" i="1"/>
  <c r="AE53" i="1"/>
  <c r="AE46" i="1"/>
  <c r="O52" i="1"/>
  <c r="AC55" i="1"/>
  <c r="O54" i="1"/>
  <c r="AC54" i="1"/>
  <c r="O53" i="1"/>
  <c r="O51" i="1"/>
  <c r="AE50" i="1"/>
  <c r="O50" i="1"/>
  <c r="O49" i="1"/>
  <c r="AE49" i="1"/>
  <c r="O48" i="1"/>
  <c r="Q48" i="1"/>
  <c r="O46" i="1"/>
  <c r="Q53" i="1"/>
  <c r="Q50" i="1"/>
  <c r="Q54" i="1"/>
  <c r="Q49" i="1"/>
  <c r="O45" i="1"/>
  <c r="K45" i="1"/>
  <c r="Q52" i="1"/>
  <c r="AC50" i="1"/>
  <c r="AE48" i="1"/>
  <c r="AC46" i="1"/>
  <c r="Q51" i="1"/>
  <c r="AC49" i="1"/>
  <c r="AE47" i="1"/>
  <c r="AC45" i="1"/>
  <c r="AE55" i="1"/>
  <c r="AE54" i="1"/>
  <c r="O47" i="1"/>
  <c r="AE35" i="1"/>
  <c r="O55" i="1"/>
  <c r="AE51" i="1"/>
  <c r="AE36" i="1"/>
  <c r="AC36" i="1"/>
  <c r="AC35" i="1"/>
  <c r="O35" i="1"/>
  <c r="O37" i="1"/>
  <c r="Q35" i="1"/>
  <c r="K35" i="1"/>
  <c r="O36" i="1"/>
  <c r="AC37" i="1"/>
  <c r="AE37" i="1"/>
  <c r="S44" i="1"/>
  <c r="J5" i="1"/>
  <c r="K5" i="1"/>
  <c r="N5" i="1"/>
  <c r="S5" i="1"/>
  <c r="AA5" i="1"/>
  <c r="J11" i="1"/>
  <c r="Q11" i="1"/>
  <c r="K11" i="1"/>
  <c r="N11" i="1"/>
  <c r="S11" i="1"/>
  <c r="AA11" i="1"/>
  <c r="AB11" i="1"/>
  <c r="J12" i="1"/>
  <c r="Q12" i="1"/>
  <c r="K12" i="1"/>
  <c r="N12" i="1"/>
  <c r="S12" i="1"/>
  <c r="AA12" i="1"/>
  <c r="AB12" i="1"/>
  <c r="J2" i="1"/>
  <c r="K2" i="1"/>
  <c r="N2" i="1"/>
  <c r="S2" i="1"/>
  <c r="AA2" i="1"/>
  <c r="J3" i="1"/>
  <c r="K3" i="1"/>
  <c r="N3" i="1"/>
  <c r="S3" i="1"/>
  <c r="AA3" i="1"/>
  <c r="AB3" i="1"/>
  <c r="J6" i="1"/>
  <c r="K6" i="1"/>
  <c r="N6" i="1"/>
  <c r="S6" i="1"/>
  <c r="AA6" i="1"/>
  <c r="J7" i="1"/>
  <c r="K7" i="1"/>
  <c r="N7" i="1"/>
  <c r="S7" i="1"/>
  <c r="AA7" i="1"/>
  <c r="AB7" i="1"/>
  <c r="J8" i="1"/>
  <c r="Q8" i="1"/>
  <c r="K8" i="1"/>
  <c r="N8" i="1"/>
  <c r="S8" i="1"/>
  <c r="AA8" i="1"/>
  <c r="AB8" i="1"/>
  <c r="J9" i="1"/>
  <c r="Q9" i="1"/>
  <c r="K9" i="1"/>
  <c r="N9" i="1"/>
  <c r="S9" i="1"/>
  <c r="AA9" i="1"/>
  <c r="AB9" i="1"/>
  <c r="J10" i="1"/>
  <c r="K10" i="1"/>
  <c r="N10" i="1"/>
  <c r="S10" i="1"/>
  <c r="AA10" i="1"/>
  <c r="J34" i="1"/>
  <c r="N34" i="1"/>
  <c r="S34" i="1"/>
  <c r="AA34" i="1"/>
  <c r="AB34" i="1"/>
  <c r="J4" i="1"/>
  <c r="Q4" i="1"/>
  <c r="K4" i="1"/>
  <c r="N4" i="1"/>
  <c r="S4" i="1"/>
  <c r="AA4" i="1"/>
  <c r="AB4" i="1"/>
  <c r="J33" i="1"/>
  <c r="N33" i="1"/>
  <c r="S33" i="1"/>
  <c r="AA33" i="1"/>
  <c r="AB33" i="1"/>
  <c r="J13" i="1"/>
  <c r="Q13" i="1"/>
  <c r="K13" i="1"/>
  <c r="N13" i="1"/>
  <c r="S13" i="1"/>
  <c r="AA13" i="1"/>
  <c r="J14" i="1"/>
  <c r="K14" i="1"/>
  <c r="N14" i="1"/>
  <c r="S14" i="1"/>
  <c r="AA14" i="1"/>
  <c r="AB14" i="1"/>
  <c r="J19" i="1"/>
  <c r="Q19" i="1"/>
  <c r="K19" i="1"/>
  <c r="N19" i="1"/>
  <c r="S19" i="1"/>
  <c r="AA19" i="1"/>
  <c r="J20" i="1"/>
  <c r="K20" i="1"/>
  <c r="N20" i="1"/>
  <c r="S20" i="1"/>
  <c r="AA20" i="1"/>
  <c r="AB20" i="1"/>
  <c r="J15" i="1"/>
  <c r="Q15" i="1"/>
  <c r="K15" i="1"/>
  <c r="N15" i="1"/>
  <c r="S15" i="1"/>
  <c r="AA15" i="1"/>
  <c r="J17" i="1"/>
  <c r="N17" i="1"/>
  <c r="S17" i="1"/>
  <c r="AA17" i="1"/>
  <c r="AB17" i="1"/>
  <c r="J18" i="1"/>
  <c r="Q18" i="1"/>
  <c r="K18" i="1"/>
  <c r="N18" i="1"/>
  <c r="S18" i="1"/>
  <c r="AA18" i="1"/>
  <c r="J16" i="1"/>
  <c r="N16" i="1"/>
  <c r="S16" i="1"/>
  <c r="AA16" i="1"/>
  <c r="AB16" i="1"/>
  <c r="J23" i="1"/>
  <c r="K23" i="1"/>
  <c r="N23" i="1"/>
  <c r="S23" i="1"/>
  <c r="AA23" i="1"/>
  <c r="J24" i="1"/>
  <c r="K24" i="1"/>
  <c r="N24" i="1"/>
  <c r="S24" i="1"/>
  <c r="AA24" i="1"/>
  <c r="AB24" i="1"/>
  <c r="J27" i="1"/>
  <c r="Q27" i="1"/>
  <c r="K27" i="1"/>
  <c r="N27" i="1"/>
  <c r="S27" i="1"/>
  <c r="AA27" i="1"/>
  <c r="J25" i="1"/>
  <c r="N25" i="1"/>
  <c r="S25" i="1"/>
  <c r="AA25" i="1"/>
  <c r="AB25" i="1"/>
  <c r="J21" i="1"/>
  <c r="K21" i="1"/>
  <c r="N21" i="1"/>
  <c r="S21" i="1"/>
  <c r="AA21" i="1"/>
  <c r="AB21" i="1"/>
  <c r="J22" i="1"/>
  <c r="K22" i="1"/>
  <c r="N22" i="1"/>
  <c r="S22" i="1"/>
  <c r="AA22" i="1"/>
  <c r="AB22" i="1"/>
  <c r="J26" i="1"/>
  <c r="K26" i="1"/>
  <c r="N26" i="1"/>
  <c r="S26" i="1"/>
  <c r="AA26" i="1"/>
  <c r="J30" i="1"/>
  <c r="Q30" i="1"/>
  <c r="K30" i="1"/>
  <c r="N30" i="1"/>
  <c r="S30" i="1"/>
  <c r="AA30" i="1"/>
  <c r="AB30" i="1"/>
  <c r="J31" i="1"/>
  <c r="Q31" i="1"/>
  <c r="K31" i="1"/>
  <c r="N31" i="1"/>
  <c r="S31" i="1"/>
  <c r="AA31" i="1"/>
  <c r="J32" i="1"/>
  <c r="K32" i="1"/>
  <c r="N32" i="1"/>
  <c r="S32" i="1"/>
  <c r="AA32" i="1"/>
  <c r="AB32" i="1"/>
  <c r="J28" i="1"/>
  <c r="K28" i="1"/>
  <c r="N28" i="1"/>
  <c r="S28" i="1"/>
  <c r="AA28" i="1"/>
  <c r="J29" i="1"/>
  <c r="N29" i="1"/>
  <c r="S29" i="1"/>
  <c r="AA29" i="1"/>
  <c r="AB29" i="1"/>
  <c r="J44" i="1"/>
  <c r="K44" i="1"/>
  <c r="N44" i="1"/>
  <c r="AA44" i="1"/>
  <c r="AB44" i="1"/>
  <c r="J43" i="1"/>
  <c r="Q43" i="1"/>
  <c r="N43" i="1"/>
  <c r="S43" i="1"/>
  <c r="AA43" i="1"/>
  <c r="AB43" i="1"/>
  <c r="J42" i="1"/>
  <c r="Q42" i="1"/>
  <c r="N42" i="1"/>
  <c r="S42" i="1"/>
  <c r="AA42" i="1"/>
  <c r="AB42" i="1"/>
  <c r="J40" i="1"/>
  <c r="K40" i="1"/>
  <c r="N40" i="1"/>
  <c r="S40" i="1"/>
  <c r="AA40" i="1"/>
  <c r="AB40" i="1"/>
  <c r="K41" i="1"/>
  <c r="N41" i="1"/>
  <c r="O41" i="1"/>
  <c r="Q41" i="1"/>
  <c r="S41" i="1"/>
  <c r="AA41" i="1"/>
  <c r="AB41" i="1"/>
  <c r="J56" i="1"/>
  <c r="Q56" i="1"/>
  <c r="K56" i="1"/>
  <c r="N56" i="1"/>
  <c r="S56" i="1"/>
  <c r="AA56" i="1"/>
  <c r="AB56" i="1"/>
  <c r="J57" i="1"/>
  <c r="K57" i="1"/>
  <c r="N57" i="1"/>
  <c r="S57" i="1"/>
  <c r="AA57" i="1"/>
  <c r="AB57" i="1"/>
  <c r="J38" i="1"/>
  <c r="Q38" i="1"/>
  <c r="K38" i="1"/>
  <c r="N38" i="1"/>
  <c r="S38" i="1"/>
  <c r="AA38" i="1"/>
  <c r="AB38" i="1"/>
  <c r="J39" i="1"/>
  <c r="K39" i="1"/>
  <c r="N39" i="1"/>
  <c r="S39" i="1"/>
  <c r="AA39" i="1"/>
  <c r="AB39" i="1"/>
  <c r="Q22" i="1"/>
  <c r="O33" i="1"/>
  <c r="AC26" i="1"/>
  <c r="O26" i="1"/>
  <c r="K42" i="1"/>
  <c r="AC44" i="1"/>
  <c r="AC40" i="1"/>
  <c r="O38" i="1"/>
  <c r="Q26" i="1"/>
  <c r="AC17" i="1"/>
  <c r="AC8" i="1"/>
  <c r="AB26" i="1"/>
  <c r="AC18" i="1"/>
  <c r="O8" i="1"/>
  <c r="AE41" i="1"/>
  <c r="O29" i="1"/>
  <c r="AC23" i="1"/>
  <c r="O23" i="1"/>
  <c r="AE7" i="1"/>
  <c r="AC6" i="1"/>
  <c r="AC5" i="1"/>
  <c r="O5" i="1"/>
  <c r="AC31" i="1"/>
  <c r="O17" i="1"/>
  <c r="AC39" i="1"/>
  <c r="AC38" i="1"/>
  <c r="AC10" i="1"/>
  <c r="Q7" i="1"/>
  <c r="AC2" i="1"/>
  <c r="O2" i="1"/>
  <c r="AC28" i="1"/>
  <c r="AE43" i="1"/>
  <c r="O14" i="1"/>
  <c r="Q5" i="1"/>
  <c r="O43" i="1"/>
  <c r="Q28" i="1"/>
  <c r="AC32" i="1"/>
  <c r="O32" i="1"/>
  <c r="AC21" i="1"/>
  <c r="AC27" i="1"/>
  <c r="O18" i="1"/>
  <c r="O20" i="1"/>
  <c r="O34" i="1"/>
  <c r="AE44" i="1"/>
  <c r="K43" i="1"/>
  <c r="Q44" i="1"/>
  <c r="AB28" i="1"/>
  <c r="O28" i="1"/>
  <c r="AE32" i="1"/>
  <c r="O31" i="1"/>
  <c r="AC24" i="1"/>
  <c r="Q23" i="1"/>
  <c r="AC16" i="1"/>
  <c r="O16" i="1"/>
  <c r="AC15" i="1"/>
  <c r="AC19" i="1"/>
  <c r="AC13" i="1"/>
  <c r="AC4" i="1"/>
  <c r="AE34" i="1"/>
  <c r="AE9" i="1"/>
  <c r="AC3" i="1"/>
  <c r="Q2" i="1"/>
  <c r="AC12" i="1"/>
  <c r="Q29" i="1"/>
  <c r="O24" i="1"/>
  <c r="O15" i="1"/>
  <c r="O19" i="1"/>
  <c r="O13" i="1"/>
  <c r="O4" i="1"/>
  <c r="Q10" i="1"/>
  <c r="O6" i="1"/>
  <c r="O11" i="1"/>
  <c r="AE5" i="1"/>
  <c r="AE57" i="1"/>
  <c r="AC41" i="1"/>
  <c r="AE28" i="1"/>
  <c r="AC25" i="1"/>
  <c r="O25" i="1"/>
  <c r="AC20" i="1"/>
  <c r="AC14" i="1"/>
  <c r="AC33" i="1"/>
  <c r="AC34" i="1"/>
  <c r="O10" i="1"/>
  <c r="AB6" i="1"/>
  <c r="O42" i="1"/>
  <c r="O39" i="1"/>
  <c r="AE39" i="1"/>
  <c r="AC57" i="1"/>
  <c r="O57" i="1"/>
  <c r="AC56" i="1"/>
  <c r="O56" i="1"/>
  <c r="AC42" i="1"/>
  <c r="AC43" i="1"/>
  <c r="Q39" i="1"/>
  <c r="Q57" i="1"/>
  <c r="Q40" i="1"/>
  <c r="AE38" i="1"/>
  <c r="AE56" i="1"/>
  <c r="O40" i="1"/>
  <c r="AE42" i="1"/>
  <c r="O44" i="1"/>
  <c r="AE29" i="1"/>
  <c r="K29" i="1"/>
  <c r="Q32" i="1"/>
  <c r="AB31" i="1"/>
  <c r="AE30" i="1"/>
  <c r="O30" i="1"/>
  <c r="O22" i="1"/>
  <c r="Q21" i="1"/>
  <c r="AE25" i="1"/>
  <c r="Q25" i="1"/>
  <c r="AB27" i="1"/>
  <c r="O27" i="1"/>
  <c r="AE24" i="1"/>
  <c r="Q24" i="1"/>
  <c r="AB23" i="1"/>
  <c r="AE16" i="1"/>
  <c r="Q16" i="1"/>
  <c r="AB18" i="1"/>
  <c r="AE17" i="1"/>
  <c r="Q17" i="1"/>
  <c r="AB15" i="1"/>
  <c r="AE20" i="1"/>
  <c r="Q20" i="1"/>
  <c r="AB19" i="1"/>
  <c r="AE14" i="1"/>
  <c r="Q14" i="1"/>
  <c r="AB13" i="1"/>
  <c r="AE33" i="1"/>
  <c r="Q33" i="1"/>
  <c r="Q34" i="1"/>
  <c r="AB10" i="1"/>
  <c r="AC9" i="1"/>
  <c r="AC7" i="1"/>
  <c r="AB5" i="1"/>
  <c r="AC29" i="1"/>
  <c r="AC30" i="1"/>
  <c r="AE22" i="1"/>
  <c r="O21" i="1"/>
  <c r="O3" i="1"/>
  <c r="AE40" i="1"/>
  <c r="AC22" i="1"/>
  <c r="K25" i="1"/>
  <c r="K16" i="1"/>
  <c r="K17" i="1"/>
  <c r="K33" i="1"/>
  <c r="K34" i="1"/>
  <c r="O9" i="1"/>
  <c r="O7" i="1"/>
  <c r="Q6" i="1"/>
  <c r="AE3" i="1"/>
  <c r="Q3" i="1"/>
  <c r="AB2" i="1"/>
  <c r="AE12" i="1"/>
  <c r="AE11" i="1"/>
  <c r="AE31" i="1"/>
  <c r="AE26" i="1"/>
  <c r="AE21" i="1"/>
  <c r="AE27" i="1"/>
  <c r="AE23" i="1"/>
  <c r="AE18" i="1"/>
  <c r="AE15" i="1"/>
  <c r="AE19" i="1"/>
  <c r="AE13" i="1"/>
  <c r="AE4" i="1"/>
  <c r="AE10" i="1"/>
  <c r="AE8" i="1"/>
  <c r="AE6" i="1"/>
  <c r="AE2" i="1"/>
  <c r="AC11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</calcChain>
</file>

<file path=xl/sharedStrings.xml><?xml version="1.0" encoding="utf-8"?>
<sst xmlns="http://schemas.openxmlformats.org/spreadsheetml/2006/main" count="4854" uniqueCount="569">
  <si>
    <t>PK</t>
  </si>
  <si>
    <t>ROUTE</t>
  </si>
  <si>
    <t>TMJA (vehi/jour)</t>
  </si>
  <si>
    <t>ETAT CHAUSSE</t>
  </si>
  <si>
    <t>TYPE CHAUSSE</t>
  </si>
  <si>
    <t>VITESSE LIMITE</t>
  </si>
  <si>
    <t>RN9 PK34 Daroua Settat</t>
  </si>
  <si>
    <t>33.416326</t>
  </si>
  <si>
    <t>-7.530224</t>
  </si>
  <si>
    <t>RN9 PK34+400 Daroua Settat</t>
  </si>
  <si>
    <t>-7.530227</t>
  </si>
  <si>
    <t>RN8 PK 224+200 Marrakech-Loudaya</t>
  </si>
  <si>
    <t>31.628299</t>
  </si>
  <si>
    <t>-8.085251</t>
  </si>
  <si>
    <t>RN8 PK 262+600 Marrakech - Sortie vers lakalaâ</t>
  </si>
  <si>
    <t>31.645125</t>
  </si>
  <si>
    <t>-7.88312</t>
  </si>
  <si>
    <t>RN1 PK 424+150 El Jadida- Tnin Chetouka</t>
  </si>
  <si>
    <t>33.310704</t>
  </si>
  <si>
    <t>-8.175124</t>
  </si>
  <si>
    <t>RN6 PK 212+900 Fès vers Taza</t>
  </si>
  <si>
    <t>34.039716</t>
  </si>
  <si>
    <t>-4.877672</t>
  </si>
  <si>
    <t>RN1 PK 424+500 El Jadida- Tnin Chetouka</t>
  </si>
  <si>
    <t>33.310587</t>
  </si>
  <si>
    <t>-8.174802</t>
  </si>
  <si>
    <t>RN1 PK15 vers Tanger</t>
  </si>
  <si>
    <t>35.335713</t>
  </si>
  <si>
    <t>-6.011367</t>
  </si>
  <si>
    <t>RN1 PK15+100 Tanger vers Assilah</t>
  </si>
  <si>
    <t>-6.011369</t>
  </si>
  <si>
    <t>RN1 384+950 Settat - Had Soualem</t>
  </si>
  <si>
    <t>RN1 384+960 Settat - Had Soualem (HMaint)</t>
  </si>
  <si>
    <t>33.428916</t>
  </si>
  <si>
    <t>-7.839389</t>
  </si>
  <si>
    <t>RN6 PK 286+500 Oued Amlil - Taza</t>
  </si>
  <si>
    <t>33.979061</t>
  </si>
  <si>
    <t>-4.653375</t>
  </si>
  <si>
    <t>RN1 PK 103+200 Kenitra vers Larache</t>
  </si>
  <si>
    <t>35.065372</t>
  </si>
  <si>
    <t>-6.086422</t>
  </si>
  <si>
    <t>RN6 PK190+700 Fès</t>
  </si>
  <si>
    <t>34.042241</t>
  </si>
  <si>
    <t>-5.066264</t>
  </si>
  <si>
    <t>RN6 PK 190+800 Meknès vers Fès</t>
  </si>
  <si>
    <t>-5.066266</t>
  </si>
  <si>
    <t>RN1 PK70+200 vers Larache</t>
  </si>
  <si>
    <t>35.156197</t>
  </si>
  <si>
    <t>-6.14316</t>
  </si>
  <si>
    <t>RN1 PK 98+800 Kenitra vers Larache</t>
  </si>
  <si>
    <t>RN1 PK98+700 Larache - vers Kénitra</t>
  </si>
  <si>
    <t>-6.14318</t>
  </si>
  <si>
    <t>RN8 PK29+100 Agadir- Amskroud</t>
  </si>
  <si>
    <t>30.531123</t>
  </si>
  <si>
    <t>-9.330161</t>
  </si>
  <si>
    <t>RN8 PK29+200 Agadir- Amskroud</t>
  </si>
  <si>
    <t>-9.330181</t>
  </si>
  <si>
    <t>RN1 PK 453+100 Entrée El Jadida</t>
  </si>
  <si>
    <t xml:space="preserve">33.244121 </t>
  </si>
  <si>
    <t>-8.492998</t>
  </si>
  <si>
    <t>RN1 PK 453+200 Entrée El Jadida</t>
  </si>
  <si>
    <t>33.244098</t>
  </si>
  <si>
    <t>-8.492896</t>
  </si>
  <si>
    <t>RN6 PK 385+500 Guercif</t>
  </si>
  <si>
    <t>34.223708</t>
  </si>
  <si>
    <t>-3.360559</t>
  </si>
  <si>
    <t>RN6 PK 322+500 Taza</t>
  </si>
  <si>
    <t>34.232348</t>
  </si>
  <si>
    <t>-3.923589</t>
  </si>
  <si>
    <t>RN8 PK 173+100 Chichaoua</t>
  </si>
  <si>
    <t>31.521648</t>
  </si>
  <si>
    <t>-8.770931</t>
  </si>
  <si>
    <t>RN9 PK 189 Kalaa seraghna</t>
  </si>
  <si>
    <t>32.230137</t>
  </si>
  <si>
    <t>-7.957267</t>
  </si>
  <si>
    <t>RN 1 PK 700+200 Larache vers Assila</t>
  </si>
  <si>
    <t>35.517138</t>
  </si>
  <si>
    <t>-5.999222</t>
  </si>
  <si>
    <t>RN6 PK 434 Taourirte</t>
  </si>
  <si>
    <t>34.437567</t>
  </si>
  <si>
    <t>-2.889061</t>
  </si>
  <si>
    <t>RN6 PK 434+100 Taourirte</t>
  </si>
  <si>
    <t>34.432257</t>
  </si>
  <si>
    <t>-2.888632</t>
  </si>
  <si>
    <t>RN8 PK 87+900 Timezgadiouine</t>
  </si>
  <si>
    <t>30.913253</t>
  </si>
  <si>
    <t>-9.066135</t>
  </si>
  <si>
    <t>RN8 PK 129+700 Imintanoute</t>
  </si>
  <si>
    <t>31.152695.</t>
  </si>
  <si>
    <t>-8.854214</t>
  </si>
  <si>
    <t>RN9 PK 83+200 Settat</t>
  </si>
  <si>
    <t>32.958887</t>
  </si>
  <si>
    <t>-7.63089</t>
  </si>
  <si>
    <t>RN9 PK 83+260 Settat</t>
  </si>
  <si>
    <t>-7.63097</t>
  </si>
  <si>
    <t>RF-0118</t>
  </si>
  <si>
    <t>RF-0119</t>
  </si>
  <si>
    <t>RF-0116</t>
  </si>
  <si>
    <t>RF-0117</t>
  </si>
  <si>
    <t>RF-0091</t>
  </si>
  <si>
    <t>RF-0098</t>
  </si>
  <si>
    <t>RF-0205</t>
  </si>
  <si>
    <t>RF-0078</t>
  </si>
  <si>
    <t>RF-0079</t>
  </si>
  <si>
    <t>RF-0089</t>
  </si>
  <si>
    <t>RF-0090</t>
  </si>
  <si>
    <t>RF-0099</t>
  </si>
  <si>
    <t>RF-0204</t>
  </si>
  <si>
    <t>RF-0096</t>
  </si>
  <si>
    <t>RF-0097</t>
  </si>
  <si>
    <t>RF-0082</t>
  </si>
  <si>
    <t>RF-0084</t>
  </si>
  <si>
    <t>RF-0085</t>
  </si>
  <si>
    <t>RF-0108</t>
  </si>
  <si>
    <t>RF-0109</t>
  </si>
  <si>
    <t>RF-0092</t>
  </si>
  <si>
    <t>RF-0093</t>
  </si>
  <si>
    <t>RF-0103</t>
  </si>
  <si>
    <t>RF-0100</t>
  </si>
  <si>
    <t>RF-0113</t>
  </si>
  <si>
    <t>RF-0125</t>
  </si>
  <si>
    <t>RF-0083</t>
  </si>
  <si>
    <t>RF-0104</t>
  </si>
  <si>
    <t>RF-0105</t>
  </si>
  <si>
    <t>RF-0111</t>
  </si>
  <si>
    <t>RF-0112</t>
  </si>
  <si>
    <t>RF-0122</t>
  </si>
  <si>
    <t>RF-0123</t>
  </si>
  <si>
    <t>NUMERO</t>
  </si>
  <si>
    <t>ADRESSE</t>
  </si>
  <si>
    <t>X</t>
  </si>
  <si>
    <t>Y</t>
  </si>
  <si>
    <t>RN9</t>
  </si>
  <si>
    <t>RN8</t>
  </si>
  <si>
    <t>RN1</t>
  </si>
  <si>
    <t>RN6</t>
  </si>
  <si>
    <t>F crashes</t>
  </si>
  <si>
    <t>S crashes</t>
  </si>
  <si>
    <t>LENTGH SECTION(KM)</t>
  </si>
  <si>
    <t>F &amp; S crashes</t>
  </si>
  <si>
    <t>SCALING FACTOR F/F&amp;S</t>
  </si>
  <si>
    <t>CRASH RISK</t>
  </si>
  <si>
    <t>BILLION VEH KM TRAVELLED</t>
  </si>
  <si>
    <t>Low</t>
  </si>
  <si>
    <t>High</t>
  </si>
  <si>
    <t>VEHIC KM / JOUR</t>
  </si>
  <si>
    <t>Medium-high</t>
  </si>
  <si>
    <t>Medium</t>
  </si>
  <si>
    <t>RISK SCORE</t>
  </si>
  <si>
    <t>CRASH DENSITY</t>
  </si>
  <si>
    <t>CRASH RISK SCORE</t>
  </si>
  <si>
    <t xml:space="preserve">CRASH DENSITY SCORE </t>
  </si>
  <si>
    <t>VEHIC_KM_JOUR</t>
  </si>
  <si>
    <t>ETAT_CHAUSSE</t>
  </si>
  <si>
    <t>TYPE_CHAUSSE</t>
  </si>
  <si>
    <t>VITESSE_LIMITE</t>
  </si>
  <si>
    <t>CRASH_RISK_SCORE</t>
  </si>
  <si>
    <t>F Crashes trancon</t>
  </si>
  <si>
    <t>PK O</t>
  </si>
  <si>
    <t>PK F</t>
  </si>
  <si>
    <t>S crashes trancon</t>
  </si>
  <si>
    <t xml:space="preserve">F&amp;S crashes tronçon </t>
  </si>
  <si>
    <t>SCALING FACTOR TRONCON</t>
  </si>
  <si>
    <t>RISK SCORE2</t>
  </si>
  <si>
    <t>CRASH DENSITY2</t>
  </si>
  <si>
    <t>CRASH RISK TRANCON</t>
  </si>
  <si>
    <t>DENSITY SCORE TRANCON</t>
  </si>
  <si>
    <t>Low-Medium</t>
  </si>
  <si>
    <t>Medium-High</t>
  </si>
  <si>
    <t>DENSITY SCORE</t>
  </si>
  <si>
    <t>CRASH DENSITY SCORE</t>
  </si>
  <si>
    <t>CRASH DENSITY SCORE TRANCON</t>
  </si>
  <si>
    <t>CRASH RISK SCORE TRANCON</t>
  </si>
  <si>
    <t>INT VALUE CRS</t>
  </si>
  <si>
    <t>CRASH RISK SCORE INT</t>
  </si>
  <si>
    <t>A7 PK 20</t>
  </si>
  <si>
    <t>A7 PK 20+100</t>
  </si>
  <si>
    <t>A3 PK 5+800 Ech Mohamedia</t>
  </si>
  <si>
    <t>A3 PK 3+900 Bifurcation de Mohammedia</t>
  </si>
  <si>
    <t>A2 PK 124 (Près de la station AFRIQUIA)</t>
  </si>
  <si>
    <t>A2 PK 65 (Prés de la station TOTAL)</t>
  </si>
  <si>
    <t>RF-2006</t>
  </si>
  <si>
    <t>RF-2008</t>
  </si>
  <si>
    <t>RF-2012</t>
  </si>
  <si>
    <t>RF-2014</t>
  </si>
  <si>
    <t>RF-2016</t>
  </si>
  <si>
    <t>RF-2020</t>
  </si>
  <si>
    <t>RF-2022</t>
  </si>
  <si>
    <t>RF-2024</t>
  </si>
  <si>
    <t>RF-2054</t>
  </si>
  <si>
    <t>RF-2056</t>
  </si>
  <si>
    <t>33.660519</t>
  </si>
  <si>
    <t>-7.405723</t>
  </si>
  <si>
    <t>33.801410</t>
  </si>
  <si>
    <t>-7.157091</t>
  </si>
  <si>
    <t>33.940675</t>
  </si>
  <si>
    <t>-6.927192</t>
  </si>
  <si>
    <t>33.893705</t>
  </si>
  <si>
    <t>-6.992028</t>
  </si>
  <si>
    <t>33.831989</t>
  </si>
  <si>
    <t>-5.565621</t>
  </si>
  <si>
    <t>33.818065</t>
  </si>
  <si>
    <t>-6.106555</t>
  </si>
  <si>
    <t>33.510230</t>
  </si>
  <si>
    <t>-7.610920</t>
  </si>
  <si>
    <t>33.317453</t>
  </si>
  <si>
    <t xml:space="preserve"> -7.602399</t>
  </si>
  <si>
    <t>A3</t>
  </si>
  <si>
    <t>A7</t>
  </si>
  <si>
    <t>A2</t>
  </si>
  <si>
    <t>troncon rectiligne</t>
  </si>
  <si>
    <t>Oui</t>
  </si>
  <si>
    <t>Non</t>
  </si>
  <si>
    <t xml:space="preserve">Proximite peage </t>
  </si>
  <si>
    <t>Proximité pénétrante</t>
  </si>
  <si>
    <t>Entree ville</t>
  </si>
  <si>
    <t>Distance d'un milieu urbain</t>
  </si>
  <si>
    <t>83,2+E30:AB31</t>
  </si>
  <si>
    <t>NA</t>
  </si>
  <si>
    <t>A3 (A1 PK 35) PK 33+800 Benslimane</t>
  </si>
  <si>
    <t>A3 (A1)</t>
  </si>
  <si>
    <t>A3 PK 52+700 - Echangeur Ain Atiq (A1 9,65)</t>
  </si>
  <si>
    <t>A3 Pk 61+900 Echangeur Hay Riad vers Rabat (A1 1,67)</t>
  </si>
  <si>
    <t>A5 PK24 - Vers Eljadida  (A1 90,8)</t>
  </si>
  <si>
    <t>A5 (A1)</t>
  </si>
  <si>
    <t>Proximite Aire de service/Aire de repos</t>
  </si>
  <si>
    <t>Id Emplacement</t>
  </si>
  <si>
    <t>A5 PK12</t>
  </si>
  <si>
    <t>A5 PK20 - Vers Casablanca</t>
  </si>
  <si>
    <t>RF-2002</t>
  </si>
  <si>
    <t>RF-2004</t>
  </si>
  <si>
    <t>-7.499862</t>
  </si>
  <si>
    <t>33.529498</t>
  </si>
  <si>
    <t>-7.564756</t>
  </si>
  <si>
    <t>A1</t>
  </si>
  <si>
    <t>RF-2028</t>
  </si>
  <si>
    <t>RF-2030</t>
  </si>
  <si>
    <t>RF-2032</t>
  </si>
  <si>
    <t>RF-2034</t>
  </si>
  <si>
    <t>RF-2036</t>
  </si>
  <si>
    <t>RF-2038</t>
  </si>
  <si>
    <t>RF-2040</t>
  </si>
  <si>
    <t>RF-2042</t>
  </si>
  <si>
    <t>RF-2048</t>
  </si>
  <si>
    <t>RF-2050</t>
  </si>
  <si>
    <t>RF-2052</t>
  </si>
  <si>
    <t>A7 PK 154 (Prés de la station SHELL)</t>
  </si>
  <si>
    <t>A7 PK 194  (Prés de la station AFRIQUIA)</t>
  </si>
  <si>
    <t>A7 PK 344+400 Aire de service Imintanoute Station-service CMH</t>
  </si>
  <si>
    <t>A7 PK 344+500 (Prés de la station AFRIQUIA)</t>
  </si>
  <si>
    <t>A7 PK 397 Agadir</t>
  </si>
  <si>
    <t>A7 PK 411 - Agadir</t>
  </si>
  <si>
    <t>A7 PK420+600 - Gare de péage Amskroud - Agadir</t>
  </si>
  <si>
    <t>A7 PK 277  (Prés de la station TOTAL)</t>
  </si>
  <si>
    <t>A1 PK 190 Parking de Service Assila vers Tanger</t>
  </si>
  <si>
    <t>A6 PK 12 Gare 62 vers Tétouan</t>
  </si>
  <si>
    <t>A6 PK 12+100 Gare 61 vers M'diq - Tétouan</t>
  </si>
  <si>
    <t>32.274651</t>
  </si>
  <si>
    <t>-7.968834</t>
  </si>
  <si>
    <t>31.917109</t>
  </si>
  <si>
    <t>-8.024938</t>
  </si>
  <si>
    <t>31.027556</t>
  </si>
  <si>
    <t>-9.022944</t>
  </si>
  <si>
    <t>31.023304</t>
  </si>
  <si>
    <t xml:space="preserve"> -9.024961</t>
  </si>
  <si>
    <t>30.759052</t>
  </si>
  <si>
    <t>-9.160648</t>
  </si>
  <si>
    <t>30.601163</t>
  </si>
  <si>
    <t>-9.344283</t>
  </si>
  <si>
    <t>30.452986</t>
  </si>
  <si>
    <t>-9.362490</t>
  </si>
  <si>
    <t>31.487995</t>
  </si>
  <si>
    <t xml:space="preserve"> -8.657993</t>
  </si>
  <si>
    <t>35.468370</t>
  </si>
  <si>
    <t>-6.004502</t>
  </si>
  <si>
    <t>35.692901</t>
  </si>
  <si>
    <t xml:space="preserve"> -5.349681</t>
  </si>
  <si>
    <t>35.692066</t>
  </si>
  <si>
    <t>-5.349176</t>
  </si>
  <si>
    <t>A5</t>
  </si>
  <si>
    <t>ENTREE VILLE</t>
  </si>
  <si>
    <t>TRONCON RECTILIGNE LONGUEUR</t>
  </si>
  <si>
    <t>DISTANCE MILIEU URBAIN</t>
  </si>
  <si>
    <t>PROXIMITE PENETRANTE</t>
  </si>
  <si>
    <t>PROXIMITE PEAGE</t>
  </si>
  <si>
    <t>PROXIMITE AR OU AS</t>
  </si>
  <si>
    <t>33.561432</t>
  </si>
  <si>
    <t>Nomre Infractions 2015</t>
  </si>
  <si>
    <t>Nombre Infractions 2016</t>
  </si>
  <si>
    <t>Nombre Infractions 2017</t>
  </si>
  <si>
    <t>Moyenne Journalière Infrations 2015</t>
  </si>
  <si>
    <t>Nombre jours de fonction 2015</t>
  </si>
  <si>
    <t>Moyenne Journalière Infrations 2016</t>
  </si>
  <si>
    <t>Nombre jours de fonction 2016</t>
  </si>
  <si>
    <t>Moyenne Journalière Infrations 2017</t>
  </si>
  <si>
    <t>Nombre jours de fonction 2017</t>
  </si>
  <si>
    <t>GAIN 2017-2016</t>
  </si>
  <si>
    <t>GAIN 2016-2015</t>
  </si>
  <si>
    <t>RF-0080</t>
  </si>
  <si>
    <t>RF-0081</t>
  </si>
  <si>
    <t>RF-0086</t>
  </si>
  <si>
    <t>RF-0087</t>
  </si>
  <si>
    <t>RF-0095</t>
  </si>
  <si>
    <t>RF-0102</t>
  </si>
  <si>
    <t>RF-0106</t>
  </si>
  <si>
    <t>RF-0107</t>
  </si>
  <si>
    <t>RF-0120</t>
  </si>
  <si>
    <t>RF-0121</t>
  </si>
  <si>
    <t>RF-0124</t>
  </si>
  <si>
    <t>RF-0202</t>
  </si>
  <si>
    <t>RF-0203</t>
  </si>
  <si>
    <t>RF-2018</t>
  </si>
  <si>
    <t>RF-2026</t>
  </si>
  <si>
    <t>RF-2044</t>
  </si>
  <si>
    <t>RF-2046</t>
  </si>
  <si>
    <t>RF-2058</t>
  </si>
  <si>
    <t>RN1 PK40 Assilah Face Station Afriquia</t>
  </si>
  <si>
    <t>RN1 PK40+100 Assilah Face Station Afriquia</t>
  </si>
  <si>
    <t>248+500 Rabat vers Kenitra (Bouknadel)</t>
  </si>
  <si>
    <t>RN6 PK 132+500 Meknès</t>
  </si>
  <si>
    <t>RN6 PK 378+400 Guercif</t>
  </si>
  <si>
    <t>RN13 PK18+800 Medieq vers Fnideq</t>
  </si>
  <si>
    <t>RN13 PK4+900 Fnideq Vers Medieq</t>
  </si>
  <si>
    <t>Gare de péage Settat centre,A7 PK 65 vers Casa</t>
  </si>
  <si>
    <t>Gare de péage sidi allal tazi,A1 PK 82 vers Tanger</t>
  </si>
  <si>
    <t>Gare de péage sidi allal tazi,A1 PK 82+100 vers Rabat</t>
  </si>
  <si>
    <t>A5 PK 65 (Près de la station AFRIQUIA)</t>
  </si>
  <si>
    <t>103+100 Larache , en face Com Zaouada</t>
  </si>
  <si>
    <t>RN6 PK 482+200 AlAioun Sidi Mellouk , Oujda</t>
  </si>
  <si>
    <t>RN6 PK 482+300 AlAioun Sidi Mellouk , Oujda</t>
  </si>
  <si>
    <t>RN9 PK 73+300 Settat, ST Afriquia</t>
  </si>
  <si>
    <t>RN9 PK 73+350 Settat, ST SOMAO</t>
  </si>
  <si>
    <t>RN9 PK 188+900 Benguerir , Kalaa seraghna</t>
  </si>
  <si>
    <t>35.432701</t>
  </si>
  <si>
    <t>-6.037674</t>
  </si>
  <si>
    <t>-6.037677</t>
  </si>
  <si>
    <t>35.064529</t>
  </si>
  <si>
    <t xml:space="preserve"> -6.085950</t>
  </si>
  <si>
    <t>34.146906</t>
  </si>
  <si>
    <t xml:space="preserve"> -6.720628</t>
  </si>
  <si>
    <t>33.898703</t>
  </si>
  <si>
    <t>-5.447674</t>
  </si>
  <si>
    <t>-3.360556</t>
  </si>
  <si>
    <t>34.582256</t>
  </si>
  <si>
    <t>-2.475228</t>
  </si>
  <si>
    <t>-2.475238</t>
  </si>
  <si>
    <t>32.973118</t>
  </si>
  <si>
    <t>-7.625124</t>
  </si>
  <si>
    <t>-7.625134</t>
  </si>
  <si>
    <t>-7.957132</t>
  </si>
  <si>
    <t>35.797349</t>
  </si>
  <si>
    <t>-5.35655</t>
  </si>
  <si>
    <t>35.81141</t>
  </si>
  <si>
    <t>-5.352774</t>
  </si>
  <si>
    <t>33.854925</t>
  </si>
  <si>
    <t>-7.048170</t>
  </si>
  <si>
    <t>32.961961</t>
  </si>
  <si>
    <t>-7.602874</t>
  </si>
  <si>
    <t>34.627092</t>
  </si>
  <si>
    <t>-6.419580</t>
  </si>
  <si>
    <t>34.629498</t>
  </si>
  <si>
    <t xml:space="preserve"> -6.417633</t>
  </si>
  <si>
    <t>33.353040</t>
  </si>
  <si>
    <t>-7.981827</t>
  </si>
  <si>
    <t>RN13</t>
  </si>
  <si>
    <t>Echangeur skhirat,A3 PK 45+900 vers Rabat (A1 pk 26,87)</t>
  </si>
  <si>
    <t>LANES</t>
  </si>
  <si>
    <t>TYPE TRAIT</t>
  </si>
  <si>
    <t>Has Shoulder</t>
  </si>
  <si>
    <t>Date premier fonctionnement</t>
  </si>
  <si>
    <t>discontinue</t>
  </si>
  <si>
    <t>no</t>
  </si>
  <si>
    <t>2016-08-15 13:44:12.000</t>
  </si>
  <si>
    <t>2016-08-15 15:08:52.000</t>
  </si>
  <si>
    <t>2016-08-15 19:12:39.000</t>
  </si>
  <si>
    <t>2016-08-20 05:29:34.000</t>
  </si>
  <si>
    <t>2015-08-17 19:41:46.000</t>
  </si>
  <si>
    <t>2014-12-11 14:55:21.000</t>
  </si>
  <si>
    <t>2016-03-17 00:26:11.000</t>
  </si>
  <si>
    <t>2014-12-09 01:18:00.000</t>
  </si>
  <si>
    <t>2016-11-16 12:59:45.000</t>
  </si>
  <si>
    <t>2017-05-25 15:46:30.000</t>
  </si>
  <si>
    <t>2017-04-17 18:37:50.000</t>
  </si>
  <si>
    <t>2017-04-17 21:10:00.000</t>
  </si>
  <si>
    <t>Discontinue</t>
  </si>
  <si>
    <t>Continue</t>
  </si>
  <si>
    <t>Yes</t>
  </si>
  <si>
    <t>2016-05-18 11:03:25.000</t>
  </si>
  <si>
    <t>2016-12-29 18:27:55.000</t>
  </si>
  <si>
    <t>2016-04-20 12:57:07.000</t>
  </si>
  <si>
    <t>2016-04-20 13:31:45.000</t>
  </si>
  <si>
    <t>2016-04-12 11:51:27.000</t>
  </si>
  <si>
    <t>2015-08-13 00:11:04.000</t>
  </si>
  <si>
    <t>2016-10-26 17:12:12.000</t>
  </si>
  <si>
    <t>2016-10-26 16:25:31.000</t>
  </si>
  <si>
    <t>2016-05-10 12:27:01.000</t>
  </si>
  <si>
    <t>2016-05-10 12:12:24.000</t>
  </si>
  <si>
    <t>2016-05-10 13:51:01.000</t>
  </si>
  <si>
    <t>2016-07-13 00:05:55.000</t>
  </si>
  <si>
    <t>2016-10-10 18:44:23.000</t>
  </si>
  <si>
    <t>2016-10-04 18:57:02.000</t>
  </si>
  <si>
    <t>2016-06-14 17:49:19.000</t>
  </si>
  <si>
    <t>2016-12-16 17:32:53.000</t>
  </si>
  <si>
    <t>2016-06-15 01:56:05.000</t>
  </si>
  <si>
    <t>2016-06-14 17:11:44.000</t>
  </si>
  <si>
    <t>2016-05-11 11:11:43.000</t>
  </si>
  <si>
    <t>2016-06-06 13:51:46.000</t>
  </si>
  <si>
    <t>2016-06-06 14:34:49.000</t>
  </si>
  <si>
    <t>2015-12-28 22:43:37.000</t>
  </si>
  <si>
    <t>2015-10-09 10:10:23.000</t>
  </si>
  <si>
    <t>2016-06-14 18:11:00.000</t>
  </si>
  <si>
    <t>2015-12-28 22:54:54.000</t>
  </si>
  <si>
    <t>2016-05-12 19:20:45.000</t>
  </si>
  <si>
    <t>2016-06-16 01:18:42.000</t>
  </si>
  <si>
    <t>2014-01-06 06:52:07.000</t>
  </si>
  <si>
    <t>2014-04-04 17:14:58.000</t>
  </si>
  <si>
    <t>2017-05-24 11:35:43.000</t>
  </si>
  <si>
    <t>yes</t>
  </si>
  <si>
    <t>2016-06-02 13:19:52.000</t>
  </si>
  <si>
    <t>2015-02-12 07:32:45.000</t>
  </si>
  <si>
    <t>2013-11-04 11:34:26.000</t>
  </si>
  <si>
    <t>2013-11-22 17:40:15.000</t>
  </si>
  <si>
    <t>2016-01-18 16:15:06.000</t>
  </si>
  <si>
    <t>2014-12-02 00:24:21.000</t>
  </si>
  <si>
    <t>2015-01-06 11:10:18.000</t>
  </si>
  <si>
    <t>2014-12-03 00:10:49.000</t>
  </si>
  <si>
    <t>2016-12-16 17:08:11.000</t>
  </si>
  <si>
    <t>2016-08-03 02:11:35.000</t>
  </si>
  <si>
    <t>2016-02-10 11:39:13.000</t>
  </si>
  <si>
    <t>2013-11-02 07:46:55.000</t>
  </si>
  <si>
    <t>2013-11-02 07:41:23.000</t>
  </si>
  <si>
    <t>2016-03-17 01:01:41.000</t>
  </si>
  <si>
    <t>2015-01-02 14:42:08.000</t>
  </si>
  <si>
    <t>2016-06-16 15:32:20.000</t>
  </si>
  <si>
    <t>2016-03-31 16:36:37.000</t>
  </si>
  <si>
    <t>2016-01-27 11:12:46.000</t>
  </si>
  <si>
    <t>2016-12-19 11:56:59.000</t>
  </si>
  <si>
    <t>HAS SHOULDER</t>
  </si>
  <si>
    <t>1RST FONCTIONNEMENT</t>
  </si>
  <si>
    <t>GAIN INFRACTIONS</t>
  </si>
  <si>
    <t>GAIN INFRA</t>
  </si>
  <si>
    <t>F crashes2015</t>
  </si>
  <si>
    <t>S crashes2015</t>
  </si>
  <si>
    <t>F &amp; S crashes2015</t>
  </si>
  <si>
    <t>SCALING FACTOR F/F&amp;S2015</t>
  </si>
  <si>
    <t>TMJA2015 (vehi/jour)</t>
  </si>
  <si>
    <t>VEHIC KM / JOUR2015</t>
  </si>
  <si>
    <t>CRASH RISK2015</t>
  </si>
  <si>
    <t>BILLION VEH KM TRAVELLED2015</t>
  </si>
  <si>
    <t>CRASH DENSITY2015</t>
  </si>
  <si>
    <t>CR 2015</t>
  </si>
  <si>
    <t>CR 2016</t>
  </si>
  <si>
    <t>F crashes2016</t>
  </si>
  <si>
    <t>S crashes2016</t>
  </si>
  <si>
    <t>F &amp; S crashes2016</t>
  </si>
  <si>
    <t>SCALING FACTOR F/F&amp;S2016</t>
  </si>
  <si>
    <t>TMJA2016(vehi/jour)</t>
  </si>
  <si>
    <t>VEHIC KM / JOUR2016</t>
  </si>
  <si>
    <t>BILLION VEH KM TRAVELLED2016</t>
  </si>
  <si>
    <t>CRASH RISK2016</t>
  </si>
  <si>
    <t>CRASH DENSITY2016</t>
  </si>
  <si>
    <t>DELTA CR</t>
  </si>
  <si>
    <t>DELTA CD</t>
  </si>
  <si>
    <t>CD 2015</t>
  </si>
  <si>
    <t>CD 2016</t>
  </si>
  <si>
    <t>GAIN CR</t>
  </si>
  <si>
    <t>GAIN CD</t>
  </si>
  <si>
    <t>GAIN TOTAL</t>
  </si>
  <si>
    <t>Low-medium</t>
  </si>
  <si>
    <t>RISK SCORE2015</t>
  </si>
  <si>
    <t>RISK SCORE 2016</t>
  </si>
  <si>
    <t>TMJA</t>
  </si>
  <si>
    <t>EMPLACEMENT</t>
  </si>
  <si>
    <t>TMJA2015</t>
  </si>
  <si>
    <t>TMJA2016 (vehi/jour)</t>
  </si>
  <si>
    <t>Borne inf</t>
  </si>
  <si>
    <t>borne sup</t>
  </si>
  <si>
    <t>SCORE CR 2015</t>
  </si>
  <si>
    <t>SCORE CR 2016</t>
  </si>
  <si>
    <t>Borne Sup</t>
  </si>
  <si>
    <t>SCORE CD 2015</t>
  </si>
  <si>
    <t>SCORE CD 2016</t>
  </si>
  <si>
    <t>TMJA MOYEN</t>
  </si>
  <si>
    <t>ID</t>
  </si>
  <si>
    <t>GAIN ACCIDENTOLOGIE</t>
  </si>
  <si>
    <t>SCORE FINAL</t>
  </si>
  <si>
    <t>BON</t>
  </si>
  <si>
    <t>MOYEN</t>
  </si>
  <si>
    <t>MAUVAIS</t>
  </si>
  <si>
    <t>TR</t>
  </si>
  <si>
    <t>P_PEAGE</t>
  </si>
  <si>
    <t>P_PENETRANTE</t>
  </si>
  <si>
    <t>P_AIRE_SERVICE</t>
  </si>
  <si>
    <t>DMU</t>
  </si>
  <si>
    <t>SCORE</t>
  </si>
  <si>
    <t>Image</t>
  </si>
  <si>
    <t>Intersection.1.png</t>
  </si>
  <si>
    <t>Intersection.4.png</t>
  </si>
  <si>
    <t>Intersection.7.png</t>
  </si>
  <si>
    <t>Intersection.10.png</t>
  </si>
  <si>
    <t>Intersection.13.png</t>
  </si>
  <si>
    <t>Intersection.16.png</t>
  </si>
  <si>
    <t>Intersection.19.png</t>
  </si>
  <si>
    <t>Intersection.22.png</t>
  </si>
  <si>
    <t>Intersection.25.png</t>
  </si>
  <si>
    <t>Intersection.28.png</t>
  </si>
  <si>
    <t>Intersection.31.png</t>
  </si>
  <si>
    <t>Intersection.34.png</t>
  </si>
  <si>
    <t>Intersection.37.png</t>
  </si>
  <si>
    <t>Intersection.40.png</t>
  </si>
  <si>
    <t>Intersection.43.png</t>
  </si>
  <si>
    <t>Intersection.46.png</t>
  </si>
  <si>
    <t>Rectiligne.49.png</t>
  </si>
  <si>
    <t>Rectiligne.52.png</t>
  </si>
  <si>
    <t>Rectiligne.55.png</t>
  </si>
  <si>
    <t>Rectiligne.58.png</t>
  </si>
  <si>
    <t>Rectiligne.61.png</t>
  </si>
  <si>
    <t>Rectiligne.64.png</t>
  </si>
  <si>
    <t>Rectiligne.67.png</t>
  </si>
  <si>
    <t>Rectiligne.70.png</t>
  </si>
  <si>
    <t>Rectiligne.73.png</t>
  </si>
  <si>
    <t>Rectiligne.76.png</t>
  </si>
  <si>
    <t>Rectiligne.79.png</t>
  </si>
  <si>
    <t>Rectiligne.82.png</t>
  </si>
  <si>
    <t>Rectiligne.85.png</t>
  </si>
  <si>
    <t>Rectiligne.88.png</t>
  </si>
  <si>
    <t>Rectiligne.91.png</t>
  </si>
  <si>
    <t>Rectiligne.94.png</t>
  </si>
  <si>
    <t>Rectiligne.97.png</t>
  </si>
  <si>
    <t>Rectiligne.100.png</t>
  </si>
  <si>
    <t>Rectiligne.103.png</t>
  </si>
  <si>
    <t>Intersection.106.png</t>
  </si>
  <si>
    <t>Intersection.109.png</t>
  </si>
  <si>
    <t>Intersection.112.png</t>
  </si>
  <si>
    <t>Intersection.115.png</t>
  </si>
  <si>
    <t>Intersection.118.png</t>
  </si>
  <si>
    <t>Intersection.121.png</t>
  </si>
  <si>
    <t>Intersection.124.png</t>
  </si>
  <si>
    <t>Intersection.127.png</t>
  </si>
  <si>
    <t>Intersection.130.png</t>
  </si>
  <si>
    <t>Intersection.133.png</t>
  </si>
  <si>
    <t>Intersection.136.png</t>
  </si>
  <si>
    <t>Intersection.139.png</t>
  </si>
  <si>
    <t>Intersection.142.png</t>
  </si>
  <si>
    <t>Intersection.145.png</t>
  </si>
  <si>
    <t>Intersection.148.png</t>
  </si>
  <si>
    <t>Intersection.151.png</t>
  </si>
  <si>
    <t>Intersection.154.png</t>
  </si>
  <si>
    <t>Intersection.157.png</t>
  </si>
  <si>
    <t>Intersection.160.png</t>
  </si>
  <si>
    <t>Intersection.163.png</t>
  </si>
  <si>
    <t>Intersection.166.png</t>
  </si>
  <si>
    <t>Intersection.169.png</t>
  </si>
  <si>
    <t>Rectiligne.172.png</t>
  </si>
  <si>
    <t>Rectiligne.175.png</t>
  </si>
  <si>
    <t>Rectiligne.178.png</t>
  </si>
  <si>
    <t>Rectiligne.181.png</t>
  </si>
  <si>
    <t>Rectiligne.184.png</t>
  </si>
  <si>
    <t>Rectiligne.187.png</t>
  </si>
  <si>
    <t>Rectiligne.190.png</t>
  </si>
  <si>
    <t>Rectiligne.193.png</t>
  </si>
  <si>
    <t>Rectiligne.196.png</t>
  </si>
  <si>
    <t>Rectiligne.199.png</t>
  </si>
  <si>
    <t>Rectiligne.202.png</t>
  </si>
  <si>
    <t>Rectiligne.205.png</t>
  </si>
  <si>
    <t>Rectiligne.208.png</t>
  </si>
  <si>
    <t>Rectiligne.211.png</t>
  </si>
  <si>
    <t>Rectiligne.214.png</t>
  </si>
  <si>
    <t>Rectiligne.217.png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</si>
</sst>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2" xfId="0" applyBorder="1"/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4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vertical="center" wrapText="1"/>
    </xf>
    <xf numFmtId="49" fontId="0" fillId="0" borderId="2" xfId="0" applyNumberFormat="1" applyFill="1" applyBorder="1" applyAlignment="1">
      <alignment vertical="center" wrapText="1"/>
    </xf>
    <xf numFmtId="0" fontId="0" fillId="0" borderId="2" xfId="0" applyFill="1" applyBorder="1"/>
    <xf numFmtId="0" fontId="0" fillId="0" borderId="0" xfId="0" applyFill="1"/>
    <xf numFmtId="0" fontId="2" fillId="0" borderId="2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right"/>
    </xf>
    <xf numFmtId="0" fontId="0" fillId="7" borderId="2" xfId="0" applyFill="1" applyBorder="1"/>
    <xf numFmtId="164" fontId="0" fillId="0" borderId="2" xfId="0" applyNumberFormat="1" applyBorder="1"/>
    <xf numFmtId="164" fontId="0" fillId="4" borderId="2" xfId="0" applyNumberFormat="1" applyFill="1" applyBorder="1"/>
    <xf numFmtId="164" fontId="0" fillId="0" borderId="2" xfId="0" applyNumberFormat="1" applyBorder="1" applyAlignment="1">
      <alignment wrapText="1"/>
    </xf>
    <xf numFmtId="0" fontId="0" fillId="0" borderId="2" xfId="0" applyNumberFormat="1" applyBorder="1"/>
    <xf numFmtId="2" fontId="0" fillId="0" borderId="2" xfId="0" applyNumberFormat="1" applyBorder="1"/>
    <xf numFmtId="0" fontId="0" fillId="0" borderId="2" xfId="0" applyFont="1" applyBorder="1" applyAlignment="1">
      <alignment horizontal="right"/>
    </xf>
    <xf numFmtId="0" fontId="0" fillId="6" borderId="2" xfId="0" applyFill="1" applyBorder="1"/>
    <xf numFmtId="0" fontId="0" fillId="8" borderId="2" xfId="0" applyFill="1" applyBorder="1"/>
    <xf numFmtId="0" fontId="0" fillId="5" borderId="2" xfId="0" applyFill="1" applyBorder="1"/>
    <xf numFmtId="49" fontId="0" fillId="3" borderId="2" xfId="0" applyNumberFormat="1" applyFill="1" applyBorder="1" applyAlignment="1">
      <alignment horizontal="left"/>
    </xf>
    <xf numFmtId="0" fontId="0" fillId="4" borderId="2" xfId="0" applyNumberFormat="1" applyFill="1" applyBorder="1"/>
    <xf numFmtId="0" fontId="0" fillId="0" borderId="2" xfId="0" applyNumberFormat="1" applyBorder="1" applyAlignment="1">
      <alignment wrapText="1"/>
    </xf>
    <xf numFmtId="49" fontId="0" fillId="0" borderId="2" xfId="0" applyNumberFormat="1" applyFill="1" applyBorder="1" applyAlignment="1">
      <alignment horizontal="left"/>
    </xf>
    <xf numFmtId="0" fontId="0" fillId="0" borderId="2" xfId="0" applyNumberFormat="1" applyFill="1" applyBorder="1"/>
    <xf numFmtId="0" fontId="0" fillId="0" borderId="2" xfId="0" applyNumberFormat="1" applyFill="1" applyBorder="1" applyAlignment="1">
      <alignment wrapText="1"/>
    </xf>
    <xf numFmtId="164" fontId="0" fillId="0" borderId="2" xfId="0" applyNumberFormat="1" applyFill="1" applyBorder="1"/>
    <xf numFmtId="2" fontId="0" fillId="0" borderId="2" xfId="0" applyNumberFormat="1" applyFill="1" applyBorder="1"/>
    <xf numFmtId="0" fontId="0" fillId="0" borderId="4" xfId="0" applyBorder="1"/>
    <xf numFmtId="49" fontId="0" fillId="9" borderId="3" xfId="0" applyNumberFormat="1" applyFill="1" applyBorder="1" applyAlignment="1">
      <alignment horizontal="left"/>
    </xf>
    <xf numFmtId="0" fontId="0" fillId="3" borderId="2" xfId="0" applyFont="1" applyFill="1" applyBorder="1"/>
    <xf numFmtId="0" fontId="0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1" fontId="0" fillId="0" borderId="2" xfId="0" applyNumberFormat="1" applyFont="1" applyBorder="1"/>
    <xf numFmtId="1" fontId="0" fillId="3" borderId="2" xfId="0" applyNumberFormat="1" applyFont="1" applyFill="1" applyBorder="1"/>
    <xf numFmtId="49" fontId="0" fillId="3" borderId="3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0" fillId="0" borderId="7" xfId="0" applyFill="1" applyBorder="1"/>
    <xf numFmtId="0" fontId="0" fillId="0" borderId="7" xfId="0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 applyAlignment="1">
      <alignment wrapText="1"/>
    </xf>
    <xf numFmtId="0" fontId="1" fillId="2" borderId="9" xfId="0" applyFont="1" applyFill="1" applyBorder="1"/>
    <xf numFmtId="1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wrapText="1"/>
    </xf>
    <xf numFmtId="0" fontId="0" fillId="7" borderId="2" xfId="0" applyFont="1" applyFill="1" applyBorder="1"/>
    <xf numFmtId="164" fontId="0" fillId="0" borderId="2" xfId="0" applyNumberFormat="1" applyFont="1" applyBorder="1"/>
    <xf numFmtId="0" fontId="0" fillId="3" borderId="2" xfId="0" applyFont="1" applyFill="1" applyBorder="1" applyAlignment="1">
      <alignment wrapText="1"/>
    </xf>
    <xf numFmtId="0" fontId="0" fillId="3" borderId="2" xfId="0" applyNumberFormat="1" applyFont="1" applyFill="1" applyBorder="1"/>
    <xf numFmtId="0" fontId="0" fillId="3" borderId="2" xfId="0" applyNumberFormat="1" applyFont="1" applyFill="1" applyBorder="1" applyAlignment="1">
      <alignment wrapText="1"/>
    </xf>
    <xf numFmtId="164" fontId="0" fillId="3" borderId="2" xfId="0" applyNumberFormat="1" applyFont="1" applyFill="1" applyBorder="1"/>
    <xf numFmtId="0" fontId="0" fillId="0" borderId="2" xfId="0" applyNumberFormat="1" applyFont="1" applyBorder="1"/>
    <xf numFmtId="0" fontId="0" fillId="0" borderId="2" xfId="0" applyNumberFormat="1" applyFont="1" applyBorder="1" applyAlignment="1">
      <alignment wrapText="1"/>
    </xf>
    <xf numFmtId="0" fontId="0" fillId="6" borderId="2" xfId="0" applyFont="1" applyFill="1" applyBorder="1"/>
    <xf numFmtId="0" fontId="0" fillId="8" borderId="2" xfId="0" applyFont="1" applyFill="1" applyBorder="1"/>
    <xf numFmtId="0" fontId="0" fillId="5" borderId="2" xfId="0" applyFont="1" applyFill="1" applyBorder="1"/>
    <xf numFmtId="0" fontId="1" fillId="2" borderId="7" xfId="0" applyFont="1" applyFill="1" applyBorder="1"/>
    <xf numFmtId="0" fontId="0" fillId="3" borderId="10" xfId="0" applyFont="1" applyFill="1" applyBorder="1"/>
    <xf numFmtId="2" fontId="0" fillId="0" borderId="2" xfId="1" applyNumberFormat="1" applyFont="1" applyFill="1" applyBorder="1"/>
    <xf numFmtId="2" fontId="0" fillId="0" borderId="2" xfId="1" applyNumberFormat="1" applyFont="1" applyBorder="1"/>
    <xf numFmtId="2" fontId="0" fillId="0" borderId="6" xfId="1" applyNumberFormat="1" applyFont="1" applyBorder="1"/>
    <xf numFmtId="2" fontId="0" fillId="0" borderId="5" xfId="0" applyNumberFormat="1" applyBorder="1"/>
    <xf numFmtId="0" fontId="0" fillId="10" borderId="2" xfId="0" applyFont="1" applyFill="1" applyBorder="1"/>
    <xf numFmtId="2" fontId="0" fillId="0" borderId="0" xfId="0" applyNumberFormat="1"/>
    <xf numFmtId="0" fontId="0" fillId="4" borderId="5" xfId="0" applyFill="1" applyBorder="1"/>
    <xf numFmtId="0" fontId="0" fillId="4" borderId="6" xfId="0" applyFill="1" applyBorder="1"/>
    <xf numFmtId="49" fontId="0" fillId="3" borderId="2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wrapText="1"/>
    </xf>
    <xf numFmtId="49" fontId="0" fillId="9" borderId="2" xfId="0" applyNumberFormat="1" applyFont="1" applyFill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0" fillId="10" borderId="2" xfId="0" applyFont="1" applyFill="1" applyBorder="1" applyAlignment="1">
      <alignment wrapText="1"/>
    </xf>
    <xf numFmtId="2" fontId="0" fillId="4" borderId="2" xfId="0" applyNumberFormat="1" applyFill="1" applyBorder="1"/>
    <xf numFmtId="164" fontId="0" fillId="11" borderId="2" xfId="0" applyNumberFormat="1" applyFont="1" applyFill="1" applyBorder="1"/>
    <xf numFmtId="164" fontId="0" fillId="12" borderId="2" xfId="0" applyNumberFormat="1" applyFont="1" applyFill="1" applyBorder="1"/>
    <xf numFmtId="164" fontId="0" fillId="10" borderId="2" xfId="0" applyNumberFormat="1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11" borderId="0" xfId="0" applyFill="1"/>
    <xf numFmtId="1" fontId="0" fillId="11" borderId="0" xfId="0" applyNumberFormat="1" applyFill="1"/>
    <xf numFmtId="2" fontId="0" fillId="11" borderId="0" xfId="0" applyNumberFormat="1" applyFill="1"/>
  </cellXfs>
  <cellStyles count="2">
    <cellStyle name="Normal" xfId="0" builtinId="0"/>
    <cellStyle name="Pourcentage" xfId="1" builtinId="5"/>
  </cellStyles>
  <dxfs count="126">
    <dxf>
      <numFmt numFmtId="164" formatCode="0.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B1:AW57" totalsRowShown="0" headerRowDxfId="125">
  <autoFilter ref="B1:AW57"/>
  <sortState ref="B2:AL44">
    <sortCondition ref="B1:B44"/>
  </sortState>
  <tableColumns count="48">
    <tableColumn id="1" name="NUMERO" dataDxfId="124"/>
    <tableColumn id="2" name="ADRESSE" dataDxfId="123"/>
    <tableColumn id="3" name="X" dataDxfId="122"/>
    <tableColumn id="4" name="Y" dataDxfId="121"/>
    <tableColumn id="5" name="PK" dataDxfId="120"/>
    <tableColumn id="6" name="ROUTE" dataDxfId="119"/>
    <tableColumn id="7" name="F crashes" dataDxfId="118"/>
    <tableColumn id="8" name="S crashes" dataDxfId="117"/>
    <tableColumn id="27" name="F &amp; S crashes" dataDxfId="116">
      <calculatedColumnFormula>Tableau1[[#This Row],[F crashes]]+Tableau1[[#This Row],[S crashes]]</calculatedColumnFormula>
    </tableColumn>
    <tableColumn id="28" name="SCALING FACTOR F/F&amp;S" dataDxfId="115">
      <calculatedColumnFormula>IF(Tableau1[[#This Row],[F crashes]] &lt;&gt; 0, Tableau1[[#This Row],[F &amp; S crashes]]/Tableau1[[#This Row],[F crashes]], 1)</calculatedColumnFormula>
    </tableColumn>
    <tableColumn id="18" name="TMJA (vehi/jour)" dataDxfId="114"/>
    <tableColumn id="32" name="VEHIC KM / JOUR" dataDxfId="113"/>
    <tableColumn id="30" name="BILLION VEH KM TRAVELLED" dataDxfId="112">
      <calculatedColumnFormula>(Tableau1[[#This Row],[VEHIC KM / JOUR]]*365)/1000000000</calculatedColumnFormula>
    </tableColumn>
    <tableColumn id="29" name="CRASH RISK" dataDxfId="111">
      <calculatedColumnFormula>(Tableau1[[#This Row],[F &amp; S crashes]]/Tableau1[[#This Row],[BILLION VEH KM TRAVELLED]])</calculatedColumnFormula>
    </tableColumn>
    <tableColumn id="31" name="RISK SCORE" dataDxfId="110"/>
    <tableColumn id="34" name="CRASH DENSITY" dataDxfId="109">
      <calculatedColumnFormula>Tableau1[[#This Row],[F &amp; S crashes]]/2</calculatedColumnFormula>
    </tableColumn>
    <tableColumn id="35" name="DENSITY SCORE" dataDxfId="108"/>
    <tableColumn id="26" name="LENTGH SECTION(KM)" dataDxfId="107">
      <calculatedColumnFormula>Tableau1[[#This Row],[VEHIC KM / JOUR]]/Tableau1[[#This Row],[TMJA (vehi/jour)]]</calculatedColumnFormula>
    </tableColumn>
    <tableColumn id="19" name="ETAT CHAUSSE" dataDxfId="106"/>
    <tableColumn id="20" name="TYPE CHAUSSE" dataDxfId="105"/>
    <tableColumn id="21" name="VITESSE LIMITE" dataDxfId="104"/>
    <tableColumn id="38" name="PK O" dataDxfId="103"/>
    <tableColumn id="37" name="PK F" dataDxfId="102"/>
    <tableColumn id="36" name="F Crashes trancon" dataDxfId="101"/>
    <tableColumn id="39" name="S crashes trancon" dataDxfId="100"/>
    <tableColumn id="40" name="F&amp;S crashes tronçon " dataDxfId="99">
      <calculatedColumnFormula>Tableau1[[#This Row],[F Crashes trancon]]+Tableau1[[#This Row],[S crashes trancon]]</calculatedColumnFormula>
    </tableColumn>
    <tableColumn id="41" name="SCALING FACTOR TRONCON" dataDxfId="98">
      <calculatedColumnFormula>IF(Tableau1[[#This Row],[F Crashes trancon]]&lt;&gt; 0, Tableau1[[#This Row],[F&amp;S crashes tronçon ]]/Tableau1[[#This Row],[F Crashes trancon]], 1)</calculatedColumnFormula>
    </tableColumn>
    <tableColumn id="42" name="CRASH RISK TRANCON" dataDxfId="97">
      <calculatedColumnFormula>(Tableau1[[#This Row],[F&amp;S crashes tronçon ]]/Tableau1[[#This Row],[BILLION VEH KM TRAVELLED]])</calculatedColumnFormula>
    </tableColumn>
    <tableColumn id="43" name="RISK SCORE2" dataDxfId="96"/>
    <tableColumn id="44" name="CRASH DENSITY2" dataDxfId="95">
      <calculatedColumnFormula>Tableau1[[#This Row],[F&amp;S crashes tronçon ]]/Tableau1[[#This Row],[LENTGH SECTION(KM)]]</calculatedColumnFormula>
    </tableColumn>
    <tableColumn id="45" name="DENSITY SCORE TRANCON" dataDxfId="94"/>
    <tableColumn id="9" name="troncon rectiligne" dataDxfId="93"/>
    <tableColumn id="10" name="Proximité pénétrante" dataDxfId="92"/>
    <tableColumn id="12" name="Proximite peage " dataDxfId="91"/>
    <tableColumn id="11" name="Proximite Aire de service/Aire de repos" dataDxfId="90"/>
    <tableColumn id="13" name="Entree ville" dataDxfId="89"/>
    <tableColumn id="14" name="Distance d'un milieu urbain" dataDxfId="88"/>
    <tableColumn id="15" name="Nomre Infractions 2015" dataDxfId="87"/>
    <tableColumn id="16" name="Nombre Infractions 2016" dataDxfId="86"/>
    <tableColumn id="17" name="Nombre Infractions 2017" dataDxfId="85"/>
    <tableColumn id="22" name="Moyenne Journalière Infrations 2015" dataDxfId="84"/>
    <tableColumn id="23" name="Nombre jours de fonction 2015" dataDxfId="83"/>
    <tableColumn id="24" name="Moyenne Journalière Infrations 2016" dataDxfId="82"/>
    <tableColumn id="25" name="Nombre jours de fonction 2016" dataDxfId="81"/>
    <tableColumn id="33" name="Moyenne Journalière Infrations 2017" dataDxfId="80"/>
    <tableColumn id="46" name="Nombre jours de fonction 2017" dataDxfId="79"/>
    <tableColumn id="47" name="GAIN 2017-2016" dataDxfId="78">
      <calculatedColumnFormula>IF(Tableau1[[#This Row],[Moyenne Journalière Infrations 2016]]&gt;0, Tableau1[[#This Row],[Moyenne Journalière Infrations 2016]]-Tableau1[[#This Row],[Moyenne Journalière Infrations 2017]],0)</calculatedColumnFormula>
    </tableColumn>
    <tableColumn id="49" name="GAIN 2016-2015" dataDxfId="77">
      <calculatedColumnFormula>IF(Tableau1[[#This Row],[Moyenne Journalière Infrations 2015]]&gt;0, Tableau1[[#This Row],[Moyenne Journalière Infrations 2015]]-Tableau1[[#This Row],[Moyenne Journalière Infrations 2016]],0)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14" displayName="Tableau14" ref="B1:BM75" totalsRowShown="0" headerRowDxfId="76">
  <autoFilter ref="B1:BM75"/>
  <sortState ref="B2:AW75">
    <sortCondition ref="B1:B75"/>
  </sortState>
  <tableColumns count="64">
    <tableColumn id="1" name="NUMERO" dataDxfId="75"/>
    <tableColumn id="2" name="ADRESSE" dataDxfId="74"/>
    <tableColumn id="3" name="X" dataDxfId="73"/>
    <tableColumn id="4" name="Y" dataDxfId="72"/>
    <tableColumn id="5" name="PK" dataDxfId="71"/>
    <tableColumn id="6" name="ROUTE" dataDxfId="70"/>
    <tableColumn id="7" name="F crashes2015" dataDxfId="69"/>
    <tableColumn id="8" name="S crashes2015" dataDxfId="68"/>
    <tableColumn id="27" name="F &amp; S crashes2015" dataDxfId="67">
      <calculatedColumnFormula>Tableau14[[#This Row],[F crashes2015]]+Tableau14[[#This Row],[S crashes2015]]</calculatedColumnFormula>
    </tableColumn>
    <tableColumn id="28" name="SCALING FACTOR F/F&amp;S2015" dataDxfId="66">
      <calculatedColumnFormula>IF(Tableau14[[#This Row],[F crashes2015]] &lt;&gt; 0, Tableau14[[#This Row],[F &amp; S crashes2015]]/Tableau14[[#This Row],[F crashes2015]], 1)</calculatedColumnFormula>
    </tableColumn>
    <tableColumn id="18" name="TMJA2015 (vehi/jour)" dataDxfId="65"/>
    <tableColumn id="32" name="VEHIC KM / JOUR2015" dataDxfId="64"/>
    <tableColumn id="30" name="BILLION VEH KM TRAVELLED2015" dataDxfId="63">
      <calculatedColumnFormula>(Tableau14[[#This Row],[VEHIC KM / JOUR2015]]*365)/1000000000</calculatedColumnFormula>
    </tableColumn>
    <tableColumn id="29" name="CRASH RISK2015" dataDxfId="62">
      <calculatedColumnFormula>(Tableau14[[#This Row],[F &amp; S crashes2015]]/Tableau14[[#This Row],[BILLION VEH KM TRAVELLED2015]])</calculatedColumnFormula>
    </tableColumn>
    <tableColumn id="31" name="RISK SCORE2015" dataDxfId="61"/>
    <tableColumn id="34" name="CRASH DENSITY2015" dataDxfId="60">
      <calculatedColumnFormula>Tableau14[[#This Row],[F &amp; S crashes2015]]/4</calculatedColumnFormula>
    </tableColumn>
    <tableColumn id="35" name="DENSITY SCORE" dataDxfId="59"/>
    <tableColumn id="26" name="LENTGH SECTION(KM)" dataDxfId="58">
      <calculatedColumnFormula>Tableau14[[#This Row],[VEHIC KM / JOUR2015]]/Tableau14[[#This Row],[TMJA2015 (vehi/jour)]]</calculatedColumnFormula>
    </tableColumn>
    <tableColumn id="19" name="ETAT CHAUSSE" dataDxfId="57"/>
    <tableColumn id="20" name="TYPE CHAUSSE" dataDxfId="56"/>
    <tableColumn id="21" name="VITESSE LIMITE" dataDxfId="55"/>
    <tableColumn id="38" name="PK O" dataDxfId="54"/>
    <tableColumn id="37" name="PK F" dataDxfId="53"/>
    <tableColumn id="36" name="F Crashes trancon" dataDxfId="52"/>
    <tableColumn id="39" name="S crashes trancon" dataDxfId="51"/>
    <tableColumn id="40" name="F&amp;S crashes tronçon " dataDxfId="50">
      <calculatedColumnFormula>Tableau14[[#This Row],[F Crashes trancon]]+Tableau14[[#This Row],[S crashes trancon]]</calculatedColumnFormula>
    </tableColumn>
    <tableColumn id="41" name="SCALING FACTOR TRONCON" dataDxfId="49">
      <calculatedColumnFormula>IF(Tableau14[[#This Row],[F Crashes trancon]]&lt;&gt; 0, Tableau14[[#This Row],[F&amp;S crashes tronçon ]]/Tableau14[[#This Row],[F Crashes trancon]], 1)</calculatedColumnFormula>
    </tableColumn>
    <tableColumn id="42" name="CRASH RISK TRANCON" dataDxfId="48">
      <calculatedColumnFormula>(Tableau14[[#This Row],[F&amp;S crashes tronçon ]]/Tableau14[[#This Row],[BILLION VEH KM TRAVELLED2015]])</calculatedColumnFormula>
    </tableColumn>
    <tableColumn id="43" name="RISK SCORE2" dataDxfId="47"/>
    <tableColumn id="44" name="CRASH DENSITY2" dataDxfId="46">
      <calculatedColumnFormula>Tableau14[[#This Row],[F&amp;S crashes tronçon ]]/Tableau14[[#This Row],[LENTGH SECTION(KM)]]</calculatedColumnFormula>
    </tableColumn>
    <tableColumn id="45" name="DENSITY SCORE TRANCON" dataDxfId="45"/>
    <tableColumn id="9" name="troncon rectiligne" dataDxfId="44"/>
    <tableColumn id="10" name="Proximité pénétrante" dataDxfId="43"/>
    <tableColumn id="12" name="Proximite peage " dataDxfId="42"/>
    <tableColumn id="11" name="Proximite Aire de service/Aire de repos" dataDxfId="41"/>
    <tableColumn id="13" name="Entree ville" dataDxfId="40"/>
    <tableColumn id="14" name="Distance d'un milieu urbain" dataDxfId="39"/>
    <tableColumn id="15" name="Nomre Infractions 2015" dataDxfId="38"/>
    <tableColumn id="16" name="Nombre Infractions 2016" dataDxfId="37"/>
    <tableColumn id="17" name="Nombre Infractions 2017" dataDxfId="36"/>
    <tableColumn id="22" name="Moyenne Journalière Infrations 2015" dataDxfId="35"/>
    <tableColumn id="23" name="Nombre jours de fonction 2015" dataDxfId="34"/>
    <tableColumn id="24" name="Moyenne Journalière Infrations 2016" dataDxfId="33"/>
    <tableColumn id="25" name="Nombre jours de fonction 2016" dataDxfId="32"/>
    <tableColumn id="33" name="Moyenne Journalière Infrations 2017" dataDxfId="31"/>
    <tableColumn id="46" name="Nombre jours de fonction 2017" dataDxfId="30"/>
    <tableColumn id="47" name="GAIN 2017-2016" dataDxfId="29">
      <calculatedColumnFormula>IF(Tableau14[[#This Row],[Moyenne Journalière Infrations 2016]]&gt;0, Tableau14[[#This Row],[Moyenne Journalière Infrations 2016]]-Tableau14[[#This Row],[Moyenne Journalière Infrations 2017]],0)</calculatedColumnFormula>
    </tableColumn>
    <tableColumn id="49" name="GAIN 2016-2015" dataDxfId="28">
      <calculatedColumnFormula>IF(Tableau14[[#This Row],[Moyenne Journalière Infrations 2015]]&gt;0, Tableau14[[#This Row],[Moyenne Journalière Infrations 2015]]-Tableau14[[#This Row],[Moyenne Journalière Infrations 2016]],0)</calculatedColumnFormula>
    </tableColumn>
    <tableColumn id="48" name="LANES" dataDxfId="27"/>
    <tableColumn id="50" name="TYPE TRAIT" dataDxfId="26"/>
    <tableColumn id="51" name="HAS SHOULDER" dataDxfId="25"/>
    <tableColumn id="52" name="1RST FONCTIONNEMENT" dataDxfId="24"/>
    <tableColumn id="53" name="F crashes2016" dataDxfId="23"/>
    <tableColumn id="54" name="S crashes2016" dataDxfId="22"/>
    <tableColumn id="55" name="F &amp; S crashes2016" dataDxfId="21">
      <calculatedColumnFormula>Tableau14[[#This Row],[S crashes2016]]+Tableau14[[#This Row],[F crashes2016]]</calculatedColumnFormula>
    </tableColumn>
    <tableColumn id="56" name="SCALING FACTOR F/F&amp;S2016" dataDxfId="20">
      <calculatedColumnFormula>IF(Tableau14[[#This Row],[F crashes2016]] &lt;&gt; 0, Tableau14[[#This Row],[F &amp; S crashes2016]]/Tableau14[[#This Row],[F crashes2016]], 1)</calculatedColumnFormula>
    </tableColumn>
    <tableColumn id="57" name="TMJA2016(vehi/jour)" dataDxfId="19"/>
    <tableColumn id="58" name="VEHIC KM / JOUR2016" dataDxfId="18"/>
    <tableColumn id="59" name="BILLION VEH KM TRAVELLED2016" dataDxfId="17">
      <calculatedColumnFormula>(Tableau14[[#This Row],[VEHIC KM / JOUR2016]]*365)/1000000000</calculatedColumnFormula>
    </tableColumn>
    <tableColumn id="60" name="CRASH RISK2016" dataDxfId="16">
      <calculatedColumnFormula>(Tableau14[[#This Row],[F &amp; S crashes2016]]/Tableau14[[#This Row],[BILLION VEH KM TRAVELLED2016]])</calculatedColumnFormula>
    </tableColumn>
    <tableColumn id="61" name="RISK SCORE 2016" dataDxfId="15"/>
    <tableColumn id="62" name="CRASH DENSITY2016" dataDxfId="14">
      <calculatedColumnFormula>Tableau14[[#This Row],[F &amp; S crashes2016]]/4</calculatedColumnFormula>
    </tableColumn>
    <tableColumn id="64" name="DELTA CR" dataDxfId="13">
      <calculatedColumnFormula>Tableau14[[#This Row],[CRASH RISK2016]]-Tableau14[[#This Row],[CRASH RISK2015]]</calculatedColumnFormula>
    </tableColumn>
    <tableColumn id="65" name="DELTA CD" dataDxfId="12">
      <calculatedColumnFormula>Tableau14[[#This Row],[CRASH DENSITY2016]]-Tableau14[[#This Row],[CRASH DENSITY2015]]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1:V75" totalsRowShown="0" headerRowDxfId="11">
  <autoFilter ref="A1:V75"/>
  <tableColumns count="22">
    <tableColumn id="1" name="ID">
      <calculatedColumnFormula>A1+1</calculatedColumnFormula>
    </tableColumn>
    <tableColumn id="2" name="TMJA MOYEN"/>
    <tableColumn id="3" name="LANES"/>
    <tableColumn id="4" name="TYPE TRAIT"/>
    <tableColumn id="5" name="HAS SHOULDER"/>
    <tableColumn id="6" name="VITESSE LIMITE"/>
    <tableColumn id="7" name="troncon rectiligne" dataDxfId="10"/>
    <tableColumn id="8" name="Proximité pénétrante"/>
    <tableColumn id="9" name="Proximite peage "/>
    <tableColumn id="10" name="Proximite Aire de service/Aire de repos"/>
    <tableColumn id="11" name="Entree ville"/>
    <tableColumn id="12" name="Distance d'un milieu urbain" dataDxfId="9"/>
    <tableColumn id="13" name="SCORE CR 2015"/>
    <tableColumn id="14" name="SCORE CR 2016"/>
    <tableColumn id="15" name="SCORE CD 2015"/>
    <tableColumn id="16" name="SCORE CD 2016"/>
    <tableColumn id="17" name="Moyenne Journalière Infrations 2015"/>
    <tableColumn id="18" name="Moyenne Journalière Infrations 2016"/>
    <tableColumn id="19" name="Moyenne Journalière Infrations 2017"/>
    <tableColumn id="20" name="GAIN INFRACTIONS">
      <calculatedColumnFormula>IF(AND(S2&gt;10,R2&gt;10), R2-S2,IF(AND(Q2&gt;10,R2&gt;10),Q2-R2, -1))</calculatedColumnFormula>
    </tableColumn>
    <tableColumn id="21" name="GAIN ACCIDENTOLOGIE"/>
    <tableColumn id="22" name="SCORE FINAL" dataDxfId="8">
      <calculatedColumnFormula>IF(AND(Tableau5[[#This Row],[GAIN ACCIDENTOLOGIE]]&gt;U76,Tableau5[[#This Row],[GAIN INFRACTIONS]]&gt;T76), SCORE!K$2,IF(OR(Tableau5[[#This Row],[GAIN ACCIDENTOLOGIE]]&gt;= U76, Tableau5[[#This Row],[GAIN INFRACTIONS]]&gt;=T76), SCORE!K$3,SCORE!K$4))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P34" totalsRowShown="0">
  <autoFilter ref="A1:P34"/>
  <tableColumns count="16">
    <tableColumn id="1" name="NUMERO"/>
    <tableColumn id="2" name="ADRESSE"/>
    <tableColumn id="3" name="X"/>
    <tableColumn id="4" name="Y"/>
    <tableColumn id="5" name="PK"/>
    <tableColumn id="6" name="ROUTE"/>
    <tableColumn id="10" name="TMJA (vehi/jour)"/>
    <tableColumn id="31" name="CRASH RISK SCORE" dataDxfId="7"/>
    <tableColumn id="32" name="CRASH RISK SCORE INT" dataDxfId="6">
      <calculatedColumnFormula xml:space="preserve"> VLOOKUP(H2,REFERENTIEL!A$2:B$5,2,FALSE)</calculatedColumnFormula>
    </tableColumn>
    <tableColumn id="14" name="CRASH DENSITY SCORE"/>
    <tableColumn id="15" name="LENTGH SECTION(KM)" dataDxfId="5"/>
    <tableColumn id="16" name="ETAT CHAUSSE"/>
    <tableColumn id="17" name="TYPE CHAUSSE"/>
    <tableColumn id="18" name="VITESSE LIMITE"/>
    <tableColumn id="26" name="CRASH RISK SCORE TRANCON"/>
    <tableColumn id="30" name="CRASH DENSITY SCORE TRANC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au13" displayName="Tableau13" ref="A1:N34" totalsRowShown="0">
  <autoFilter ref="A1:N34"/>
  <sortState ref="A2:S34">
    <sortCondition ref="F1:F34"/>
  </sortState>
  <tableColumns count="14">
    <tableColumn id="1" name="NUMERO"/>
    <tableColumn id="2" name="ADRESSE" dataDxfId="4"/>
    <tableColumn id="3" name="X"/>
    <tableColumn id="4" name="Y"/>
    <tableColumn id="5" name="PK"/>
    <tableColumn id="6" name="ROUTE"/>
    <tableColumn id="32" name="VEHIC_KM_JOUR"/>
    <tableColumn id="30" name="BILLION VEH KM TRAVELLED" dataDxfId="3">
      <calculatedColumnFormula>(Tableau13[[#This Row],[VEHIC_KM_JOUR]]*365)/1000000000</calculatedColumnFormula>
    </tableColumn>
    <tableColumn id="31" name="CRASH_RISK_SCORE" dataDxfId="2"/>
    <tableColumn id="35" name="CRASH DENSITY SCORE " dataDxfId="1"/>
    <tableColumn id="19" name="ETAT_CHAUSSE"/>
    <tableColumn id="20" name="TYPE_CHAUSSE"/>
    <tableColumn id="21" name="VITESSE_LIMITE"/>
    <tableColumn id="36" name="LENTGH SECTION(K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"/>
  <sheetViews>
    <sheetView topLeftCell="B2" zoomScale="85" zoomScaleNormal="85" workbookViewId="0">
      <selection activeCell="I16" sqref="I16"/>
    </sheetView>
  </sheetViews>
  <sheetFormatPr baseColWidth="10" defaultRowHeight="14.4" x14ac:dyDescent="0.3"/>
  <cols>
    <col min="1" max="1" width="13" bestFit="1" customWidth="1"/>
    <col min="2" max="2" width="17.6640625" customWidth="1"/>
    <col min="3" max="3" width="27.33203125" style="2" customWidth="1"/>
    <col min="9" max="11" width="12.88671875" customWidth="1"/>
    <col min="12" max="12" width="13.5546875" customWidth="1"/>
    <col min="13" max="13" width="10.109375" customWidth="1"/>
    <col min="14" max="14" width="12.44140625" customWidth="1"/>
    <col min="15" max="15" width="8" customWidth="1"/>
    <col min="16" max="16" width="9.44140625" style="2" hidden="1" customWidth="1"/>
    <col min="17" max="17" width="9.44140625" style="2" customWidth="1"/>
    <col min="18" max="18" width="10.33203125" style="2" hidden="1" customWidth="1"/>
    <col min="19" max="19" width="8.44140625" customWidth="1"/>
    <col min="20" max="21" width="11.109375" bestFit="1" customWidth="1"/>
    <col min="22" max="22" width="10" bestFit="1" customWidth="1"/>
    <col min="23" max="24" width="10" customWidth="1"/>
    <col min="25" max="25" width="10.88671875" customWidth="1"/>
    <col min="29" max="29" width="11.44140625" bestFit="1" customWidth="1"/>
    <col min="30" max="30" width="10" hidden="1" customWidth="1"/>
    <col min="31" max="31" width="11.33203125" customWidth="1"/>
    <col min="32" max="32" width="0" hidden="1" customWidth="1"/>
    <col min="34" max="34" width="19.21875" customWidth="1"/>
    <col min="35" max="36" width="12.44140625" customWidth="1"/>
    <col min="37" max="37" width="9" customWidth="1"/>
    <col min="44" max="44" width="20.6640625" customWidth="1"/>
    <col min="46" max="46" width="21.21875" customWidth="1"/>
    <col min="48" max="48" width="17.6640625" bestFit="1" customWidth="1"/>
  </cols>
  <sheetData>
    <row r="1" spans="1:49" ht="57.6" x14ac:dyDescent="0.3">
      <c r="A1" s="20" t="s">
        <v>226</v>
      </c>
      <c r="B1" s="8" t="s">
        <v>128</v>
      </c>
      <c r="C1" s="11" t="s">
        <v>129</v>
      </c>
      <c r="D1" s="8" t="s">
        <v>130</v>
      </c>
      <c r="E1" s="8" t="s">
        <v>131</v>
      </c>
      <c r="F1" s="8" t="s">
        <v>0</v>
      </c>
      <c r="G1" s="8" t="s">
        <v>1</v>
      </c>
      <c r="H1" s="8" t="s">
        <v>136</v>
      </c>
      <c r="I1" s="8" t="s">
        <v>137</v>
      </c>
      <c r="J1" s="8" t="s">
        <v>139</v>
      </c>
      <c r="K1" s="11" t="s">
        <v>140</v>
      </c>
      <c r="L1" s="11" t="s">
        <v>2</v>
      </c>
      <c r="M1" s="11" t="s">
        <v>145</v>
      </c>
      <c r="N1" s="11" t="s">
        <v>142</v>
      </c>
      <c r="O1" s="11" t="s">
        <v>141</v>
      </c>
      <c r="P1" s="11" t="s">
        <v>148</v>
      </c>
      <c r="Q1" s="11" t="s">
        <v>149</v>
      </c>
      <c r="R1" s="11" t="s">
        <v>169</v>
      </c>
      <c r="S1" s="11" t="s">
        <v>138</v>
      </c>
      <c r="T1" s="11" t="s">
        <v>3</v>
      </c>
      <c r="U1" s="11" t="s">
        <v>4</v>
      </c>
      <c r="V1" s="11" t="s">
        <v>5</v>
      </c>
      <c r="W1" s="11" t="s">
        <v>158</v>
      </c>
      <c r="X1" s="11" t="s">
        <v>159</v>
      </c>
      <c r="Y1" s="11" t="s">
        <v>157</v>
      </c>
      <c r="Z1" s="11" t="s">
        <v>160</v>
      </c>
      <c r="AA1" s="11" t="s">
        <v>161</v>
      </c>
      <c r="AB1" s="11" t="s">
        <v>162</v>
      </c>
      <c r="AC1" s="11" t="s">
        <v>165</v>
      </c>
      <c r="AD1" s="11" t="s">
        <v>163</v>
      </c>
      <c r="AE1" s="11" t="s">
        <v>164</v>
      </c>
      <c r="AF1" s="11" t="s">
        <v>166</v>
      </c>
      <c r="AG1" s="11" t="s">
        <v>210</v>
      </c>
      <c r="AH1" s="11" t="s">
        <v>214</v>
      </c>
      <c r="AI1" s="11" t="s">
        <v>213</v>
      </c>
      <c r="AJ1" s="11" t="s">
        <v>225</v>
      </c>
      <c r="AK1" s="11" t="s">
        <v>215</v>
      </c>
      <c r="AL1" s="11" t="s">
        <v>216</v>
      </c>
      <c r="AM1" s="46" t="s">
        <v>287</v>
      </c>
      <c r="AN1" s="46" t="s">
        <v>288</v>
      </c>
      <c r="AO1" s="46" t="s">
        <v>289</v>
      </c>
      <c r="AP1" s="46" t="s">
        <v>290</v>
      </c>
      <c r="AQ1" s="46" t="s">
        <v>291</v>
      </c>
      <c r="AR1" s="46" t="s">
        <v>292</v>
      </c>
      <c r="AS1" s="46" t="s">
        <v>293</v>
      </c>
      <c r="AT1" s="46" t="s">
        <v>294</v>
      </c>
      <c r="AU1" s="46" t="s">
        <v>295</v>
      </c>
      <c r="AV1" s="46" t="s">
        <v>296</v>
      </c>
      <c r="AW1" s="46" t="s">
        <v>297</v>
      </c>
    </row>
    <row r="2" spans="1:49" ht="28.8" x14ac:dyDescent="0.3">
      <c r="A2" s="21">
        <v>1</v>
      </c>
      <c r="B2" s="8" t="s">
        <v>102</v>
      </c>
      <c r="C2" s="11" t="s">
        <v>26</v>
      </c>
      <c r="D2" s="8" t="s">
        <v>27</v>
      </c>
      <c r="E2" s="8" t="s">
        <v>28</v>
      </c>
      <c r="F2" s="8">
        <v>15</v>
      </c>
      <c r="G2" s="22" t="s">
        <v>134</v>
      </c>
      <c r="H2" s="8">
        <v>0</v>
      </c>
      <c r="I2" s="8">
        <v>1</v>
      </c>
      <c r="J2" s="8">
        <f>Tableau1[[#This Row],[F crashes]]+Tableau1[[#This Row],[S crashes]]</f>
        <v>1</v>
      </c>
      <c r="K2" s="12">
        <f>IF(Tableau1[[#This Row],[F crashes]] &lt;&gt; 0, Tableau1[[#This Row],[F &amp; S crashes]]/Tableau1[[#This Row],[F crashes]], 1)</f>
        <v>1</v>
      </c>
      <c r="L2" s="8">
        <v>10447</v>
      </c>
      <c r="M2" s="8">
        <v>198493</v>
      </c>
      <c r="N2" s="8">
        <f>(Tableau1[[#This Row],[VEHIC KM / JOUR]]*365)/1000000000</f>
        <v>7.2449945000000002E-2</v>
      </c>
      <c r="O2" s="23">
        <f>(Tableau1[[#This Row],[F &amp; S crashes]]/Tableau1[[#This Row],[BILLION VEH KM TRAVELLED]])</f>
        <v>13.802632976463958</v>
      </c>
      <c r="P2" s="11" t="s">
        <v>146</v>
      </c>
      <c r="Q2" s="11">
        <f>Tableau1[[#This Row],[F &amp; S crashes]]/2</f>
        <v>0.5</v>
      </c>
      <c r="R2" s="8" t="s">
        <v>144</v>
      </c>
      <c r="S2" s="23">
        <f>Tableau1[[#This Row],[VEHIC KM / JOUR]]/Tableau1[[#This Row],[TMJA (vehi/jour)]]</f>
        <v>19</v>
      </c>
      <c r="T2" s="8">
        <v>1</v>
      </c>
      <c r="U2" s="8">
        <v>2</v>
      </c>
      <c r="V2" s="8">
        <v>60</v>
      </c>
      <c r="W2" s="8">
        <v>0</v>
      </c>
      <c r="X2" s="8">
        <v>19</v>
      </c>
      <c r="Y2" s="8">
        <v>1</v>
      </c>
      <c r="Z2" s="8">
        <v>4</v>
      </c>
      <c r="AA2" s="8">
        <f>Tableau1[[#This Row],[F Crashes trancon]]+Tableau1[[#This Row],[S crashes trancon]]</f>
        <v>5</v>
      </c>
      <c r="AB2" s="24">
        <f>IF(Tableau1[[#This Row],[F Crashes trancon]]&lt;&gt; 0, Tableau1[[#This Row],[F&amp;S crashes tronçon ]]/Tableau1[[#This Row],[F Crashes trancon]], 1)</f>
        <v>5</v>
      </c>
      <c r="AC2" s="23">
        <f>(Tableau1[[#This Row],[F&amp;S crashes tronçon ]]/Tableau1[[#This Row],[BILLION VEH KM TRAVELLED]])</f>
        <v>69.013164882319785</v>
      </c>
      <c r="AD2" s="11" t="s">
        <v>146</v>
      </c>
      <c r="AE2" s="27">
        <f>Tableau1[[#This Row],[F&amp;S crashes tronçon ]]/Tableau1[[#This Row],[LENTGH SECTION(KM)]]</f>
        <v>0.26315789473684209</v>
      </c>
      <c r="AF2" s="8" t="s">
        <v>167</v>
      </c>
      <c r="AG2" s="8">
        <v>0.34</v>
      </c>
      <c r="AH2" s="8" t="s">
        <v>212</v>
      </c>
      <c r="AI2" s="8" t="s">
        <v>212</v>
      </c>
      <c r="AJ2" s="8" t="s">
        <v>212</v>
      </c>
      <c r="AK2" s="8" t="s">
        <v>212</v>
      </c>
      <c r="AL2" s="8">
        <v>13.8</v>
      </c>
      <c r="AM2" s="44">
        <v>0</v>
      </c>
      <c r="AN2" s="44">
        <v>93095</v>
      </c>
      <c r="AO2" s="44">
        <v>104315</v>
      </c>
      <c r="AP2" s="44">
        <v>0</v>
      </c>
      <c r="AQ2" s="44">
        <v>0</v>
      </c>
      <c r="AR2" s="44">
        <v>1605</v>
      </c>
      <c r="AS2" s="44">
        <v>58</v>
      </c>
      <c r="AT2" s="44">
        <v>399</v>
      </c>
      <c r="AU2" s="44">
        <v>261</v>
      </c>
      <c r="AV2" s="44">
        <f>IF(Tableau1[[#This Row],[Moyenne Journalière Infrations 2016]]&gt;0, Tableau1[[#This Row],[Moyenne Journalière Infrations 2016]]-Tableau1[[#This Row],[Moyenne Journalière Infrations 2017]],0)</f>
        <v>1206</v>
      </c>
      <c r="AW2" s="44">
        <f>IF(Tableau1[[#This Row],[Moyenne Journalière Infrations 2015]]&gt;0, Tableau1[[#This Row],[Moyenne Journalière Infrations 2015]]-Tableau1[[#This Row],[Moyenne Journalière Infrations 2016]],0)</f>
        <v>0</v>
      </c>
    </row>
    <row r="3" spans="1:49" ht="28.8" x14ac:dyDescent="0.3">
      <c r="A3" s="28">
        <f>A2+1</f>
        <v>2</v>
      </c>
      <c r="B3" s="8" t="s">
        <v>103</v>
      </c>
      <c r="C3" s="11" t="s">
        <v>29</v>
      </c>
      <c r="D3" s="8" t="s">
        <v>27</v>
      </c>
      <c r="E3" s="8" t="s">
        <v>30</v>
      </c>
      <c r="F3" s="8">
        <v>15.1</v>
      </c>
      <c r="G3" s="22" t="s">
        <v>134</v>
      </c>
      <c r="H3" s="8">
        <v>0</v>
      </c>
      <c r="I3" s="8">
        <v>1</v>
      </c>
      <c r="J3" s="8">
        <f>Tableau1[[#This Row],[F crashes]]+Tableau1[[#This Row],[S crashes]]</f>
        <v>1</v>
      </c>
      <c r="K3" s="12">
        <f>IF(Tableau1[[#This Row],[F crashes]] &lt;&gt; 0, Tableau1[[#This Row],[F &amp; S crashes]]/Tableau1[[#This Row],[F crashes]], 1)</f>
        <v>1</v>
      </c>
      <c r="L3" s="8">
        <v>10447</v>
      </c>
      <c r="M3" s="8">
        <v>198493</v>
      </c>
      <c r="N3" s="8">
        <f>(Tableau1[[#This Row],[VEHIC KM / JOUR]]*365)/1000000000</f>
        <v>7.2449945000000002E-2</v>
      </c>
      <c r="O3" s="23">
        <f>(Tableau1[[#This Row],[F &amp; S crashes]]/Tableau1[[#This Row],[BILLION VEH KM TRAVELLED]])</f>
        <v>13.802632976463958</v>
      </c>
      <c r="P3" s="11" t="s">
        <v>146</v>
      </c>
      <c r="Q3" s="11">
        <f>Tableau1[[#This Row],[F &amp; S crashes]]/2</f>
        <v>0.5</v>
      </c>
      <c r="R3" s="8" t="s">
        <v>144</v>
      </c>
      <c r="S3" s="23">
        <f>Tableau1[[#This Row],[VEHIC KM / JOUR]]/Tableau1[[#This Row],[TMJA (vehi/jour)]]</f>
        <v>19</v>
      </c>
      <c r="T3" s="8">
        <v>1</v>
      </c>
      <c r="U3" s="8">
        <v>2</v>
      </c>
      <c r="V3" s="8">
        <v>60</v>
      </c>
      <c r="W3" s="8">
        <v>0</v>
      </c>
      <c r="X3" s="8">
        <v>19</v>
      </c>
      <c r="Y3" s="8">
        <v>1</v>
      </c>
      <c r="Z3" s="8">
        <v>4</v>
      </c>
      <c r="AA3" s="8">
        <f>Tableau1[[#This Row],[F Crashes trancon]]+Tableau1[[#This Row],[S crashes trancon]]</f>
        <v>5</v>
      </c>
      <c r="AB3" s="24">
        <f>IF(Tableau1[[#This Row],[F Crashes trancon]]&lt;&gt; 0, Tableau1[[#This Row],[F&amp;S crashes tronçon ]]/Tableau1[[#This Row],[F Crashes trancon]], 1)</f>
        <v>5</v>
      </c>
      <c r="AC3" s="23">
        <f>(Tableau1[[#This Row],[F&amp;S crashes tronçon ]]/Tableau1[[#This Row],[BILLION VEH KM TRAVELLED]])</f>
        <v>69.013164882319785</v>
      </c>
      <c r="AD3" s="11" t="s">
        <v>146</v>
      </c>
      <c r="AE3" s="27">
        <f>Tableau1[[#This Row],[F&amp;S crashes tronçon ]]/Tableau1[[#This Row],[LENTGH SECTION(KM)]]</f>
        <v>0.26315789473684209</v>
      </c>
      <c r="AF3" s="8" t="s">
        <v>167</v>
      </c>
      <c r="AG3" s="8">
        <v>0.34</v>
      </c>
      <c r="AH3" s="8" t="s">
        <v>212</v>
      </c>
      <c r="AI3" s="8" t="s">
        <v>212</v>
      </c>
      <c r="AJ3" s="8" t="s">
        <v>212</v>
      </c>
      <c r="AK3" s="8" t="s">
        <v>212</v>
      </c>
      <c r="AL3" s="8">
        <v>13.8</v>
      </c>
      <c r="AM3" s="8">
        <v>0</v>
      </c>
      <c r="AN3" s="8">
        <v>34360</v>
      </c>
      <c r="AO3" s="8">
        <v>20867</v>
      </c>
      <c r="AP3" s="44">
        <v>0</v>
      </c>
      <c r="AQ3" s="44">
        <v>0</v>
      </c>
      <c r="AR3" s="8">
        <v>818</v>
      </c>
      <c r="AS3" s="8">
        <v>42</v>
      </c>
      <c r="AT3" s="8">
        <v>169</v>
      </c>
      <c r="AU3" s="8">
        <v>123</v>
      </c>
      <c r="AV3" s="44">
        <f>IF(Tableau1[[#This Row],[Moyenne Journalière Infrations 2016]]&gt;0, Tableau1[[#This Row],[Moyenne Journalière Infrations 2016]]-Tableau1[[#This Row],[Moyenne Journalière Infrations 2017]],0)</f>
        <v>649</v>
      </c>
      <c r="AW3" s="44">
        <f>IF(Tableau1[[#This Row],[Moyenne Journalière Infrations 2015]]&gt;0, Tableau1[[#This Row],[Moyenne Journalière Infrations 2015]]-Tableau1[[#This Row],[Moyenne Journalière Infrations 2016]],0)</f>
        <v>0</v>
      </c>
    </row>
    <row r="4" spans="1:49" x14ac:dyDescent="0.3">
      <c r="A4" s="28">
        <f t="shared" ref="A4:A57" si="0">A3+1</f>
        <v>3</v>
      </c>
      <c r="B4" s="8" t="s">
        <v>110</v>
      </c>
      <c r="C4" s="11" t="s">
        <v>46</v>
      </c>
      <c r="D4" s="8" t="s">
        <v>47</v>
      </c>
      <c r="E4" s="8" t="s">
        <v>48</v>
      </c>
      <c r="F4" s="8">
        <v>70.2</v>
      </c>
      <c r="G4" s="22" t="s">
        <v>134</v>
      </c>
      <c r="H4" s="8">
        <v>0</v>
      </c>
      <c r="I4" s="8">
        <v>2</v>
      </c>
      <c r="J4" s="8">
        <f>Tableau1[[#This Row],[F crashes]]+Tableau1[[#This Row],[S crashes]]</f>
        <v>2</v>
      </c>
      <c r="K4" s="12">
        <f>IF(Tableau1[[#This Row],[F crashes]] &lt;&gt; 0, Tableau1[[#This Row],[F &amp; S crashes]]/Tableau1[[#This Row],[F crashes]], 1)</f>
        <v>1</v>
      </c>
      <c r="L4" s="8">
        <v>4722</v>
      </c>
      <c r="M4" s="8">
        <v>105773</v>
      </c>
      <c r="N4" s="8">
        <f>(Tableau1[[#This Row],[VEHIC KM / JOUR]]*365)/1000000000</f>
        <v>3.8607145000000002E-2</v>
      </c>
      <c r="O4" s="23">
        <f>(Tableau1[[#This Row],[F &amp; S crashes]]/Tableau1[[#This Row],[BILLION VEH KM TRAVELLED]])</f>
        <v>51.803882416065726</v>
      </c>
      <c r="P4" s="11" t="s">
        <v>144</v>
      </c>
      <c r="Q4" s="11">
        <f>Tableau1[[#This Row],[F &amp; S crashes]]/2</f>
        <v>1</v>
      </c>
      <c r="R4" s="8" t="s">
        <v>144</v>
      </c>
      <c r="S4" s="23">
        <f>Tableau1[[#This Row],[VEHIC KM / JOUR]]/Tableau1[[#This Row],[TMJA (vehi/jour)]]</f>
        <v>22.400042354934349</v>
      </c>
      <c r="T4" s="8">
        <v>1</v>
      </c>
      <c r="U4" s="8">
        <v>1</v>
      </c>
      <c r="V4" s="8">
        <v>60</v>
      </c>
      <c r="W4" s="8">
        <v>59.6</v>
      </c>
      <c r="X4" s="8">
        <v>82</v>
      </c>
      <c r="Y4" s="8">
        <v>0</v>
      </c>
      <c r="Z4" s="8">
        <v>3</v>
      </c>
      <c r="AA4" s="8">
        <f>Tableau1[[#This Row],[F Crashes trancon]]+Tableau1[[#This Row],[S crashes trancon]]</f>
        <v>3</v>
      </c>
      <c r="AB4" s="24">
        <f>IF(Tableau1[[#This Row],[F Crashes trancon]]&lt;&gt; 0, Tableau1[[#This Row],[F&amp;S crashes tronçon ]]/Tableau1[[#This Row],[F Crashes trancon]], 1)</f>
        <v>1</v>
      </c>
      <c r="AC4" s="23">
        <f>(Tableau1[[#This Row],[F&amp;S crashes tronçon ]]/Tableau1[[#This Row],[BILLION VEH KM TRAVELLED]])</f>
        <v>77.705823624098585</v>
      </c>
      <c r="AD4" s="26" t="s">
        <v>144</v>
      </c>
      <c r="AE4" s="27">
        <f>Tableau1[[#This Row],[F&amp;S crashes tronçon ]]/Tableau1[[#This Row],[LENTGH SECTION(KM)]]</f>
        <v>0.13392831819084267</v>
      </c>
      <c r="AF4" s="8" t="s">
        <v>144</v>
      </c>
      <c r="AG4" s="8">
        <v>1.56</v>
      </c>
      <c r="AH4" s="8" t="s">
        <v>212</v>
      </c>
      <c r="AI4" s="8" t="s">
        <v>212</v>
      </c>
      <c r="AJ4" s="8" t="s">
        <v>212</v>
      </c>
      <c r="AK4" s="8" t="s">
        <v>211</v>
      </c>
      <c r="AL4" s="8">
        <v>1</v>
      </c>
      <c r="AM4" s="8">
        <v>44607</v>
      </c>
      <c r="AN4" s="8">
        <v>64511</v>
      </c>
      <c r="AO4" s="8">
        <v>36560</v>
      </c>
      <c r="AP4" s="8">
        <v>327</v>
      </c>
      <c r="AQ4" s="8">
        <v>136</v>
      </c>
      <c r="AR4" s="8">
        <v>181</v>
      </c>
      <c r="AS4" s="8">
        <v>355</v>
      </c>
      <c r="AT4" s="8">
        <v>113</v>
      </c>
      <c r="AU4" s="8">
        <v>321</v>
      </c>
      <c r="AV4" s="44">
        <f>IF(Tableau1[[#This Row],[Moyenne Journalière Infrations 2016]]&gt;0, Tableau1[[#This Row],[Moyenne Journalière Infrations 2016]]-Tableau1[[#This Row],[Moyenne Journalière Infrations 2017]],0)</f>
        <v>68</v>
      </c>
      <c r="AW4" s="44">
        <f>IF(Tableau1[[#This Row],[Moyenne Journalière Infrations 2015]]&gt;0, Tableau1[[#This Row],[Moyenne Journalière Infrations 2015]]-Tableau1[[#This Row],[Moyenne Journalière Infrations 2016]],0)</f>
        <v>146</v>
      </c>
    </row>
    <row r="5" spans="1:49" ht="28.8" x14ac:dyDescent="0.3">
      <c r="A5" s="28">
        <f t="shared" si="0"/>
        <v>4</v>
      </c>
      <c r="B5" s="8" t="s">
        <v>121</v>
      </c>
      <c r="C5" s="11" t="s">
        <v>75</v>
      </c>
      <c r="D5" s="8" t="s">
        <v>76</v>
      </c>
      <c r="E5" s="8" t="s">
        <v>77</v>
      </c>
      <c r="F5" s="8">
        <v>700.2</v>
      </c>
      <c r="G5" s="22" t="s">
        <v>134</v>
      </c>
      <c r="H5" s="8">
        <v>0</v>
      </c>
      <c r="I5" s="8">
        <v>0</v>
      </c>
      <c r="J5" s="8">
        <f>Tableau1[[#This Row],[F crashes]]+Tableau1[[#This Row],[S crashes]]</f>
        <v>0</v>
      </c>
      <c r="K5" s="12">
        <f>IF(Tableau1[[#This Row],[F crashes]] &lt;&gt; 0, Tableau1[[#This Row],[F &amp; S crashes]]/Tableau1[[#This Row],[F crashes]], 1)</f>
        <v>1</v>
      </c>
      <c r="L5" s="8">
        <v>3797</v>
      </c>
      <c r="M5" s="8">
        <v>202380</v>
      </c>
      <c r="N5" s="8">
        <f>(Tableau1[[#This Row],[VEHIC KM / JOUR]]*365)/1000000000</f>
        <v>7.3868699999999995E-2</v>
      </c>
      <c r="O5" s="8">
        <f>(Tableau1[[#This Row],[F &amp; S crashes]]/Tableau1[[#This Row],[BILLION VEH KM TRAVELLED]])</f>
        <v>0</v>
      </c>
      <c r="P5" s="11" t="s">
        <v>143</v>
      </c>
      <c r="Q5" s="11">
        <f>Tableau1[[#This Row],[F &amp; S crashes]]/2</f>
        <v>0</v>
      </c>
      <c r="R5" s="11" t="s">
        <v>143</v>
      </c>
      <c r="S5" s="23">
        <f>Tableau1[[#This Row],[VEHIC KM / JOUR]]/Tableau1[[#This Row],[TMJA (vehi/jour)]]</f>
        <v>53.299973663418491</v>
      </c>
      <c r="T5" s="8">
        <v>1</v>
      </c>
      <c r="U5" s="8">
        <v>1</v>
      </c>
      <c r="V5" s="8">
        <v>60</v>
      </c>
      <c r="W5" s="8">
        <v>686.7</v>
      </c>
      <c r="X5" s="8">
        <v>740</v>
      </c>
      <c r="Y5" s="8">
        <v>4</v>
      </c>
      <c r="Z5" s="8">
        <v>8</v>
      </c>
      <c r="AA5" s="8">
        <f>Tableau1[[#This Row],[F Crashes trancon]]+Tableau1[[#This Row],[S crashes trancon]]</f>
        <v>12</v>
      </c>
      <c r="AB5" s="24">
        <f>IF(Tableau1[[#This Row],[F Crashes trancon]]&lt;&gt; 0, Tableau1[[#This Row],[F&amp;S crashes tronçon ]]/Tableau1[[#This Row],[F Crashes trancon]], 1)</f>
        <v>3</v>
      </c>
      <c r="AC5" s="25">
        <f>(Tableau1[[#This Row],[F&amp;S crashes tronçon ]]/Tableau1[[#This Row],[BILLION VEH KM TRAVELLED]])</f>
        <v>162.45040186168163</v>
      </c>
      <c r="AD5" s="26" t="s">
        <v>144</v>
      </c>
      <c r="AE5" s="27">
        <f>Tableau1[[#This Row],[F&amp;S crashes tronçon ]]/Tableau1[[#This Row],[LENTGH SECTION(KM)]]</f>
        <v>0.22514082419211384</v>
      </c>
      <c r="AF5" s="8" t="s">
        <v>147</v>
      </c>
      <c r="AG5" s="8">
        <v>0.44</v>
      </c>
      <c r="AH5" s="8" t="s">
        <v>212</v>
      </c>
      <c r="AI5" s="8" t="s">
        <v>212</v>
      </c>
      <c r="AJ5" s="8" t="s">
        <v>212</v>
      </c>
      <c r="AK5" s="8" t="s">
        <v>212</v>
      </c>
      <c r="AL5" s="8">
        <v>5.68</v>
      </c>
      <c r="AM5" s="8">
        <v>41748</v>
      </c>
      <c r="AN5" s="8">
        <v>28645</v>
      </c>
      <c r="AO5" s="8">
        <v>22341</v>
      </c>
      <c r="AP5" s="8">
        <v>342</v>
      </c>
      <c r="AQ5" s="8">
        <v>122</v>
      </c>
      <c r="AR5" s="8">
        <v>130</v>
      </c>
      <c r="AS5" s="8">
        <v>220</v>
      </c>
      <c r="AT5" s="8">
        <v>61</v>
      </c>
      <c r="AU5" s="8">
        <v>364</v>
      </c>
      <c r="AV5" s="44">
        <f>IF(Tableau1[[#This Row],[Moyenne Journalière Infrations 2016]]&gt;0, Tableau1[[#This Row],[Moyenne Journalière Infrations 2016]]-Tableau1[[#This Row],[Moyenne Journalière Infrations 2017]],0)</f>
        <v>69</v>
      </c>
      <c r="AW5" s="44">
        <f>IF(Tableau1[[#This Row],[Moyenne Journalière Infrations 2015]]&gt;0, Tableau1[[#This Row],[Moyenne Journalière Infrations 2015]]-Tableau1[[#This Row],[Moyenne Journalière Infrations 2016]],0)</f>
        <v>212</v>
      </c>
    </row>
    <row r="6" spans="1:49" ht="28.8" x14ac:dyDescent="0.3">
      <c r="A6" s="28">
        <f t="shared" si="0"/>
        <v>5</v>
      </c>
      <c r="B6" s="8" t="s">
        <v>111</v>
      </c>
      <c r="C6" s="11" t="s">
        <v>49</v>
      </c>
      <c r="D6" s="8" t="s">
        <v>47</v>
      </c>
      <c r="E6" s="8" t="s">
        <v>48</v>
      </c>
      <c r="F6" s="8">
        <v>98.8</v>
      </c>
      <c r="G6" s="22" t="s">
        <v>134</v>
      </c>
      <c r="H6" s="8">
        <v>1</v>
      </c>
      <c r="I6" s="8">
        <v>0</v>
      </c>
      <c r="J6" s="8">
        <f>Tableau1[[#This Row],[F crashes]]+Tableau1[[#This Row],[S crashes]]</f>
        <v>1</v>
      </c>
      <c r="K6" s="12">
        <f>IF(Tableau1[[#This Row],[F crashes]] &lt;&gt; 0, Tableau1[[#This Row],[F &amp; S crashes]]/Tableau1[[#This Row],[F crashes]], 1)</f>
        <v>1</v>
      </c>
      <c r="L6" s="8">
        <v>9899</v>
      </c>
      <c r="M6" s="8">
        <v>294990</v>
      </c>
      <c r="N6" s="8">
        <f>(Tableau1[[#This Row],[VEHIC KM / JOUR]]*365)/1000000000</f>
        <v>0.10767135</v>
      </c>
      <c r="O6" s="23">
        <f>(Tableau1[[#This Row],[F &amp; S crashes]]/Tableau1[[#This Row],[BILLION VEH KM TRAVELLED]])</f>
        <v>9.2875217037772817</v>
      </c>
      <c r="P6" s="11" t="s">
        <v>146</v>
      </c>
      <c r="Q6" s="11">
        <f>Tableau1[[#This Row],[F &amp; S crashes]]/2</f>
        <v>0.5</v>
      </c>
      <c r="R6" s="8" t="s">
        <v>144</v>
      </c>
      <c r="S6" s="23">
        <f>Tableau1[[#This Row],[VEHIC KM / JOUR]]/Tableau1[[#This Row],[TMJA (vehi/jour)]]</f>
        <v>29.799979795938984</v>
      </c>
      <c r="T6" s="8">
        <v>1</v>
      </c>
      <c r="U6" s="8">
        <v>1</v>
      </c>
      <c r="V6" s="8">
        <v>60</v>
      </c>
      <c r="W6" s="8">
        <v>82</v>
      </c>
      <c r="X6" s="8">
        <v>111.8</v>
      </c>
      <c r="Y6" s="8">
        <v>11</v>
      </c>
      <c r="Z6" s="8">
        <v>11</v>
      </c>
      <c r="AA6" s="8">
        <f>Tableau1[[#This Row],[F Crashes trancon]]+Tableau1[[#This Row],[S crashes trancon]]</f>
        <v>22</v>
      </c>
      <c r="AB6" s="24">
        <f>IF(Tableau1[[#This Row],[F Crashes trancon]]&lt;&gt; 0, Tableau1[[#This Row],[F&amp;S crashes tronçon ]]/Tableau1[[#This Row],[F Crashes trancon]], 1)</f>
        <v>2</v>
      </c>
      <c r="AC6" s="23">
        <f>(Tableau1[[#This Row],[F&amp;S crashes tronçon ]]/Tableau1[[#This Row],[BILLION VEH KM TRAVELLED]])</f>
        <v>204.3254774831002</v>
      </c>
      <c r="AD6" s="26" t="s">
        <v>144</v>
      </c>
      <c r="AE6" s="27">
        <f>Tableau1[[#This Row],[F&amp;S crashes tronçon ]]/Tableau1[[#This Row],[LENTGH SECTION(KM)]]</f>
        <v>0.73825553408590117</v>
      </c>
      <c r="AF6" s="8" t="s">
        <v>144</v>
      </c>
      <c r="AG6" s="8">
        <v>1.56</v>
      </c>
      <c r="AH6" s="8" t="s">
        <v>212</v>
      </c>
      <c r="AI6" s="8" t="s">
        <v>212</v>
      </c>
      <c r="AJ6" s="8" t="s">
        <v>212</v>
      </c>
      <c r="AK6" s="8" t="s">
        <v>211</v>
      </c>
      <c r="AL6" s="8">
        <v>1</v>
      </c>
      <c r="AM6" s="8">
        <v>0</v>
      </c>
      <c r="AN6" s="8">
        <v>29524</v>
      </c>
      <c r="AO6" s="8">
        <v>13117</v>
      </c>
      <c r="AP6" s="8">
        <v>0</v>
      </c>
      <c r="AQ6" s="8">
        <v>0</v>
      </c>
      <c r="AR6" s="8">
        <v>125</v>
      </c>
      <c r="AS6" s="8">
        <v>235</v>
      </c>
      <c r="AT6" s="8">
        <v>39</v>
      </c>
      <c r="AU6" s="8">
        <v>332</v>
      </c>
      <c r="AV6" s="44">
        <f>IF(Tableau1[[#This Row],[Moyenne Journalière Infrations 2016]]&gt;0, Tableau1[[#This Row],[Moyenne Journalière Infrations 2016]]-Tableau1[[#This Row],[Moyenne Journalière Infrations 2017]],0)</f>
        <v>86</v>
      </c>
      <c r="AW6" s="44">
        <f>IF(Tableau1[[#This Row],[Moyenne Journalière Infrations 2015]]&gt;0, Tableau1[[#This Row],[Moyenne Journalière Infrations 2015]]-Tableau1[[#This Row],[Moyenne Journalière Infrations 2016]],0)</f>
        <v>0</v>
      </c>
    </row>
    <row r="7" spans="1:49" ht="28.8" x14ac:dyDescent="0.3">
      <c r="A7" s="28">
        <f t="shared" si="0"/>
        <v>6</v>
      </c>
      <c r="B7" s="8" t="s">
        <v>112</v>
      </c>
      <c r="C7" s="11" t="s">
        <v>50</v>
      </c>
      <c r="D7" s="8" t="s">
        <v>47</v>
      </c>
      <c r="E7" s="8" t="s">
        <v>51</v>
      </c>
      <c r="F7" s="8">
        <v>98.7</v>
      </c>
      <c r="G7" s="22" t="s">
        <v>134</v>
      </c>
      <c r="H7" s="8">
        <v>1</v>
      </c>
      <c r="I7" s="8">
        <v>0</v>
      </c>
      <c r="J7" s="8">
        <f>Tableau1[[#This Row],[F crashes]]+Tableau1[[#This Row],[S crashes]]</f>
        <v>1</v>
      </c>
      <c r="K7" s="12">
        <f>IF(Tableau1[[#This Row],[F crashes]] &lt;&gt; 0, Tableau1[[#This Row],[F &amp; S crashes]]/Tableau1[[#This Row],[F crashes]], 1)</f>
        <v>1</v>
      </c>
      <c r="L7" s="8">
        <v>9899</v>
      </c>
      <c r="M7" s="8">
        <v>294990</v>
      </c>
      <c r="N7" s="8">
        <f>(Tableau1[[#This Row],[VEHIC KM / JOUR]]*365)/1000000000</f>
        <v>0.10767135</v>
      </c>
      <c r="O7" s="23">
        <f>(Tableau1[[#This Row],[F &amp; S crashes]]/Tableau1[[#This Row],[BILLION VEH KM TRAVELLED]])</f>
        <v>9.2875217037772817</v>
      </c>
      <c r="P7" s="11" t="s">
        <v>146</v>
      </c>
      <c r="Q7" s="11">
        <f>Tableau1[[#This Row],[F &amp; S crashes]]/2</f>
        <v>0.5</v>
      </c>
      <c r="R7" s="8" t="s">
        <v>144</v>
      </c>
      <c r="S7" s="23">
        <f>Tableau1[[#This Row],[VEHIC KM / JOUR]]/Tableau1[[#This Row],[TMJA (vehi/jour)]]</f>
        <v>29.799979795938984</v>
      </c>
      <c r="T7" s="8">
        <v>1</v>
      </c>
      <c r="U7" s="8">
        <v>1</v>
      </c>
      <c r="V7" s="8">
        <v>60</v>
      </c>
      <c r="W7" s="8">
        <v>82</v>
      </c>
      <c r="X7" s="8">
        <v>111.8</v>
      </c>
      <c r="Y7" s="8">
        <v>11</v>
      </c>
      <c r="Z7" s="8">
        <v>11</v>
      </c>
      <c r="AA7" s="8">
        <f>Tableau1[[#This Row],[F Crashes trancon]]+Tableau1[[#This Row],[S crashes trancon]]</f>
        <v>22</v>
      </c>
      <c r="AB7" s="24">
        <f>IF(Tableau1[[#This Row],[F Crashes trancon]]&lt;&gt; 0, Tableau1[[#This Row],[F&amp;S crashes tronçon ]]/Tableau1[[#This Row],[F Crashes trancon]], 1)</f>
        <v>2</v>
      </c>
      <c r="AC7" s="23">
        <f>(Tableau1[[#This Row],[F&amp;S crashes tronçon ]]/Tableau1[[#This Row],[BILLION VEH KM TRAVELLED]])</f>
        <v>204.3254774831002</v>
      </c>
      <c r="AD7" s="26" t="s">
        <v>144</v>
      </c>
      <c r="AE7" s="27">
        <f>Tableau1[[#This Row],[F&amp;S crashes tronçon ]]/Tableau1[[#This Row],[LENTGH SECTION(KM)]]</f>
        <v>0.73825553408590117</v>
      </c>
      <c r="AF7" s="8" t="s">
        <v>144</v>
      </c>
      <c r="AG7" s="8">
        <v>1.56</v>
      </c>
      <c r="AH7" s="8" t="s">
        <v>212</v>
      </c>
      <c r="AI7" s="8" t="s">
        <v>212</v>
      </c>
      <c r="AJ7" s="8" t="s">
        <v>212</v>
      </c>
      <c r="AK7" s="8" t="s">
        <v>211</v>
      </c>
      <c r="AL7" s="8">
        <v>1</v>
      </c>
      <c r="AM7" s="8">
        <v>48006</v>
      </c>
      <c r="AN7" s="8">
        <v>54953</v>
      </c>
      <c r="AO7" s="8">
        <v>24954</v>
      </c>
      <c r="AP7" s="8">
        <v>135</v>
      </c>
      <c r="AQ7" s="8">
        <v>354</v>
      </c>
      <c r="AR7" s="8">
        <v>174</v>
      </c>
      <c r="AS7" s="8">
        <v>315</v>
      </c>
      <c r="AT7" s="8">
        <v>96</v>
      </c>
      <c r="AU7" s="8">
        <v>259</v>
      </c>
      <c r="AV7" s="44">
        <f>IF(Tableau1[[#This Row],[Moyenne Journalière Infrations 2016]]&gt;0, Tableau1[[#This Row],[Moyenne Journalière Infrations 2016]]-Tableau1[[#This Row],[Moyenne Journalière Infrations 2017]],0)</f>
        <v>78</v>
      </c>
      <c r="AW7" s="44">
        <f>IF(Tableau1[[#This Row],[Moyenne Journalière Infrations 2015]]&gt;0, Tableau1[[#This Row],[Moyenne Journalière Infrations 2015]]-Tableau1[[#This Row],[Moyenne Journalière Infrations 2016]],0)</f>
        <v>-39</v>
      </c>
    </row>
    <row r="8" spans="1:49" ht="28.8" x14ac:dyDescent="0.3">
      <c r="A8" s="28">
        <f t="shared" si="0"/>
        <v>7</v>
      </c>
      <c r="B8" s="8" t="s">
        <v>104</v>
      </c>
      <c r="C8" s="11" t="s">
        <v>31</v>
      </c>
      <c r="D8" s="8"/>
      <c r="E8" s="8"/>
      <c r="F8" s="8">
        <v>384.95</v>
      </c>
      <c r="G8" s="22" t="s">
        <v>134</v>
      </c>
      <c r="H8" s="8">
        <v>0</v>
      </c>
      <c r="I8" s="8">
        <v>3</v>
      </c>
      <c r="J8" s="8">
        <f>Tableau1[[#This Row],[F crashes]]+Tableau1[[#This Row],[S crashes]]</f>
        <v>3</v>
      </c>
      <c r="K8" s="12">
        <f>IF(Tableau1[[#This Row],[F crashes]] &lt;&gt; 0, Tableau1[[#This Row],[F &amp; S crashes]]/Tableau1[[#This Row],[F crashes]], 1)</f>
        <v>1</v>
      </c>
      <c r="L8" s="8">
        <v>15361</v>
      </c>
      <c r="M8" s="8">
        <v>41475</v>
      </c>
      <c r="N8" s="8">
        <f>(Tableau1[[#This Row],[VEHIC KM / JOUR]]*365)/1000000000</f>
        <v>1.5138375000000001E-2</v>
      </c>
      <c r="O8" s="23">
        <f>(Tableau1[[#This Row],[F &amp; S crashes]]/Tableau1[[#This Row],[BILLION VEH KM TRAVELLED]])</f>
        <v>198.17186454953057</v>
      </c>
      <c r="P8" s="11" t="s">
        <v>144</v>
      </c>
      <c r="Q8" s="11">
        <f>Tableau1[[#This Row],[F &amp; S crashes]]/2</f>
        <v>1.5</v>
      </c>
      <c r="R8" s="8" t="s">
        <v>144</v>
      </c>
      <c r="S8" s="23">
        <f>Tableau1[[#This Row],[VEHIC KM / JOUR]]/Tableau1[[#This Row],[TMJA (vehi/jour)]]</f>
        <v>2.7000195299785172</v>
      </c>
      <c r="T8" s="8">
        <v>1</v>
      </c>
      <c r="U8" s="8"/>
      <c r="V8" s="8">
        <v>60</v>
      </c>
      <c r="W8" s="8">
        <v>384.3</v>
      </c>
      <c r="X8" s="8">
        <v>387</v>
      </c>
      <c r="Y8" s="8">
        <v>1</v>
      </c>
      <c r="Z8" s="8">
        <v>4</v>
      </c>
      <c r="AA8" s="8">
        <f>Tableau1[[#This Row],[F Crashes trancon]]+Tableau1[[#This Row],[S crashes trancon]]</f>
        <v>5</v>
      </c>
      <c r="AB8" s="24">
        <f>IF(Tableau1[[#This Row],[F Crashes trancon]]&lt;&gt; 0, Tableau1[[#This Row],[F&amp;S crashes tronçon ]]/Tableau1[[#This Row],[F Crashes trancon]], 1)</f>
        <v>5</v>
      </c>
      <c r="AC8" s="23">
        <f>(Tableau1[[#This Row],[F&amp;S crashes tronçon ]]/Tableau1[[#This Row],[BILLION VEH KM TRAVELLED]])</f>
        <v>330.28644091588427</v>
      </c>
      <c r="AD8" s="26" t="s">
        <v>144</v>
      </c>
      <c r="AE8" s="27">
        <f>Tableau1[[#This Row],[F&amp;S crashes tronçon ]]/Tableau1[[#This Row],[LENTGH SECTION(KM)]]</f>
        <v>1.8518384569017479</v>
      </c>
      <c r="AF8" s="8" t="s">
        <v>144</v>
      </c>
      <c r="AG8" s="8"/>
      <c r="AH8" s="8" t="s">
        <v>212</v>
      </c>
      <c r="AI8" s="8" t="s">
        <v>212</v>
      </c>
      <c r="AJ8" s="8" t="s">
        <v>212</v>
      </c>
      <c r="AK8" s="8"/>
      <c r="AL8" s="8"/>
      <c r="AM8" s="8">
        <v>0</v>
      </c>
      <c r="AN8" s="8">
        <v>0</v>
      </c>
      <c r="AO8" s="8">
        <v>39139</v>
      </c>
      <c r="AP8" s="8">
        <v>0</v>
      </c>
      <c r="AQ8" s="8">
        <v>0</v>
      </c>
      <c r="AR8" s="8">
        <v>0</v>
      </c>
      <c r="AS8" s="8">
        <v>0</v>
      </c>
      <c r="AT8" s="8">
        <v>277</v>
      </c>
      <c r="AU8" s="8">
        <v>141</v>
      </c>
      <c r="AV8" s="44">
        <f>IF(Tableau1[[#This Row],[Moyenne Journalière Infrations 2016]]&gt;0, Tableau1[[#This Row],[Moyenne Journalière Infrations 2016]]-Tableau1[[#This Row],[Moyenne Journalière Infrations 2017]],0)</f>
        <v>0</v>
      </c>
      <c r="AW8" s="44">
        <f>IF(Tableau1[[#This Row],[Moyenne Journalière Infrations 2015]]&gt;0, Tableau1[[#This Row],[Moyenne Journalière Infrations 2015]]-Tableau1[[#This Row],[Moyenne Journalière Infrations 2016]],0)</f>
        <v>0</v>
      </c>
    </row>
    <row r="9" spans="1:49" ht="28.8" x14ac:dyDescent="0.3">
      <c r="A9" s="28">
        <f t="shared" si="0"/>
        <v>8</v>
      </c>
      <c r="B9" s="8" t="s">
        <v>105</v>
      </c>
      <c r="C9" s="11" t="s">
        <v>32</v>
      </c>
      <c r="D9" s="8" t="s">
        <v>33</v>
      </c>
      <c r="E9" s="8" t="s">
        <v>34</v>
      </c>
      <c r="F9" s="8">
        <v>384.96</v>
      </c>
      <c r="G9" s="22" t="s">
        <v>134</v>
      </c>
      <c r="H9" s="8">
        <v>0</v>
      </c>
      <c r="I9" s="8">
        <v>3</v>
      </c>
      <c r="J9" s="8">
        <f>Tableau1[[#This Row],[F crashes]]+Tableau1[[#This Row],[S crashes]]</f>
        <v>3</v>
      </c>
      <c r="K9" s="12">
        <f>IF(Tableau1[[#This Row],[F crashes]] &lt;&gt; 0, Tableau1[[#This Row],[F &amp; S crashes]]/Tableau1[[#This Row],[F crashes]], 1)</f>
        <v>1</v>
      </c>
      <c r="L9" s="8">
        <v>15361</v>
      </c>
      <c r="M9" s="8">
        <v>41475</v>
      </c>
      <c r="N9" s="8">
        <f>(Tableau1[[#This Row],[VEHIC KM / JOUR]]*365)/1000000000</f>
        <v>1.5138375000000001E-2</v>
      </c>
      <c r="O9" s="23">
        <f>(Tableau1[[#This Row],[F &amp; S crashes]]/Tableau1[[#This Row],[BILLION VEH KM TRAVELLED]])</f>
        <v>198.17186454953057</v>
      </c>
      <c r="P9" s="11" t="s">
        <v>144</v>
      </c>
      <c r="Q9" s="11">
        <f>Tableau1[[#This Row],[F &amp; S crashes]]/2</f>
        <v>1.5</v>
      </c>
      <c r="R9" s="8" t="s">
        <v>144</v>
      </c>
      <c r="S9" s="23">
        <f>Tableau1[[#This Row],[VEHIC KM / JOUR]]/Tableau1[[#This Row],[TMJA (vehi/jour)]]</f>
        <v>2.7000195299785172</v>
      </c>
      <c r="T9" s="8">
        <v>1</v>
      </c>
      <c r="U9" s="8">
        <v>1</v>
      </c>
      <c r="V9" s="8">
        <v>80</v>
      </c>
      <c r="W9" s="8">
        <v>384.3</v>
      </c>
      <c r="X9" s="8">
        <v>387</v>
      </c>
      <c r="Y9" s="8">
        <v>1</v>
      </c>
      <c r="Z9" s="8">
        <v>4</v>
      </c>
      <c r="AA9" s="8">
        <f>Tableau1[[#This Row],[F Crashes trancon]]+Tableau1[[#This Row],[S crashes trancon]]</f>
        <v>5</v>
      </c>
      <c r="AB9" s="24">
        <f>IF(Tableau1[[#This Row],[F Crashes trancon]]&lt;&gt; 0, Tableau1[[#This Row],[F&amp;S crashes tronçon ]]/Tableau1[[#This Row],[F Crashes trancon]], 1)</f>
        <v>5</v>
      </c>
      <c r="AC9" s="23">
        <f>(Tableau1[[#This Row],[F&amp;S crashes tronçon ]]/Tableau1[[#This Row],[BILLION VEH KM TRAVELLED]])</f>
        <v>330.28644091588427</v>
      </c>
      <c r="AD9" s="26" t="s">
        <v>144</v>
      </c>
      <c r="AE9" s="27">
        <f>Tableau1[[#This Row],[F&amp;S crashes tronçon ]]/Tableau1[[#This Row],[LENTGH SECTION(KM)]]</f>
        <v>1.8518384569017479</v>
      </c>
      <c r="AF9" s="8" t="s">
        <v>144</v>
      </c>
      <c r="AG9" s="8">
        <v>1.23</v>
      </c>
      <c r="AH9" s="8" t="s">
        <v>212</v>
      </c>
      <c r="AI9" s="8" t="s">
        <v>212</v>
      </c>
      <c r="AJ9" s="8" t="s">
        <v>212</v>
      </c>
      <c r="AK9" s="8" t="s">
        <v>211</v>
      </c>
      <c r="AL9" s="8">
        <v>1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44">
        <f>IF(Tableau1[[#This Row],[Moyenne Journalière Infrations 2016]]&gt;0, Tableau1[[#This Row],[Moyenne Journalière Infrations 2016]]-Tableau1[[#This Row],[Moyenne Journalière Infrations 2017]],0)</f>
        <v>0</v>
      </c>
      <c r="AW9" s="44">
        <f>IF(Tableau1[[#This Row],[Moyenne Journalière Infrations 2015]]&gt;0, Tableau1[[#This Row],[Moyenne Journalière Infrations 2015]]-Tableau1[[#This Row],[Moyenne Journalière Infrations 2016]],0)</f>
        <v>0</v>
      </c>
    </row>
    <row r="10" spans="1:49" ht="28.8" x14ac:dyDescent="0.3">
      <c r="A10" s="28">
        <f t="shared" si="0"/>
        <v>9</v>
      </c>
      <c r="B10" s="8" t="s">
        <v>99</v>
      </c>
      <c r="C10" s="11" t="s">
        <v>17</v>
      </c>
      <c r="D10" s="8" t="s">
        <v>18</v>
      </c>
      <c r="E10" s="8" t="s">
        <v>19</v>
      </c>
      <c r="F10" s="8">
        <v>424.15</v>
      </c>
      <c r="G10" s="22" t="s">
        <v>134</v>
      </c>
      <c r="H10" s="8">
        <v>3</v>
      </c>
      <c r="I10" s="8">
        <v>0</v>
      </c>
      <c r="J10" s="8">
        <f>Tableau1[[#This Row],[F crashes]]+Tableau1[[#This Row],[S crashes]]</f>
        <v>3</v>
      </c>
      <c r="K10" s="12">
        <f>IF(Tableau1[[#This Row],[F crashes]] &lt;&gt; 0, Tableau1[[#This Row],[F &amp; S crashes]]/Tableau1[[#This Row],[F crashes]], 1)</f>
        <v>1</v>
      </c>
      <c r="L10" s="8">
        <v>7266</v>
      </c>
      <c r="M10" s="8">
        <v>247044</v>
      </c>
      <c r="N10" s="8">
        <f>(Tableau1[[#This Row],[VEHIC KM / JOUR]]*365)/1000000000</f>
        <v>9.0171059999999997E-2</v>
      </c>
      <c r="O10" s="23">
        <f>(Tableau1[[#This Row],[F &amp; S crashes]]/Tableau1[[#This Row],[BILLION VEH KM TRAVELLED]])</f>
        <v>33.270097967130475</v>
      </c>
      <c r="P10" s="11" t="s">
        <v>144</v>
      </c>
      <c r="Q10" s="11">
        <f>Tableau1[[#This Row],[F &amp; S crashes]]/2</f>
        <v>1.5</v>
      </c>
      <c r="R10" s="8" t="s">
        <v>144</v>
      </c>
      <c r="S10" s="23">
        <f>Tableau1[[#This Row],[VEHIC KM / JOUR]]/Tableau1[[#This Row],[TMJA (vehi/jour)]]</f>
        <v>34</v>
      </c>
      <c r="T10" s="8">
        <v>1</v>
      </c>
      <c r="U10" s="8">
        <v>1</v>
      </c>
      <c r="V10" s="8">
        <v>60</v>
      </c>
      <c r="W10" s="8">
        <v>403</v>
      </c>
      <c r="X10" s="8">
        <v>437</v>
      </c>
      <c r="Y10" s="8">
        <v>15</v>
      </c>
      <c r="Z10" s="8">
        <v>8</v>
      </c>
      <c r="AA10" s="8">
        <f>Tableau1[[#This Row],[F Crashes trancon]]+Tableau1[[#This Row],[S crashes trancon]]</f>
        <v>23</v>
      </c>
      <c r="AB10" s="24">
        <f>IF(Tableau1[[#This Row],[F Crashes trancon]]&lt;&gt; 0, Tableau1[[#This Row],[F&amp;S crashes tronçon ]]/Tableau1[[#This Row],[F Crashes trancon]], 1)</f>
        <v>1.5333333333333334</v>
      </c>
      <c r="AC10" s="23">
        <f>(Tableau1[[#This Row],[F&amp;S crashes tronçon ]]/Tableau1[[#This Row],[BILLION VEH KM TRAVELLED]])</f>
        <v>255.07075108133364</v>
      </c>
      <c r="AD10" s="26" t="s">
        <v>144</v>
      </c>
      <c r="AE10" s="27">
        <f>Tableau1[[#This Row],[F&amp;S crashes tronçon ]]/Tableau1[[#This Row],[LENTGH SECTION(KM)]]</f>
        <v>0.67647058823529416</v>
      </c>
      <c r="AF10" s="8" t="s">
        <v>144</v>
      </c>
      <c r="AG10" s="8">
        <v>3.5</v>
      </c>
      <c r="AH10" s="8" t="s">
        <v>212</v>
      </c>
      <c r="AI10" s="8" t="s">
        <v>212</v>
      </c>
      <c r="AJ10" s="8" t="s">
        <v>212</v>
      </c>
      <c r="AK10" s="8" t="s">
        <v>211</v>
      </c>
      <c r="AL10" s="8">
        <v>1</v>
      </c>
      <c r="AM10" s="8">
        <v>0</v>
      </c>
      <c r="AN10" s="8">
        <v>0</v>
      </c>
      <c r="AO10" s="8">
        <v>12630</v>
      </c>
      <c r="AP10" s="8">
        <v>0</v>
      </c>
      <c r="AQ10" s="8">
        <v>0</v>
      </c>
      <c r="AR10" s="8">
        <v>0</v>
      </c>
      <c r="AS10" s="8">
        <v>0</v>
      </c>
      <c r="AT10" s="8">
        <v>80</v>
      </c>
      <c r="AU10" s="8">
        <v>156</v>
      </c>
      <c r="AV10" s="44">
        <f>IF(Tableau1[[#This Row],[Moyenne Journalière Infrations 2016]]&gt;0, Tableau1[[#This Row],[Moyenne Journalière Infrations 2016]]-Tableau1[[#This Row],[Moyenne Journalière Infrations 2017]],0)</f>
        <v>0</v>
      </c>
      <c r="AW10" s="44">
        <f>IF(Tableau1[[#This Row],[Moyenne Journalière Infrations 2015]]&gt;0, Tableau1[[#This Row],[Moyenne Journalière Infrations 2015]]-Tableau1[[#This Row],[Moyenne Journalière Infrations 2016]],0)</f>
        <v>0</v>
      </c>
    </row>
    <row r="11" spans="1:49" ht="28.8" x14ac:dyDescent="0.3">
      <c r="A11" s="28">
        <f t="shared" si="0"/>
        <v>10</v>
      </c>
      <c r="B11" s="8" t="s">
        <v>115</v>
      </c>
      <c r="C11" s="11" t="s">
        <v>57</v>
      </c>
      <c r="D11" s="8" t="s">
        <v>58</v>
      </c>
      <c r="E11" s="8" t="s">
        <v>59</v>
      </c>
      <c r="F11" s="8">
        <v>453.1</v>
      </c>
      <c r="G11" s="22" t="s">
        <v>134</v>
      </c>
      <c r="H11" s="8">
        <v>0</v>
      </c>
      <c r="I11" s="8">
        <v>1</v>
      </c>
      <c r="J11" s="8">
        <f>Tableau1[[#This Row],[F crashes]]+Tableau1[[#This Row],[S crashes]]</f>
        <v>1</v>
      </c>
      <c r="K11" s="12">
        <f>IF(Tableau1[[#This Row],[F crashes]] &lt;&gt; 0, Tableau1[[#This Row],[F &amp; S crashes]]/Tableau1[[#This Row],[F crashes]], 1)</f>
        <v>1</v>
      </c>
      <c r="L11" s="8">
        <v>10551</v>
      </c>
      <c r="M11" s="8">
        <v>263775</v>
      </c>
      <c r="N11" s="8">
        <f>(Tableau1[[#This Row],[VEHIC KM / JOUR]]*365)/1000000000</f>
        <v>9.6277874999999999E-2</v>
      </c>
      <c r="O11" s="23">
        <f>(Tableau1[[#This Row],[F &amp; S crashes]]/Tableau1[[#This Row],[BILLION VEH KM TRAVELLED]])</f>
        <v>10.386602321665285</v>
      </c>
      <c r="P11" s="11" t="s">
        <v>146</v>
      </c>
      <c r="Q11" s="11">
        <f>Tableau1[[#This Row],[F &amp; S crashes]]/2</f>
        <v>0.5</v>
      </c>
      <c r="R11" s="8" t="s">
        <v>144</v>
      </c>
      <c r="S11" s="23">
        <f>Tableau1[[#This Row],[VEHIC KM / JOUR]]/Tableau1[[#This Row],[TMJA (vehi/jour)]]</f>
        <v>25</v>
      </c>
      <c r="T11" s="8">
        <v>1</v>
      </c>
      <c r="U11" s="8">
        <v>1</v>
      </c>
      <c r="V11" s="8">
        <v>60</v>
      </c>
      <c r="W11" s="8">
        <v>437</v>
      </c>
      <c r="X11" s="8">
        <v>462</v>
      </c>
      <c r="Y11" s="8">
        <v>6</v>
      </c>
      <c r="Z11" s="8">
        <v>8</v>
      </c>
      <c r="AA11" s="8">
        <f>Tableau1[[#This Row],[F Crashes trancon]]+Tableau1[[#This Row],[S crashes trancon]]</f>
        <v>14</v>
      </c>
      <c r="AB11" s="24">
        <f>IF(Tableau1[[#This Row],[F Crashes trancon]]&lt;&gt; 0, Tableau1[[#This Row],[F&amp;S crashes tronçon ]]/Tableau1[[#This Row],[F Crashes trancon]], 1)</f>
        <v>2.3333333333333335</v>
      </c>
      <c r="AC11" s="23">
        <f>(Tableau1[[#This Row],[F&amp;S crashes tronçon ]]/Tableau1[[#This Row],[BILLION VEH KM TRAVELLED]])</f>
        <v>145.41243250331397</v>
      </c>
      <c r="AD11" s="26" t="s">
        <v>144</v>
      </c>
      <c r="AE11" s="27">
        <f>Tableau1[[#This Row],[F&amp;S crashes tronçon ]]/Tableau1[[#This Row],[LENTGH SECTION(KM)]]</f>
        <v>0.56000000000000005</v>
      </c>
      <c r="AF11" s="8" t="s">
        <v>144</v>
      </c>
      <c r="AG11" s="8">
        <v>0.55000000000000004</v>
      </c>
      <c r="AH11" s="8" t="s">
        <v>212</v>
      </c>
      <c r="AI11" s="8" t="s">
        <v>212</v>
      </c>
      <c r="AJ11" s="8" t="s">
        <v>212</v>
      </c>
      <c r="AK11" s="8" t="s">
        <v>211</v>
      </c>
      <c r="AL11" s="8">
        <v>1</v>
      </c>
      <c r="AM11" s="8">
        <v>0</v>
      </c>
      <c r="AN11" s="8">
        <v>0</v>
      </c>
      <c r="AO11" s="8">
        <v>45052</v>
      </c>
      <c r="AP11" s="8">
        <v>0</v>
      </c>
      <c r="AQ11" s="8">
        <v>0</v>
      </c>
      <c r="AR11" s="8">
        <v>0</v>
      </c>
      <c r="AS11" s="8">
        <v>0</v>
      </c>
      <c r="AT11" s="8">
        <v>211</v>
      </c>
      <c r="AU11" s="8">
        <v>213</v>
      </c>
      <c r="AV11" s="44">
        <f>IF(Tableau1[[#This Row],[Moyenne Journalière Infrations 2016]]&gt;0, Tableau1[[#This Row],[Moyenne Journalière Infrations 2016]]-Tableau1[[#This Row],[Moyenne Journalière Infrations 2017]],0)</f>
        <v>0</v>
      </c>
      <c r="AW11" s="44">
        <f>IF(Tableau1[[#This Row],[Moyenne Journalière Infrations 2015]]&gt;0, Tableau1[[#This Row],[Moyenne Journalière Infrations 2015]]-Tableau1[[#This Row],[Moyenne Journalière Infrations 2016]],0)</f>
        <v>0</v>
      </c>
    </row>
    <row r="12" spans="1:49" ht="28.8" x14ac:dyDescent="0.3">
      <c r="A12" s="28">
        <f t="shared" si="0"/>
        <v>11</v>
      </c>
      <c r="B12" s="8" t="s">
        <v>116</v>
      </c>
      <c r="C12" s="11" t="s">
        <v>60</v>
      </c>
      <c r="D12" s="8" t="s">
        <v>61</v>
      </c>
      <c r="E12" s="8" t="s">
        <v>62</v>
      </c>
      <c r="F12" s="8">
        <v>453.2</v>
      </c>
      <c r="G12" s="22" t="s">
        <v>134</v>
      </c>
      <c r="H12" s="8">
        <v>0</v>
      </c>
      <c r="I12" s="8">
        <v>1</v>
      </c>
      <c r="J12" s="8">
        <f>Tableau1[[#This Row],[F crashes]]+Tableau1[[#This Row],[S crashes]]</f>
        <v>1</v>
      </c>
      <c r="K12" s="12">
        <f>IF(Tableau1[[#This Row],[F crashes]] &lt;&gt; 0, Tableau1[[#This Row],[F &amp; S crashes]]/Tableau1[[#This Row],[F crashes]], 1)</f>
        <v>1</v>
      </c>
      <c r="L12" s="8">
        <v>10551</v>
      </c>
      <c r="M12" s="8">
        <v>263775</v>
      </c>
      <c r="N12" s="8">
        <f>(Tableau1[[#This Row],[VEHIC KM / JOUR]]*365)/1000000000</f>
        <v>9.6277874999999999E-2</v>
      </c>
      <c r="O12" s="8">
        <v>15</v>
      </c>
      <c r="P12" s="11" t="s">
        <v>146</v>
      </c>
      <c r="Q12" s="11">
        <f>Tableau1[[#This Row],[F &amp; S crashes]]/2</f>
        <v>0.5</v>
      </c>
      <c r="R12" s="8" t="s">
        <v>144</v>
      </c>
      <c r="S12" s="23">
        <f>Tableau1[[#This Row],[VEHIC KM / JOUR]]/Tableau1[[#This Row],[TMJA (vehi/jour)]]</f>
        <v>25</v>
      </c>
      <c r="T12" s="8">
        <v>1</v>
      </c>
      <c r="U12" s="8">
        <v>1</v>
      </c>
      <c r="V12" s="8">
        <v>80</v>
      </c>
      <c r="W12" s="8">
        <v>437</v>
      </c>
      <c r="X12" s="8">
        <v>462</v>
      </c>
      <c r="Y12" s="8">
        <v>6</v>
      </c>
      <c r="Z12" s="8">
        <v>8</v>
      </c>
      <c r="AA12" s="8">
        <f>Tableau1[[#This Row],[F Crashes trancon]]+Tableau1[[#This Row],[S crashes trancon]]</f>
        <v>14</v>
      </c>
      <c r="AB12" s="24">
        <f>IF(Tableau1[[#This Row],[F Crashes trancon]]&lt;&gt; 0, Tableau1[[#This Row],[F&amp;S crashes tronçon ]]/Tableau1[[#This Row],[F Crashes trancon]], 1)</f>
        <v>2.3333333333333335</v>
      </c>
      <c r="AC12" s="23">
        <f>(Tableau1[[#This Row],[F&amp;S crashes tronçon ]]/Tableau1[[#This Row],[BILLION VEH KM TRAVELLED]])</f>
        <v>145.41243250331397</v>
      </c>
      <c r="AD12" s="26" t="s">
        <v>144</v>
      </c>
      <c r="AE12" s="27">
        <f>Tableau1[[#This Row],[F&amp;S crashes tronçon ]]/Tableau1[[#This Row],[LENTGH SECTION(KM)]]</f>
        <v>0.56000000000000005</v>
      </c>
      <c r="AF12" s="8" t="s">
        <v>144</v>
      </c>
      <c r="AG12" s="8">
        <v>0.55000000000000004</v>
      </c>
      <c r="AH12" s="8" t="s">
        <v>212</v>
      </c>
      <c r="AI12" s="8" t="s">
        <v>212</v>
      </c>
      <c r="AJ12" s="8" t="s">
        <v>212</v>
      </c>
      <c r="AK12" s="8" t="s">
        <v>211</v>
      </c>
      <c r="AL12" s="8">
        <v>1</v>
      </c>
      <c r="AM12" s="8">
        <v>0</v>
      </c>
      <c r="AN12" s="8">
        <v>0</v>
      </c>
      <c r="AO12" s="8">
        <v>8893</v>
      </c>
      <c r="AP12" s="8">
        <v>0</v>
      </c>
      <c r="AQ12" s="8">
        <v>0</v>
      </c>
      <c r="AR12" s="8">
        <v>0</v>
      </c>
      <c r="AS12" s="8">
        <v>0</v>
      </c>
      <c r="AT12" s="8">
        <v>156</v>
      </c>
      <c r="AU12" s="8">
        <v>57</v>
      </c>
      <c r="AV12" s="44">
        <f>IF(Tableau1[[#This Row],[Moyenne Journalière Infrations 2016]]&gt;0, Tableau1[[#This Row],[Moyenne Journalière Infrations 2016]]-Tableau1[[#This Row],[Moyenne Journalière Infrations 2017]],0)</f>
        <v>0</v>
      </c>
      <c r="AW12" s="44">
        <f>IF(Tableau1[[#This Row],[Moyenne Journalière Infrations 2015]]&gt;0, Tableau1[[#This Row],[Moyenne Journalière Infrations 2015]]-Tableau1[[#This Row],[Moyenne Journalière Infrations 2016]],0)</f>
        <v>0</v>
      </c>
    </row>
    <row r="13" spans="1:49" x14ac:dyDescent="0.3">
      <c r="A13" s="28">
        <f t="shared" si="0"/>
        <v>12</v>
      </c>
      <c r="B13" s="8" t="s">
        <v>108</v>
      </c>
      <c r="C13" s="11" t="s">
        <v>41</v>
      </c>
      <c r="D13" s="8" t="s">
        <v>42</v>
      </c>
      <c r="E13" s="8" t="s">
        <v>43</v>
      </c>
      <c r="F13" s="8">
        <v>190.7</v>
      </c>
      <c r="G13" s="29" t="s">
        <v>135</v>
      </c>
      <c r="H13" s="8">
        <v>0</v>
      </c>
      <c r="I13" s="8">
        <v>0</v>
      </c>
      <c r="J13" s="8">
        <f>Tableau1[[#This Row],[F crashes]]+Tableau1[[#This Row],[S crashes]]</f>
        <v>0</v>
      </c>
      <c r="K13" s="12">
        <f>IF(Tableau1[[#This Row],[F crashes]] &lt;&gt; 0, Tableau1[[#This Row],[F &amp; S crashes]]/Tableau1[[#This Row],[F crashes]], 1)</f>
        <v>1</v>
      </c>
      <c r="L13" s="8">
        <v>13656</v>
      </c>
      <c r="M13" s="8">
        <v>101054</v>
      </c>
      <c r="N13" s="8">
        <f>(Tableau1[[#This Row],[VEHIC KM / JOUR]]*365)/1000000000</f>
        <v>3.6884710000000001E-2</v>
      </c>
      <c r="O13" s="8">
        <f>(Tableau1[[#This Row],[F &amp; S crashes]]/Tableau1[[#This Row],[BILLION VEH KM TRAVELLED]])</f>
        <v>0</v>
      </c>
      <c r="P13" s="11" t="s">
        <v>143</v>
      </c>
      <c r="Q13" s="11">
        <f>Tableau1[[#This Row],[F &amp; S crashes]]/2</f>
        <v>0</v>
      </c>
      <c r="R13" s="11" t="s">
        <v>143</v>
      </c>
      <c r="S13" s="23">
        <f>Tableau1[[#This Row],[VEHIC KM / JOUR]]/Tableau1[[#This Row],[TMJA (vehi/jour)]]</f>
        <v>7.3999707088459283</v>
      </c>
      <c r="T13" s="8">
        <v>1</v>
      </c>
      <c r="U13" s="8">
        <v>1</v>
      </c>
      <c r="V13" s="8">
        <v>80</v>
      </c>
      <c r="W13" s="8">
        <v>187.6</v>
      </c>
      <c r="X13" s="8">
        <v>195</v>
      </c>
      <c r="Y13" s="8">
        <v>1</v>
      </c>
      <c r="Z13" s="8">
        <v>2</v>
      </c>
      <c r="AA13" s="8">
        <f>Tableau1[[#This Row],[F Crashes trancon]]+Tableau1[[#This Row],[S crashes trancon]]</f>
        <v>3</v>
      </c>
      <c r="AB13" s="24">
        <f>IF(Tableau1[[#This Row],[F Crashes trancon]]&lt;&gt; 0, Tableau1[[#This Row],[F&amp;S crashes tronçon ]]/Tableau1[[#This Row],[F Crashes trancon]], 1)</f>
        <v>3</v>
      </c>
      <c r="AC13" s="23">
        <f>(Tableau1[[#This Row],[F&amp;S crashes tronçon ]]/Tableau1[[#This Row],[BILLION VEH KM TRAVELLED]])</f>
        <v>81.334515033465081</v>
      </c>
      <c r="AD13" s="26" t="s">
        <v>144</v>
      </c>
      <c r="AE13" s="27">
        <f>Tableau1[[#This Row],[F&amp;S crashes tronçon ]]/Tableau1[[#This Row],[LENTGH SECTION(KM)]]</f>
        <v>0.40540701011340474</v>
      </c>
      <c r="AF13" s="8" t="s">
        <v>144</v>
      </c>
      <c r="AG13" s="8">
        <v>0.31</v>
      </c>
      <c r="AH13" s="8" t="s">
        <v>212</v>
      </c>
      <c r="AI13" s="8" t="s">
        <v>212</v>
      </c>
      <c r="AJ13" s="8" t="s">
        <v>212</v>
      </c>
      <c r="AK13" s="8" t="s">
        <v>211</v>
      </c>
      <c r="AL13" s="8">
        <v>1</v>
      </c>
      <c r="AM13" s="8">
        <v>0</v>
      </c>
      <c r="AN13" s="8">
        <v>420</v>
      </c>
      <c r="AO13" s="8">
        <v>50177</v>
      </c>
      <c r="AP13" s="8">
        <v>0</v>
      </c>
      <c r="AQ13" s="8">
        <v>0</v>
      </c>
      <c r="AR13" s="8">
        <v>210</v>
      </c>
      <c r="AS13" s="8">
        <v>2</v>
      </c>
      <c r="AT13" s="8">
        <v>204</v>
      </c>
      <c r="AU13" s="8">
        <v>245</v>
      </c>
      <c r="AV13" s="44">
        <f>IF(Tableau1[[#This Row],[Moyenne Journalière Infrations 2016]]&gt;0, Tableau1[[#This Row],[Moyenne Journalière Infrations 2016]]-Tableau1[[#This Row],[Moyenne Journalière Infrations 2017]],0)</f>
        <v>6</v>
      </c>
      <c r="AW13" s="44">
        <f>IF(Tableau1[[#This Row],[Moyenne Journalière Infrations 2015]]&gt;0, Tableau1[[#This Row],[Moyenne Journalière Infrations 2015]]-Tableau1[[#This Row],[Moyenne Journalière Infrations 2016]],0)</f>
        <v>0</v>
      </c>
    </row>
    <row r="14" spans="1:49" ht="28.8" x14ac:dyDescent="0.3">
      <c r="A14" s="28">
        <f t="shared" si="0"/>
        <v>13</v>
      </c>
      <c r="B14" s="8" t="s">
        <v>109</v>
      </c>
      <c r="C14" s="11" t="s">
        <v>44</v>
      </c>
      <c r="D14" s="8" t="s">
        <v>42</v>
      </c>
      <c r="E14" s="8" t="s">
        <v>45</v>
      </c>
      <c r="F14" s="8">
        <v>190.8</v>
      </c>
      <c r="G14" s="29" t="s">
        <v>135</v>
      </c>
      <c r="H14" s="8">
        <v>0</v>
      </c>
      <c r="I14" s="8">
        <v>0</v>
      </c>
      <c r="J14" s="8">
        <f>Tableau1[[#This Row],[F crashes]]+Tableau1[[#This Row],[S crashes]]</f>
        <v>0</v>
      </c>
      <c r="K14" s="12">
        <f>IF(Tableau1[[#This Row],[F crashes]] &lt;&gt; 0, Tableau1[[#This Row],[F &amp; S crashes]]/Tableau1[[#This Row],[F crashes]], 1)</f>
        <v>1</v>
      </c>
      <c r="L14" s="8">
        <v>13656</v>
      </c>
      <c r="M14" s="8">
        <v>101054</v>
      </c>
      <c r="N14" s="8">
        <f>(Tableau1[[#This Row],[VEHIC KM / JOUR]]*365)/1000000000</f>
        <v>3.6884710000000001E-2</v>
      </c>
      <c r="O14" s="8">
        <f>(Tableau1[[#This Row],[F &amp; S crashes]]/Tableau1[[#This Row],[BILLION VEH KM TRAVELLED]])</f>
        <v>0</v>
      </c>
      <c r="P14" s="11" t="s">
        <v>143</v>
      </c>
      <c r="Q14" s="11">
        <f>Tableau1[[#This Row],[F &amp; S crashes]]/2</f>
        <v>0</v>
      </c>
      <c r="R14" s="11" t="s">
        <v>143</v>
      </c>
      <c r="S14" s="23">
        <f>Tableau1[[#This Row],[VEHIC KM / JOUR]]/Tableau1[[#This Row],[TMJA (vehi/jour)]]</f>
        <v>7.3999707088459283</v>
      </c>
      <c r="T14" s="8">
        <v>1</v>
      </c>
      <c r="U14" s="8">
        <v>1</v>
      </c>
      <c r="V14" s="8">
        <v>80</v>
      </c>
      <c r="W14" s="8">
        <v>187.6</v>
      </c>
      <c r="X14" s="8">
        <v>195</v>
      </c>
      <c r="Y14" s="8">
        <v>1</v>
      </c>
      <c r="Z14" s="8">
        <v>2</v>
      </c>
      <c r="AA14" s="8">
        <f>Tableau1[[#This Row],[F Crashes trancon]]+Tableau1[[#This Row],[S crashes trancon]]</f>
        <v>3</v>
      </c>
      <c r="AB14" s="24">
        <f>IF(Tableau1[[#This Row],[F Crashes trancon]]&lt;&gt; 0, Tableau1[[#This Row],[F&amp;S crashes tronçon ]]/Tableau1[[#This Row],[F Crashes trancon]], 1)</f>
        <v>3</v>
      </c>
      <c r="AC14" s="23">
        <f>(Tableau1[[#This Row],[F&amp;S crashes tronçon ]]/Tableau1[[#This Row],[BILLION VEH KM TRAVELLED]])</f>
        <v>81.334515033465081</v>
      </c>
      <c r="AD14" s="26" t="s">
        <v>144</v>
      </c>
      <c r="AE14" s="27">
        <f>Tableau1[[#This Row],[F&amp;S crashes tronçon ]]/Tableau1[[#This Row],[LENTGH SECTION(KM)]]</f>
        <v>0.40540701011340474</v>
      </c>
      <c r="AF14" s="8" t="s">
        <v>144</v>
      </c>
      <c r="AG14" s="8">
        <v>0.31</v>
      </c>
      <c r="AH14" s="8" t="s">
        <v>212</v>
      </c>
      <c r="AI14" s="8" t="s">
        <v>212</v>
      </c>
      <c r="AJ14" s="8" t="s">
        <v>212</v>
      </c>
      <c r="AK14" s="8" t="s">
        <v>211</v>
      </c>
      <c r="AL14" s="8">
        <v>1</v>
      </c>
      <c r="AM14" s="8">
        <v>0</v>
      </c>
      <c r="AN14" s="8">
        <v>13584</v>
      </c>
      <c r="AO14" s="8">
        <v>11518</v>
      </c>
      <c r="AP14" s="8">
        <v>0</v>
      </c>
      <c r="AQ14" s="8">
        <v>0</v>
      </c>
      <c r="AR14" s="8">
        <v>53</v>
      </c>
      <c r="AS14" s="8">
        <v>253</v>
      </c>
      <c r="AT14" s="8">
        <v>31</v>
      </c>
      <c r="AU14" s="8">
        <v>364</v>
      </c>
      <c r="AV14" s="44">
        <f>IF(Tableau1[[#This Row],[Moyenne Journalière Infrations 2016]]&gt;0, Tableau1[[#This Row],[Moyenne Journalière Infrations 2016]]-Tableau1[[#This Row],[Moyenne Journalière Infrations 2017]],0)</f>
        <v>22</v>
      </c>
      <c r="AW14" s="44">
        <f>IF(Tableau1[[#This Row],[Moyenne Journalière Infrations 2015]]&gt;0, Tableau1[[#This Row],[Moyenne Journalière Infrations 2015]]-Tableau1[[#This Row],[Moyenne Journalière Infrations 2016]],0)</f>
        <v>0</v>
      </c>
    </row>
    <row r="15" spans="1:49" x14ac:dyDescent="0.3">
      <c r="A15" s="28">
        <f t="shared" si="0"/>
        <v>14</v>
      </c>
      <c r="B15" s="8" t="s">
        <v>100</v>
      </c>
      <c r="C15" s="11" t="s">
        <v>20</v>
      </c>
      <c r="D15" s="8" t="s">
        <v>21</v>
      </c>
      <c r="E15" s="8" t="s">
        <v>22</v>
      </c>
      <c r="F15" s="8">
        <v>212.9</v>
      </c>
      <c r="G15" s="29" t="s">
        <v>135</v>
      </c>
      <c r="H15" s="8">
        <v>0</v>
      </c>
      <c r="I15" s="8">
        <v>2</v>
      </c>
      <c r="J15" s="8">
        <f>Tableau1[[#This Row],[F crashes]]+Tableau1[[#This Row],[S crashes]]</f>
        <v>2</v>
      </c>
      <c r="K15" s="12">
        <f>IF(Tableau1[[#This Row],[F crashes]] &lt;&gt; 0, Tableau1[[#This Row],[F &amp; S crashes]]/Tableau1[[#This Row],[F crashes]], 1)</f>
        <v>1</v>
      </c>
      <c r="L15" s="8">
        <v>6297</v>
      </c>
      <c r="M15" s="8">
        <v>144831</v>
      </c>
      <c r="N15" s="8">
        <f>(Tableau1[[#This Row],[VEHIC KM / JOUR]]*365)/1000000000</f>
        <v>5.2863315000000001E-2</v>
      </c>
      <c r="O15" s="23">
        <f>(Tableau1[[#This Row],[F &amp; S crashes]]/Tableau1[[#This Row],[BILLION VEH KM TRAVELLED]])</f>
        <v>37.833420019156954</v>
      </c>
      <c r="P15" s="11" t="s">
        <v>144</v>
      </c>
      <c r="Q15" s="11">
        <f>Tableau1[[#This Row],[F &amp; S crashes]]/2</f>
        <v>1</v>
      </c>
      <c r="R15" s="8" t="s">
        <v>144</v>
      </c>
      <c r="S15" s="23">
        <f>Tableau1[[#This Row],[VEHIC KM / JOUR]]/Tableau1[[#This Row],[TMJA (vehi/jour)]]</f>
        <v>23</v>
      </c>
      <c r="T15" s="8">
        <v>1</v>
      </c>
      <c r="U15" s="8">
        <v>1</v>
      </c>
      <c r="V15" s="8">
        <v>60</v>
      </c>
      <c r="W15" s="8">
        <v>195</v>
      </c>
      <c r="X15" s="8">
        <v>218</v>
      </c>
      <c r="Y15" s="8">
        <v>3</v>
      </c>
      <c r="Z15" s="8">
        <v>5</v>
      </c>
      <c r="AA15" s="8">
        <f>Tableau1[[#This Row],[F Crashes trancon]]+Tableau1[[#This Row],[S crashes trancon]]</f>
        <v>8</v>
      </c>
      <c r="AB15" s="24">
        <f>IF(Tableau1[[#This Row],[F Crashes trancon]]&lt;&gt; 0, Tableau1[[#This Row],[F&amp;S crashes tronçon ]]/Tableau1[[#This Row],[F Crashes trancon]], 1)</f>
        <v>2.6666666666666665</v>
      </c>
      <c r="AC15" s="23">
        <f>(Tableau1[[#This Row],[F&amp;S crashes tronçon ]]/Tableau1[[#This Row],[BILLION VEH KM TRAVELLED]])</f>
        <v>151.33368007662781</v>
      </c>
      <c r="AD15" s="26" t="s">
        <v>144</v>
      </c>
      <c r="AE15" s="27">
        <f>Tableau1[[#This Row],[F&amp;S crashes tronçon ]]/Tableau1[[#This Row],[LENTGH SECTION(KM)]]</f>
        <v>0.34782608695652173</v>
      </c>
      <c r="AF15" s="8" t="s">
        <v>144</v>
      </c>
      <c r="AG15" s="8">
        <v>0.31</v>
      </c>
      <c r="AH15" s="8" t="s">
        <v>212</v>
      </c>
      <c r="AI15" s="8" t="s">
        <v>212</v>
      </c>
      <c r="AJ15" s="8" t="s">
        <v>212</v>
      </c>
      <c r="AK15" s="8" t="s">
        <v>212</v>
      </c>
      <c r="AL15" s="8">
        <v>6</v>
      </c>
      <c r="AM15" s="8">
        <v>0</v>
      </c>
      <c r="AN15" s="8">
        <v>2548</v>
      </c>
      <c r="AO15" s="8">
        <v>3617</v>
      </c>
      <c r="AP15" s="8">
        <v>0</v>
      </c>
      <c r="AQ15" s="8">
        <v>0</v>
      </c>
      <c r="AR15" s="8">
        <v>12</v>
      </c>
      <c r="AS15" s="8">
        <v>207</v>
      </c>
      <c r="AT15" s="8">
        <v>10</v>
      </c>
      <c r="AU15" s="8">
        <v>346</v>
      </c>
      <c r="AV15" s="44">
        <f>IF(Tableau1[[#This Row],[Moyenne Journalière Infrations 2016]]&gt;0, Tableau1[[#This Row],[Moyenne Journalière Infrations 2016]]-Tableau1[[#This Row],[Moyenne Journalière Infrations 2017]],0)</f>
        <v>2</v>
      </c>
      <c r="AW15" s="44">
        <f>IF(Tableau1[[#This Row],[Moyenne Journalière Infrations 2015]]&gt;0, Tableau1[[#This Row],[Moyenne Journalière Infrations 2015]]-Tableau1[[#This Row],[Moyenne Journalière Infrations 2016]],0)</f>
        <v>0</v>
      </c>
    </row>
    <row r="16" spans="1:49" ht="28.8" x14ac:dyDescent="0.3">
      <c r="A16" s="28">
        <f t="shared" si="0"/>
        <v>15</v>
      </c>
      <c r="B16" s="8" t="s">
        <v>106</v>
      </c>
      <c r="C16" s="11" t="s">
        <v>35</v>
      </c>
      <c r="D16" s="8" t="s">
        <v>36</v>
      </c>
      <c r="E16" s="8" t="s">
        <v>37</v>
      </c>
      <c r="F16" s="8">
        <v>286.5</v>
      </c>
      <c r="G16" s="29" t="s">
        <v>135</v>
      </c>
      <c r="H16" s="8">
        <v>1</v>
      </c>
      <c r="I16" s="8">
        <v>3</v>
      </c>
      <c r="J16" s="8">
        <f>Tableau1[[#This Row],[F crashes]]+Tableau1[[#This Row],[S crashes]]</f>
        <v>4</v>
      </c>
      <c r="K16" s="12">
        <f>IF(Tableau1[[#This Row],[F crashes]] &lt;&gt; 0, Tableau1[[#This Row],[F &amp; S crashes]]/Tableau1[[#This Row],[F crashes]], 1)</f>
        <v>4</v>
      </c>
      <c r="L16" s="8">
        <v>3446</v>
      </c>
      <c r="M16" s="8">
        <v>134394</v>
      </c>
      <c r="N16" s="8">
        <f>(Tableau1[[#This Row],[VEHIC KM / JOUR]]*365)/1000000000</f>
        <v>4.9053810000000003E-2</v>
      </c>
      <c r="O16" s="23">
        <f>(Tableau1[[#This Row],[F &amp; S crashes]]/Tableau1[[#This Row],[BILLION VEH KM TRAVELLED]])</f>
        <v>81.543105418315108</v>
      </c>
      <c r="P16" s="11" t="s">
        <v>144</v>
      </c>
      <c r="Q16" s="11">
        <f>Tableau1[[#This Row],[F &amp; S crashes]]/2</f>
        <v>2</v>
      </c>
      <c r="R16" s="8" t="s">
        <v>144</v>
      </c>
      <c r="S16" s="23">
        <f>Tableau1[[#This Row],[VEHIC KM / JOUR]]/Tableau1[[#This Row],[TMJA (vehi/jour)]]</f>
        <v>39</v>
      </c>
      <c r="T16" s="8">
        <v>0</v>
      </c>
      <c r="U16" s="8">
        <v>1</v>
      </c>
      <c r="V16" s="8">
        <v>80</v>
      </c>
      <c r="W16" s="8">
        <v>249</v>
      </c>
      <c r="X16" s="8">
        <v>288</v>
      </c>
      <c r="Y16" s="8">
        <v>4</v>
      </c>
      <c r="Z16" s="8">
        <v>6</v>
      </c>
      <c r="AA16" s="8">
        <f>Tableau1[[#This Row],[F Crashes trancon]]+Tableau1[[#This Row],[S crashes trancon]]</f>
        <v>10</v>
      </c>
      <c r="AB16" s="24">
        <f>IF(Tableau1[[#This Row],[F Crashes trancon]]&lt;&gt; 0, Tableau1[[#This Row],[F&amp;S crashes tronçon ]]/Tableau1[[#This Row],[F Crashes trancon]], 1)</f>
        <v>2.5</v>
      </c>
      <c r="AC16" s="23">
        <f>(Tableau1[[#This Row],[F&amp;S crashes tronçon ]]/Tableau1[[#This Row],[BILLION VEH KM TRAVELLED]])</f>
        <v>203.85776354578778</v>
      </c>
      <c r="AD16" s="26" t="s">
        <v>144</v>
      </c>
      <c r="AE16" s="27">
        <f>Tableau1[[#This Row],[F&amp;S crashes tronçon ]]/Tableau1[[#This Row],[LENTGH SECTION(KM)]]</f>
        <v>0.25641025641025639</v>
      </c>
      <c r="AF16" s="8" t="s">
        <v>144</v>
      </c>
      <c r="AG16" s="8">
        <v>3.62</v>
      </c>
      <c r="AH16" s="8" t="s">
        <v>212</v>
      </c>
      <c r="AI16" s="8" t="s">
        <v>212</v>
      </c>
      <c r="AJ16" s="8" t="s">
        <v>212</v>
      </c>
      <c r="AK16" s="8" t="s">
        <v>211</v>
      </c>
      <c r="AL16" s="8">
        <v>1</v>
      </c>
      <c r="AM16" s="8">
        <v>0</v>
      </c>
      <c r="AN16" s="8">
        <v>15518</v>
      </c>
      <c r="AO16" s="8">
        <v>50</v>
      </c>
      <c r="AP16" s="8">
        <v>0</v>
      </c>
      <c r="AQ16" s="8">
        <v>0</v>
      </c>
      <c r="AR16" s="8">
        <v>103</v>
      </c>
      <c r="AS16" s="8">
        <v>150</v>
      </c>
      <c r="AT16" s="8">
        <v>1</v>
      </c>
      <c r="AU16" s="8">
        <v>41</v>
      </c>
      <c r="AV16" s="44">
        <f>IF(Tableau1[[#This Row],[Moyenne Journalière Infrations 2016]]&gt;0, Tableau1[[#This Row],[Moyenne Journalière Infrations 2016]]-Tableau1[[#This Row],[Moyenne Journalière Infrations 2017]],0)</f>
        <v>102</v>
      </c>
      <c r="AW16" s="44">
        <f>IF(Tableau1[[#This Row],[Moyenne Journalière Infrations 2015]]&gt;0, Tableau1[[#This Row],[Moyenne Journalière Infrations 2015]]-Tableau1[[#This Row],[Moyenne Journalière Infrations 2016]],0)</f>
        <v>0</v>
      </c>
    </row>
    <row r="17" spans="1:49" ht="28.8" x14ac:dyDescent="0.3">
      <c r="A17" s="28">
        <f t="shared" si="0"/>
        <v>16</v>
      </c>
      <c r="B17" s="8" t="s">
        <v>118</v>
      </c>
      <c r="C17" s="11" t="s">
        <v>66</v>
      </c>
      <c r="D17" s="8" t="s">
        <v>67</v>
      </c>
      <c r="E17" s="8" t="s">
        <v>68</v>
      </c>
      <c r="F17" s="8">
        <v>322.5</v>
      </c>
      <c r="G17" s="29" t="s">
        <v>135</v>
      </c>
      <c r="H17" s="8">
        <v>1</v>
      </c>
      <c r="I17" s="8">
        <v>0</v>
      </c>
      <c r="J17" s="8">
        <f>Tableau1[[#This Row],[F crashes]]+Tableau1[[#This Row],[S crashes]]</f>
        <v>1</v>
      </c>
      <c r="K17" s="12">
        <f>IF(Tableau1[[#This Row],[F crashes]] &lt;&gt; 0, Tableau1[[#This Row],[F &amp; S crashes]]/Tableau1[[#This Row],[F crashes]], 1)</f>
        <v>1</v>
      </c>
      <c r="L17" s="8">
        <v>2903</v>
      </c>
      <c r="M17" s="8">
        <v>194501</v>
      </c>
      <c r="N17" s="8">
        <f>(Tableau1[[#This Row],[VEHIC KM / JOUR]]*365)/1000000000</f>
        <v>7.0992865000000002E-2</v>
      </c>
      <c r="O17" s="23">
        <f>(Tableau1[[#This Row],[F &amp; S crashes]]/Tableau1[[#This Row],[BILLION VEH KM TRAVELLED]])</f>
        <v>14.085922578276</v>
      </c>
      <c r="P17" s="11" t="s">
        <v>146</v>
      </c>
      <c r="Q17" s="11">
        <f>Tableau1[[#This Row],[F &amp; S crashes]]/2</f>
        <v>0.5</v>
      </c>
      <c r="R17" s="8" t="s">
        <v>144</v>
      </c>
      <c r="S17" s="23">
        <f>Tableau1[[#This Row],[VEHIC KM / JOUR]]/Tableau1[[#This Row],[TMJA (vehi/jour)]]</f>
        <v>67</v>
      </c>
      <c r="T17" s="8">
        <v>1</v>
      </c>
      <c r="U17" s="8">
        <v>1</v>
      </c>
      <c r="V17" s="8">
        <v>60</v>
      </c>
      <c r="W17" s="8">
        <v>318</v>
      </c>
      <c r="X17" s="8">
        <v>385</v>
      </c>
      <c r="Y17" s="8">
        <v>5</v>
      </c>
      <c r="Z17" s="8">
        <v>8</v>
      </c>
      <c r="AA17" s="8">
        <f>Tableau1[[#This Row],[F Crashes trancon]]+Tableau1[[#This Row],[S crashes trancon]]</f>
        <v>13</v>
      </c>
      <c r="AB17" s="24">
        <f>IF(Tableau1[[#This Row],[F Crashes trancon]]&lt;&gt; 0, Tableau1[[#This Row],[F&amp;S crashes tronçon ]]/Tableau1[[#This Row],[F Crashes trancon]], 1)</f>
        <v>2.6</v>
      </c>
      <c r="AC17" s="23">
        <f>(Tableau1[[#This Row],[F&amp;S crashes tronçon ]]/Tableau1[[#This Row],[BILLION VEH KM TRAVELLED]])</f>
        <v>183.11699351758799</v>
      </c>
      <c r="AD17" s="26" t="s">
        <v>144</v>
      </c>
      <c r="AE17" s="27">
        <f>Tableau1[[#This Row],[F&amp;S crashes tronçon ]]/Tableau1[[#This Row],[LENTGH SECTION(KM)]]</f>
        <v>0.19402985074626866</v>
      </c>
      <c r="AF17" s="8" t="s">
        <v>147</v>
      </c>
      <c r="AG17" s="8">
        <v>2.77</v>
      </c>
      <c r="AH17" s="8" t="s">
        <v>212</v>
      </c>
      <c r="AI17" s="8" t="s">
        <v>212</v>
      </c>
      <c r="AJ17" s="8" t="s">
        <v>212</v>
      </c>
      <c r="AK17" s="8" t="s">
        <v>212</v>
      </c>
      <c r="AL17" s="8">
        <v>5.72</v>
      </c>
      <c r="AM17" s="8">
        <v>7988</v>
      </c>
      <c r="AN17" s="8">
        <v>1437</v>
      </c>
      <c r="AO17" s="8">
        <v>1406</v>
      </c>
      <c r="AP17" s="8">
        <v>57</v>
      </c>
      <c r="AQ17" s="8">
        <v>140</v>
      </c>
      <c r="AR17" s="8">
        <v>13</v>
      </c>
      <c r="AS17" s="8">
        <v>110</v>
      </c>
      <c r="AT17" s="8">
        <v>6</v>
      </c>
      <c r="AU17" s="8">
        <v>229</v>
      </c>
      <c r="AV17" s="44">
        <f>IF(Tableau1[[#This Row],[Moyenne Journalière Infrations 2016]]&gt;0, Tableau1[[#This Row],[Moyenne Journalière Infrations 2016]]-Tableau1[[#This Row],[Moyenne Journalière Infrations 2017]],0)</f>
        <v>7</v>
      </c>
      <c r="AW17" s="44">
        <f>IF(Tableau1[[#This Row],[Moyenne Journalière Infrations 2015]]&gt;0, Tableau1[[#This Row],[Moyenne Journalière Infrations 2015]]-Tableau1[[#This Row],[Moyenne Journalière Infrations 2016]],0)</f>
        <v>44</v>
      </c>
    </row>
    <row r="18" spans="1:49" x14ac:dyDescent="0.3">
      <c r="A18" s="28">
        <f t="shared" si="0"/>
        <v>17</v>
      </c>
      <c r="B18" s="8" t="s">
        <v>117</v>
      </c>
      <c r="C18" s="11" t="s">
        <v>63</v>
      </c>
      <c r="D18" s="8" t="s">
        <v>64</v>
      </c>
      <c r="E18" s="8" t="s">
        <v>65</v>
      </c>
      <c r="F18" s="8">
        <v>385.5</v>
      </c>
      <c r="G18" s="29" t="s">
        <v>135</v>
      </c>
      <c r="H18" s="8">
        <v>0</v>
      </c>
      <c r="I18" s="8">
        <v>2</v>
      </c>
      <c r="J18" s="8">
        <f>Tableau1[[#This Row],[F crashes]]+Tableau1[[#This Row],[S crashes]]</f>
        <v>2</v>
      </c>
      <c r="K18" s="12">
        <f>IF(Tableau1[[#This Row],[F crashes]] &lt;&gt; 0, Tableau1[[#This Row],[F &amp; S crashes]]/Tableau1[[#This Row],[F crashes]], 1)</f>
        <v>1</v>
      </c>
      <c r="L18" s="8">
        <v>2152</v>
      </c>
      <c r="M18" s="8">
        <v>94344</v>
      </c>
      <c r="N18" s="8">
        <f>(Tableau1[[#This Row],[VEHIC KM / JOUR]]*365)/1000000000</f>
        <v>3.4435559999999997E-2</v>
      </c>
      <c r="O18" s="23">
        <f>(Tableau1[[#This Row],[F &amp; S crashes]]/Tableau1[[#This Row],[BILLION VEH KM TRAVELLED]])</f>
        <v>58.079496892166127</v>
      </c>
      <c r="P18" s="11" t="s">
        <v>144</v>
      </c>
      <c r="Q18" s="11">
        <f>Tableau1[[#This Row],[F &amp; S crashes]]/2</f>
        <v>1</v>
      </c>
      <c r="R18" s="8" t="s">
        <v>144</v>
      </c>
      <c r="S18" s="23">
        <f>Tableau1[[#This Row],[VEHIC KM / JOUR]]/Tableau1[[#This Row],[TMJA (vehi/jour)]]</f>
        <v>43.840148698884761</v>
      </c>
      <c r="T18" s="8">
        <v>1</v>
      </c>
      <c r="U18" s="8">
        <v>1</v>
      </c>
      <c r="V18" s="8">
        <v>60</v>
      </c>
      <c r="W18" s="8">
        <v>385</v>
      </c>
      <c r="X18" s="8">
        <v>428.84</v>
      </c>
      <c r="Y18" s="8">
        <v>3</v>
      </c>
      <c r="Z18" s="8">
        <v>5</v>
      </c>
      <c r="AA18" s="8">
        <f>Tableau1[[#This Row],[F Crashes trancon]]+Tableau1[[#This Row],[S crashes trancon]]</f>
        <v>8</v>
      </c>
      <c r="AB18" s="24">
        <f>IF(Tableau1[[#This Row],[F Crashes trancon]]&lt;&gt; 0, Tableau1[[#This Row],[F&amp;S crashes tronçon ]]/Tableau1[[#This Row],[F Crashes trancon]], 1)</f>
        <v>2.6666666666666665</v>
      </c>
      <c r="AC18" s="23">
        <f>(Tableau1[[#This Row],[F&amp;S crashes tronçon ]]/Tableau1[[#This Row],[BILLION VEH KM TRAVELLED]])</f>
        <v>232.31798756866451</v>
      </c>
      <c r="AD18" s="26" t="s">
        <v>144</v>
      </c>
      <c r="AE18" s="27">
        <f>Tableau1[[#This Row],[F&amp;S crashes tronçon ]]/Tableau1[[#This Row],[LENTGH SECTION(KM)]]</f>
        <v>0.18248113287543458</v>
      </c>
      <c r="AF18" s="8" t="s">
        <v>147</v>
      </c>
      <c r="AG18" s="8">
        <v>0.69</v>
      </c>
      <c r="AH18" s="8" t="s">
        <v>212</v>
      </c>
      <c r="AI18" s="8" t="s">
        <v>212</v>
      </c>
      <c r="AJ18" s="8" t="s">
        <v>212</v>
      </c>
      <c r="AK18" s="8" t="s">
        <v>211</v>
      </c>
      <c r="AL18" s="8">
        <v>1</v>
      </c>
      <c r="AM18" s="8">
        <v>0</v>
      </c>
      <c r="AN18" s="8">
        <v>1467</v>
      </c>
      <c r="AO18" s="8">
        <v>6254</v>
      </c>
      <c r="AP18" s="8">
        <v>0</v>
      </c>
      <c r="AQ18" s="8">
        <v>0</v>
      </c>
      <c r="AR18" s="8">
        <v>28</v>
      </c>
      <c r="AS18" s="8">
        <v>52</v>
      </c>
      <c r="AT18" s="8">
        <v>21</v>
      </c>
      <c r="AU18" s="8">
        <v>297</v>
      </c>
      <c r="AV18" s="44">
        <f>IF(Tableau1[[#This Row],[Moyenne Journalière Infrations 2016]]&gt;0, Tableau1[[#This Row],[Moyenne Journalière Infrations 2016]]-Tableau1[[#This Row],[Moyenne Journalière Infrations 2017]],0)</f>
        <v>7</v>
      </c>
      <c r="AW18" s="44">
        <f>IF(Tableau1[[#This Row],[Moyenne Journalière Infrations 2015]]&gt;0, Tableau1[[#This Row],[Moyenne Journalière Infrations 2015]]-Tableau1[[#This Row],[Moyenne Journalière Infrations 2016]],0)</f>
        <v>0</v>
      </c>
    </row>
    <row r="19" spans="1:49" x14ac:dyDescent="0.3">
      <c r="A19" s="28">
        <f t="shared" si="0"/>
        <v>18</v>
      </c>
      <c r="B19" s="8" t="s">
        <v>122</v>
      </c>
      <c r="C19" s="11" t="s">
        <v>78</v>
      </c>
      <c r="D19" s="8" t="s">
        <v>79</v>
      </c>
      <c r="E19" s="8" t="s">
        <v>80</v>
      </c>
      <c r="F19" s="8">
        <v>434</v>
      </c>
      <c r="G19" s="29" t="s">
        <v>135</v>
      </c>
      <c r="H19" s="8">
        <v>0</v>
      </c>
      <c r="I19" s="8">
        <v>0</v>
      </c>
      <c r="J19" s="8">
        <f>Tableau1[[#This Row],[F crashes]]+Tableau1[[#This Row],[S crashes]]</f>
        <v>0</v>
      </c>
      <c r="K19" s="12">
        <f>IF(Tableau1[[#This Row],[F crashes]] &lt;&gt; 0, Tableau1[[#This Row],[F &amp; S crashes]]/Tableau1[[#This Row],[F crashes]], 1)</f>
        <v>1</v>
      </c>
      <c r="L19" s="8">
        <v>2985</v>
      </c>
      <c r="M19" s="8">
        <v>91729</v>
      </c>
      <c r="N19" s="8">
        <f>(Tableau1[[#This Row],[VEHIC KM / JOUR]]*365)/1000000000</f>
        <v>3.3481085000000001E-2</v>
      </c>
      <c r="O19" s="8">
        <f>(Tableau1[[#This Row],[F &amp; S crashes]]/Tableau1[[#This Row],[BILLION VEH KM TRAVELLED]])</f>
        <v>0</v>
      </c>
      <c r="P19" s="11" t="s">
        <v>143</v>
      </c>
      <c r="Q19" s="11">
        <f>Tableau1[[#This Row],[F &amp; S crashes]]/2</f>
        <v>0</v>
      </c>
      <c r="R19" s="11" t="s">
        <v>143</v>
      </c>
      <c r="S19" s="23">
        <f>Tableau1[[#This Row],[VEHIC KM / JOUR]]/Tableau1[[#This Row],[TMJA (vehi/jour)]]</f>
        <v>30.729983249581238</v>
      </c>
      <c r="T19" s="8">
        <v>1</v>
      </c>
      <c r="U19" s="8">
        <v>1</v>
      </c>
      <c r="V19" s="8">
        <v>60</v>
      </c>
      <c r="W19" s="8">
        <v>428.84</v>
      </c>
      <c r="X19" s="8">
        <v>459.57</v>
      </c>
      <c r="Y19" s="8">
        <v>1</v>
      </c>
      <c r="Z19" s="8">
        <v>0</v>
      </c>
      <c r="AA19" s="8">
        <f>Tableau1[[#This Row],[F Crashes trancon]]+Tableau1[[#This Row],[S crashes trancon]]</f>
        <v>1</v>
      </c>
      <c r="AB19" s="24">
        <f>IF(Tableau1[[#This Row],[F Crashes trancon]]&lt;&gt; 0, Tableau1[[#This Row],[F&amp;S crashes tronçon ]]/Tableau1[[#This Row],[F Crashes trancon]], 1)</f>
        <v>1</v>
      </c>
      <c r="AC19" s="23">
        <f>(Tableau1[[#This Row],[F&amp;S crashes tronçon ]]/Tableau1[[#This Row],[BILLION VEH KM TRAVELLED]])</f>
        <v>29.86761032385898</v>
      </c>
      <c r="AD19" s="26" t="s">
        <v>144</v>
      </c>
      <c r="AE19" s="27">
        <f>Tableau1[[#This Row],[F&amp;S crashes tronçon ]]/Tableau1[[#This Row],[LENTGH SECTION(KM)]]</f>
        <v>3.2541508138102457E-2</v>
      </c>
      <c r="AF19" s="8" t="s">
        <v>167</v>
      </c>
      <c r="AG19" s="8">
        <v>2.2799999999999998</v>
      </c>
      <c r="AH19" s="8" t="s">
        <v>212</v>
      </c>
      <c r="AI19" s="8" t="s">
        <v>212</v>
      </c>
      <c r="AJ19" s="8" t="s">
        <v>212</v>
      </c>
      <c r="AK19" s="8" t="s">
        <v>211</v>
      </c>
      <c r="AL19" s="8">
        <v>3</v>
      </c>
      <c r="AM19" s="8">
        <v>0</v>
      </c>
      <c r="AN19" s="8">
        <v>6069</v>
      </c>
      <c r="AO19" s="8">
        <v>11710</v>
      </c>
      <c r="AP19" s="8">
        <v>0</v>
      </c>
      <c r="AQ19" s="8">
        <v>0</v>
      </c>
      <c r="AR19" s="8">
        <v>151</v>
      </c>
      <c r="AS19" s="8">
        <v>40</v>
      </c>
      <c r="AT19" s="8">
        <v>35</v>
      </c>
      <c r="AU19" s="8">
        <v>329</v>
      </c>
      <c r="AV19" s="44">
        <f>IF(Tableau1[[#This Row],[Moyenne Journalière Infrations 2016]]&gt;0, Tableau1[[#This Row],[Moyenne Journalière Infrations 2016]]-Tableau1[[#This Row],[Moyenne Journalière Infrations 2017]],0)</f>
        <v>116</v>
      </c>
      <c r="AW19" s="44">
        <f>IF(Tableau1[[#This Row],[Moyenne Journalière Infrations 2015]]&gt;0, Tableau1[[#This Row],[Moyenne Journalière Infrations 2015]]-Tableau1[[#This Row],[Moyenne Journalière Infrations 2016]],0)</f>
        <v>0</v>
      </c>
    </row>
    <row r="20" spans="1:49" x14ac:dyDescent="0.3">
      <c r="A20" s="28">
        <f t="shared" si="0"/>
        <v>19</v>
      </c>
      <c r="B20" s="8" t="s">
        <v>123</v>
      </c>
      <c r="C20" s="11" t="s">
        <v>81</v>
      </c>
      <c r="D20" s="8" t="s">
        <v>82</v>
      </c>
      <c r="E20" s="8" t="s">
        <v>83</v>
      </c>
      <c r="F20" s="8">
        <v>434.1</v>
      </c>
      <c r="G20" s="29" t="s">
        <v>135</v>
      </c>
      <c r="H20" s="8">
        <v>0</v>
      </c>
      <c r="I20" s="8">
        <v>0</v>
      </c>
      <c r="J20" s="8">
        <f>Tableau1[[#This Row],[F crashes]]+Tableau1[[#This Row],[S crashes]]</f>
        <v>0</v>
      </c>
      <c r="K20" s="12">
        <f>IF(Tableau1[[#This Row],[F crashes]] &lt;&gt; 0, Tableau1[[#This Row],[F &amp; S crashes]]/Tableau1[[#This Row],[F crashes]], 1)</f>
        <v>1</v>
      </c>
      <c r="L20" s="8">
        <v>2985</v>
      </c>
      <c r="M20" s="8">
        <v>91729</v>
      </c>
      <c r="N20" s="8">
        <f>(Tableau1[[#This Row],[VEHIC KM / JOUR]]*365)/1000000000</f>
        <v>3.3481085000000001E-2</v>
      </c>
      <c r="O20" s="8">
        <f>(Tableau1[[#This Row],[F &amp; S crashes]]/Tableau1[[#This Row],[BILLION VEH KM TRAVELLED]])</f>
        <v>0</v>
      </c>
      <c r="P20" s="11" t="s">
        <v>143</v>
      </c>
      <c r="Q20" s="11">
        <f>Tableau1[[#This Row],[F &amp; S crashes]]/2</f>
        <v>0</v>
      </c>
      <c r="R20" s="11" t="s">
        <v>143</v>
      </c>
      <c r="S20" s="23">
        <f>Tableau1[[#This Row],[VEHIC KM / JOUR]]/Tableau1[[#This Row],[TMJA (vehi/jour)]]</f>
        <v>30.729983249581238</v>
      </c>
      <c r="T20" s="8">
        <v>1</v>
      </c>
      <c r="U20" s="8">
        <v>1</v>
      </c>
      <c r="V20" s="8">
        <v>80</v>
      </c>
      <c r="W20" s="8">
        <v>428.84</v>
      </c>
      <c r="X20" s="8">
        <v>459.57</v>
      </c>
      <c r="Y20" s="8">
        <v>1</v>
      </c>
      <c r="Z20" s="8">
        <v>0</v>
      </c>
      <c r="AA20" s="8">
        <f>Tableau1[[#This Row],[F Crashes trancon]]+Tableau1[[#This Row],[S crashes trancon]]</f>
        <v>1</v>
      </c>
      <c r="AB20" s="24">
        <f>IF(Tableau1[[#This Row],[F Crashes trancon]]&lt;&gt; 0, Tableau1[[#This Row],[F&amp;S crashes tronçon ]]/Tableau1[[#This Row],[F Crashes trancon]], 1)</f>
        <v>1</v>
      </c>
      <c r="AC20" s="23">
        <f>(Tableau1[[#This Row],[F&amp;S crashes tronçon ]]/Tableau1[[#This Row],[BILLION VEH KM TRAVELLED]])</f>
        <v>29.86761032385898</v>
      </c>
      <c r="AD20" s="26" t="s">
        <v>144</v>
      </c>
      <c r="AE20" s="27">
        <f>Tableau1[[#This Row],[F&amp;S crashes tronçon ]]/Tableau1[[#This Row],[LENTGH SECTION(KM)]]</f>
        <v>3.2541508138102457E-2</v>
      </c>
      <c r="AF20" s="8" t="s">
        <v>167</v>
      </c>
      <c r="AG20" s="8">
        <v>2.2799999999999998</v>
      </c>
      <c r="AH20" s="8" t="s">
        <v>212</v>
      </c>
      <c r="AI20" s="8" t="s">
        <v>212</v>
      </c>
      <c r="AJ20" s="8" t="s">
        <v>212</v>
      </c>
      <c r="AK20" s="8" t="s">
        <v>211</v>
      </c>
      <c r="AL20" s="8">
        <v>3</v>
      </c>
      <c r="AM20" s="8">
        <v>0</v>
      </c>
      <c r="AN20" s="8">
        <v>7808</v>
      </c>
      <c r="AO20" s="8">
        <v>22173</v>
      </c>
      <c r="AP20" s="8">
        <v>0</v>
      </c>
      <c r="AQ20" s="8">
        <v>0</v>
      </c>
      <c r="AR20" s="8">
        <v>106</v>
      </c>
      <c r="AS20" s="8">
        <v>73</v>
      </c>
      <c r="AT20" s="8">
        <v>67</v>
      </c>
      <c r="AU20" s="8">
        <v>327</v>
      </c>
      <c r="AV20" s="44">
        <f>IF(Tableau1[[#This Row],[Moyenne Journalière Infrations 2016]]&gt;0, Tableau1[[#This Row],[Moyenne Journalière Infrations 2016]]-Tableau1[[#This Row],[Moyenne Journalière Infrations 2017]],0)</f>
        <v>39</v>
      </c>
      <c r="AW20" s="44">
        <f>IF(Tableau1[[#This Row],[Moyenne Journalière Infrations 2015]]&gt;0, Tableau1[[#This Row],[Moyenne Journalière Infrations 2015]]-Tableau1[[#This Row],[Moyenne Journalière Infrations 2016]],0)</f>
        <v>0</v>
      </c>
    </row>
    <row r="21" spans="1:49" ht="28.8" x14ac:dyDescent="0.3">
      <c r="A21" s="28">
        <f t="shared" si="0"/>
        <v>20</v>
      </c>
      <c r="B21" s="8" t="s">
        <v>113</v>
      </c>
      <c r="C21" s="11" t="s">
        <v>52</v>
      </c>
      <c r="D21" s="8" t="s">
        <v>53</v>
      </c>
      <c r="E21" s="8" t="s">
        <v>54</v>
      </c>
      <c r="F21" s="8">
        <v>29.1</v>
      </c>
      <c r="G21" s="30" t="s">
        <v>133</v>
      </c>
      <c r="H21" s="8">
        <v>2</v>
      </c>
      <c r="I21" s="8">
        <v>0</v>
      </c>
      <c r="J21" s="8">
        <f>Tableau1[[#This Row],[F crashes]]+Tableau1[[#This Row],[S crashes]]</f>
        <v>2</v>
      </c>
      <c r="K21" s="12">
        <f>IF(Tableau1[[#This Row],[F crashes]] &lt;&gt; 0, Tableau1[[#This Row],[F &amp; S crashes]]/Tableau1[[#This Row],[F crashes]], 1)</f>
        <v>1</v>
      </c>
      <c r="L21" s="8">
        <v>2791</v>
      </c>
      <c r="M21" s="8">
        <v>101592</v>
      </c>
      <c r="N21" s="8">
        <f>(Tableau1[[#This Row],[VEHIC KM / JOUR]]*365)/1000000000</f>
        <v>3.7081080000000002E-2</v>
      </c>
      <c r="O21" s="23">
        <f>(Tableau1[[#This Row],[F &amp; S crashes]]/Tableau1[[#This Row],[BILLION VEH KM TRAVELLED]])</f>
        <v>53.935861630783137</v>
      </c>
      <c r="P21" s="11" t="s">
        <v>144</v>
      </c>
      <c r="Q21" s="11">
        <f>Tableau1[[#This Row],[F &amp; S crashes]]/2</f>
        <v>1</v>
      </c>
      <c r="R21" s="8" t="s">
        <v>144</v>
      </c>
      <c r="S21" s="23">
        <f>Tableau1[[#This Row],[VEHIC KM / JOUR]]/Tableau1[[#This Row],[TMJA (vehi/jour)]]</f>
        <v>36.399856682192762</v>
      </c>
      <c r="T21" s="8">
        <v>1</v>
      </c>
      <c r="U21" s="8">
        <v>1</v>
      </c>
      <c r="V21" s="8">
        <v>80</v>
      </c>
      <c r="W21" s="8">
        <v>16.100000000000001</v>
      </c>
      <c r="X21" s="8">
        <v>52.5</v>
      </c>
      <c r="Y21" s="8">
        <v>10</v>
      </c>
      <c r="Z21" s="8">
        <v>3</v>
      </c>
      <c r="AA21" s="8">
        <f>Tableau1[[#This Row],[F Crashes trancon]]+Tableau1[[#This Row],[S crashes trancon]]</f>
        <v>13</v>
      </c>
      <c r="AB21" s="24">
        <f>IF(Tableau1[[#This Row],[F Crashes trancon]]&lt;&gt; 0, Tableau1[[#This Row],[F&amp;S crashes tronçon ]]/Tableau1[[#This Row],[F Crashes trancon]], 1)</f>
        <v>1.3</v>
      </c>
      <c r="AC21" s="23">
        <f>(Tableau1[[#This Row],[F&amp;S crashes tronçon ]]/Tableau1[[#This Row],[BILLION VEH KM TRAVELLED]])</f>
        <v>350.58310060009035</v>
      </c>
      <c r="AD21" s="26" t="s">
        <v>144</v>
      </c>
      <c r="AE21" s="27">
        <f>Tableau1[[#This Row],[F&amp;S crashes tronçon ]]/Tableau1[[#This Row],[LENTGH SECTION(KM)]]</f>
        <v>0.35714426332782107</v>
      </c>
      <c r="AF21" s="8" t="s">
        <v>144</v>
      </c>
      <c r="AG21" s="8">
        <v>0.9</v>
      </c>
      <c r="AH21" s="8" t="s">
        <v>212</v>
      </c>
      <c r="AI21" s="8" t="s">
        <v>212</v>
      </c>
      <c r="AJ21" s="8" t="s">
        <v>212</v>
      </c>
      <c r="AK21" s="8" t="s">
        <v>211</v>
      </c>
      <c r="AL21" s="8">
        <v>1</v>
      </c>
      <c r="AM21" s="8">
        <v>0</v>
      </c>
      <c r="AN21" s="8">
        <v>7298</v>
      </c>
      <c r="AO21" s="8">
        <v>13610</v>
      </c>
      <c r="AP21" s="8">
        <v>0</v>
      </c>
      <c r="AQ21" s="8">
        <v>0</v>
      </c>
      <c r="AR21" s="8">
        <v>91</v>
      </c>
      <c r="AS21" s="8">
        <v>80</v>
      </c>
      <c r="AT21" s="8">
        <v>43</v>
      </c>
      <c r="AU21" s="8">
        <v>310</v>
      </c>
      <c r="AV21" s="44">
        <f>IF(Tableau1[[#This Row],[Moyenne Journalière Infrations 2016]]&gt;0, Tableau1[[#This Row],[Moyenne Journalière Infrations 2016]]-Tableau1[[#This Row],[Moyenne Journalière Infrations 2017]],0)</f>
        <v>48</v>
      </c>
      <c r="AW21" s="44">
        <f>IF(Tableau1[[#This Row],[Moyenne Journalière Infrations 2015]]&gt;0, Tableau1[[#This Row],[Moyenne Journalière Infrations 2015]]-Tableau1[[#This Row],[Moyenne Journalière Infrations 2016]],0)</f>
        <v>0</v>
      </c>
    </row>
    <row r="22" spans="1:49" ht="28.8" x14ac:dyDescent="0.3">
      <c r="A22" s="28">
        <f t="shared" si="0"/>
        <v>21</v>
      </c>
      <c r="B22" s="8" t="s">
        <v>114</v>
      </c>
      <c r="C22" s="11" t="s">
        <v>55</v>
      </c>
      <c r="D22" s="8" t="s">
        <v>53</v>
      </c>
      <c r="E22" s="8" t="s">
        <v>56</v>
      </c>
      <c r="F22" s="8">
        <v>29.2</v>
      </c>
      <c r="G22" s="30" t="s">
        <v>133</v>
      </c>
      <c r="H22" s="8">
        <v>2</v>
      </c>
      <c r="I22" s="8">
        <v>0</v>
      </c>
      <c r="J22" s="8">
        <f>Tableau1[[#This Row],[F crashes]]+Tableau1[[#This Row],[S crashes]]</f>
        <v>2</v>
      </c>
      <c r="K22" s="12">
        <f>IF(Tableau1[[#This Row],[F crashes]] &lt;&gt; 0, Tableau1[[#This Row],[F &amp; S crashes]]/Tableau1[[#This Row],[F crashes]], 1)</f>
        <v>1</v>
      </c>
      <c r="L22" s="8">
        <v>2791</v>
      </c>
      <c r="M22" s="8">
        <v>101592</v>
      </c>
      <c r="N22" s="8">
        <f>(Tableau1[[#This Row],[VEHIC KM / JOUR]]*365)/1000000000</f>
        <v>3.7081080000000002E-2</v>
      </c>
      <c r="O22" s="23">
        <f>(Tableau1[[#This Row],[F &amp; S crashes]]/Tableau1[[#This Row],[BILLION VEH KM TRAVELLED]])</f>
        <v>53.935861630783137</v>
      </c>
      <c r="P22" s="11" t="s">
        <v>144</v>
      </c>
      <c r="Q22" s="11">
        <f>Tableau1[[#This Row],[F &amp; S crashes]]/2</f>
        <v>1</v>
      </c>
      <c r="R22" s="8" t="s">
        <v>144</v>
      </c>
      <c r="S22" s="23">
        <f>Tableau1[[#This Row],[VEHIC KM / JOUR]]/Tableau1[[#This Row],[TMJA (vehi/jour)]]</f>
        <v>36.399856682192762</v>
      </c>
      <c r="T22" s="8">
        <v>1</v>
      </c>
      <c r="U22" s="8">
        <v>1</v>
      </c>
      <c r="V22" s="8">
        <v>60</v>
      </c>
      <c r="W22" s="8">
        <v>16.100000000000001</v>
      </c>
      <c r="X22" s="8">
        <v>52.5</v>
      </c>
      <c r="Y22" s="8">
        <v>10</v>
      </c>
      <c r="Z22" s="8">
        <v>3</v>
      </c>
      <c r="AA22" s="8">
        <f>Tableau1[[#This Row],[F Crashes trancon]]+Tableau1[[#This Row],[S crashes trancon]]</f>
        <v>13</v>
      </c>
      <c r="AB22" s="24">
        <f>IF(Tableau1[[#This Row],[F Crashes trancon]]&lt;&gt; 0, Tableau1[[#This Row],[F&amp;S crashes tronçon ]]/Tableau1[[#This Row],[F Crashes trancon]], 1)</f>
        <v>1.3</v>
      </c>
      <c r="AC22" s="23">
        <f>(Tableau1[[#This Row],[F&amp;S crashes tronçon ]]/Tableau1[[#This Row],[BILLION VEH KM TRAVELLED]])</f>
        <v>350.58310060009035</v>
      </c>
      <c r="AD22" s="26" t="s">
        <v>144</v>
      </c>
      <c r="AE22" s="27">
        <f>Tableau1[[#This Row],[F&amp;S crashes tronçon ]]/Tableau1[[#This Row],[LENTGH SECTION(KM)]]</f>
        <v>0.35714426332782107</v>
      </c>
      <c r="AF22" s="8" t="s">
        <v>144</v>
      </c>
      <c r="AG22" s="8">
        <v>0.9</v>
      </c>
      <c r="AH22" s="8" t="s">
        <v>212</v>
      </c>
      <c r="AI22" s="8" t="s">
        <v>212</v>
      </c>
      <c r="AJ22" s="8" t="s">
        <v>212</v>
      </c>
      <c r="AK22" s="8" t="s">
        <v>211</v>
      </c>
      <c r="AL22" s="8">
        <v>1</v>
      </c>
      <c r="AM22" s="8">
        <v>0</v>
      </c>
      <c r="AN22" s="8">
        <v>6490</v>
      </c>
      <c r="AO22" s="8">
        <v>8884</v>
      </c>
      <c r="AP22" s="8">
        <v>0</v>
      </c>
      <c r="AQ22" s="8">
        <v>0</v>
      </c>
      <c r="AR22" s="8">
        <v>74</v>
      </c>
      <c r="AS22" s="8">
        <v>87</v>
      </c>
      <c r="AT22" s="8">
        <v>29</v>
      </c>
      <c r="AU22" s="8">
        <v>301</v>
      </c>
      <c r="AV22" s="44">
        <f>IF(Tableau1[[#This Row],[Moyenne Journalière Infrations 2016]]&gt;0, Tableau1[[#This Row],[Moyenne Journalière Infrations 2016]]-Tableau1[[#This Row],[Moyenne Journalière Infrations 2017]],0)</f>
        <v>45</v>
      </c>
      <c r="AW22" s="44">
        <f>IF(Tableau1[[#This Row],[Moyenne Journalière Infrations 2015]]&gt;0, Tableau1[[#This Row],[Moyenne Journalière Infrations 2015]]-Tableau1[[#This Row],[Moyenne Journalière Infrations 2016]],0)</f>
        <v>0</v>
      </c>
    </row>
    <row r="23" spans="1:49" x14ac:dyDescent="0.3">
      <c r="A23" s="28">
        <f t="shared" si="0"/>
        <v>22</v>
      </c>
      <c r="B23" s="8" t="s">
        <v>124</v>
      </c>
      <c r="C23" s="11" t="s">
        <v>84</v>
      </c>
      <c r="D23" s="8" t="s">
        <v>85</v>
      </c>
      <c r="E23" s="8" t="s">
        <v>86</v>
      </c>
      <c r="F23" s="8">
        <v>87.9</v>
      </c>
      <c r="G23" s="30" t="s">
        <v>133</v>
      </c>
      <c r="H23" s="8">
        <v>0</v>
      </c>
      <c r="I23" s="8">
        <v>0</v>
      </c>
      <c r="J23" s="8">
        <f>Tableau1[[#This Row],[F crashes]]+Tableau1[[#This Row],[S crashes]]</f>
        <v>0</v>
      </c>
      <c r="K23" s="12">
        <f>IF(Tableau1[[#This Row],[F crashes]] &lt;&gt; 0, Tableau1[[#This Row],[F &amp; S crashes]]/Tableau1[[#This Row],[F crashes]], 1)</f>
        <v>1</v>
      </c>
      <c r="L23" s="8">
        <v>1325</v>
      </c>
      <c r="M23" s="8">
        <v>49688</v>
      </c>
      <c r="N23" s="8">
        <f>(Tableau1[[#This Row],[VEHIC KM / JOUR]]*365)/1000000000</f>
        <v>1.8136119999999999E-2</v>
      </c>
      <c r="O23" s="8">
        <f>(Tableau1[[#This Row],[F &amp; S crashes]]/Tableau1[[#This Row],[BILLION VEH KM TRAVELLED]])</f>
        <v>0</v>
      </c>
      <c r="P23" s="11" t="s">
        <v>143</v>
      </c>
      <c r="Q23" s="11">
        <f>Tableau1[[#This Row],[F &amp; S crashes]]/2</f>
        <v>0</v>
      </c>
      <c r="R23" s="11" t="s">
        <v>143</v>
      </c>
      <c r="S23" s="23">
        <f>Tableau1[[#This Row],[VEHIC KM / JOUR]]/Tableau1[[#This Row],[TMJA (vehi/jour)]]</f>
        <v>37.500377358490567</v>
      </c>
      <c r="T23" s="8">
        <v>1</v>
      </c>
      <c r="U23" s="8">
        <v>1</v>
      </c>
      <c r="V23" s="8">
        <v>60</v>
      </c>
      <c r="W23" s="8">
        <v>52.5</v>
      </c>
      <c r="X23" s="8">
        <v>90</v>
      </c>
      <c r="Y23" s="8">
        <v>1</v>
      </c>
      <c r="Z23" s="8">
        <v>2</v>
      </c>
      <c r="AA23" s="8">
        <f>Tableau1[[#This Row],[F Crashes trancon]]+Tableau1[[#This Row],[S crashes trancon]]</f>
        <v>3</v>
      </c>
      <c r="AB23" s="24">
        <f>IF(Tableau1[[#This Row],[F Crashes trancon]]&lt;&gt; 0, Tableau1[[#This Row],[F&amp;S crashes tronçon ]]/Tableau1[[#This Row],[F Crashes trancon]], 1)</f>
        <v>3</v>
      </c>
      <c r="AC23" s="23">
        <f>(Tableau1[[#This Row],[F&amp;S crashes tronçon ]]/Tableau1[[#This Row],[BILLION VEH KM TRAVELLED]])</f>
        <v>165.41575596103246</v>
      </c>
      <c r="AD23" s="26" t="s">
        <v>144</v>
      </c>
      <c r="AE23" s="27">
        <f>Tableau1[[#This Row],[F&amp;S crashes tronçon ]]/Tableau1[[#This Row],[LENTGH SECTION(KM)]]</f>
        <v>7.9999194976654323E-2</v>
      </c>
      <c r="AF23" s="8" t="s">
        <v>143</v>
      </c>
      <c r="AG23" s="8">
        <v>5.5</v>
      </c>
      <c r="AH23" s="8" t="s">
        <v>212</v>
      </c>
      <c r="AI23" s="8" t="s">
        <v>212</v>
      </c>
      <c r="AJ23" s="8" t="s">
        <v>212</v>
      </c>
      <c r="AK23" s="8" t="s">
        <v>212</v>
      </c>
      <c r="AL23" s="8">
        <v>4.6500000000000004</v>
      </c>
      <c r="AM23" s="8">
        <v>0</v>
      </c>
      <c r="AN23" s="8">
        <v>15250</v>
      </c>
      <c r="AO23" s="8">
        <v>13296</v>
      </c>
      <c r="AP23" s="8">
        <v>0</v>
      </c>
      <c r="AQ23" s="8">
        <v>0</v>
      </c>
      <c r="AR23" s="8">
        <v>76</v>
      </c>
      <c r="AS23" s="8">
        <v>200</v>
      </c>
      <c r="AT23" s="8">
        <v>42</v>
      </c>
      <c r="AU23" s="8">
        <v>313</v>
      </c>
      <c r="AV23" s="44">
        <f>IF(Tableau1[[#This Row],[Moyenne Journalière Infrations 2016]]&gt;0, Tableau1[[#This Row],[Moyenne Journalière Infrations 2016]]-Tableau1[[#This Row],[Moyenne Journalière Infrations 2017]],0)</f>
        <v>34</v>
      </c>
      <c r="AW23" s="44">
        <f>IF(Tableau1[[#This Row],[Moyenne Journalière Infrations 2015]]&gt;0, Tableau1[[#This Row],[Moyenne Journalière Infrations 2015]]-Tableau1[[#This Row],[Moyenne Journalière Infrations 2016]],0)</f>
        <v>0</v>
      </c>
    </row>
    <row r="24" spans="1:49" x14ac:dyDescent="0.3">
      <c r="A24" s="28">
        <f t="shared" si="0"/>
        <v>23</v>
      </c>
      <c r="B24" s="8" t="s">
        <v>125</v>
      </c>
      <c r="C24" s="11" t="s">
        <v>87</v>
      </c>
      <c r="D24" s="8" t="s">
        <v>88</v>
      </c>
      <c r="E24" s="8" t="s">
        <v>89</v>
      </c>
      <c r="F24" s="8">
        <v>129.69999999999999</v>
      </c>
      <c r="G24" s="30" t="s">
        <v>133</v>
      </c>
      <c r="H24" s="8">
        <v>0</v>
      </c>
      <c r="I24" s="8">
        <v>0</v>
      </c>
      <c r="J24" s="8">
        <f>Tableau1[[#This Row],[F crashes]]+Tableau1[[#This Row],[S crashes]]</f>
        <v>0</v>
      </c>
      <c r="K24" s="12">
        <f>IF(Tableau1[[#This Row],[F crashes]] &lt;&gt; 0, Tableau1[[#This Row],[F &amp; S crashes]]/Tableau1[[#This Row],[F crashes]], 1)</f>
        <v>1</v>
      </c>
      <c r="L24" s="8">
        <v>1711</v>
      </c>
      <c r="M24" s="8">
        <v>74429</v>
      </c>
      <c r="N24" s="8">
        <f>(Tableau1[[#This Row],[VEHIC KM / JOUR]]*365)/1000000000</f>
        <v>2.7166585E-2</v>
      </c>
      <c r="O24" s="8">
        <f>(Tableau1[[#This Row],[F &amp; S crashes]]/Tableau1[[#This Row],[BILLION VEH KM TRAVELLED]])</f>
        <v>0</v>
      </c>
      <c r="P24" s="11" t="s">
        <v>143</v>
      </c>
      <c r="Q24" s="11">
        <f>Tableau1[[#This Row],[F &amp; S crashes]]/2</f>
        <v>0</v>
      </c>
      <c r="R24" s="11" t="s">
        <v>143</v>
      </c>
      <c r="S24" s="23">
        <f>Tableau1[[#This Row],[VEHIC KM / JOUR]]/Tableau1[[#This Row],[TMJA (vehi/jour)]]</f>
        <v>43.500292226767975</v>
      </c>
      <c r="T24" s="8">
        <v>1</v>
      </c>
      <c r="U24" s="8">
        <v>1</v>
      </c>
      <c r="V24" s="8">
        <v>60</v>
      </c>
      <c r="W24" s="8">
        <v>114</v>
      </c>
      <c r="X24" s="8">
        <v>157.5</v>
      </c>
      <c r="Y24" s="8">
        <v>3</v>
      </c>
      <c r="Z24" s="8">
        <v>0</v>
      </c>
      <c r="AA24" s="8">
        <f>Tableau1[[#This Row],[F Crashes trancon]]+Tableau1[[#This Row],[S crashes trancon]]</f>
        <v>3</v>
      </c>
      <c r="AB24" s="24">
        <f>IF(Tableau1[[#This Row],[F Crashes trancon]]&lt;&gt; 0, Tableau1[[#This Row],[F&amp;S crashes tronçon ]]/Tableau1[[#This Row],[F Crashes trancon]], 1)</f>
        <v>1</v>
      </c>
      <c r="AC24" s="23">
        <f>(Tableau1[[#This Row],[F&amp;S crashes tronçon ]]/Tableau1[[#This Row],[BILLION VEH KM TRAVELLED]])</f>
        <v>110.4297798195835</v>
      </c>
      <c r="AD24" s="26" t="s">
        <v>144</v>
      </c>
      <c r="AE24" s="27">
        <f>Tableau1[[#This Row],[F&amp;S crashes tronçon ]]/Tableau1[[#This Row],[LENTGH SECTION(KM)]]</f>
        <v>6.8965053944027188E-2</v>
      </c>
      <c r="AF24" s="8" t="s">
        <v>147</v>
      </c>
      <c r="AG24" s="8">
        <v>1.65</v>
      </c>
      <c r="AH24" s="8" t="s">
        <v>212</v>
      </c>
      <c r="AI24" s="8" t="s">
        <v>212</v>
      </c>
      <c r="AJ24" s="8" t="s">
        <v>212</v>
      </c>
      <c r="AK24" s="8" t="s">
        <v>211</v>
      </c>
      <c r="AL24" s="8">
        <v>1.8</v>
      </c>
      <c r="AM24" s="8">
        <v>0</v>
      </c>
      <c r="AN24" s="8">
        <v>1785</v>
      </c>
      <c r="AO24" s="8">
        <v>25131</v>
      </c>
      <c r="AP24" s="8">
        <v>0</v>
      </c>
      <c r="AQ24" s="8">
        <v>0</v>
      </c>
      <c r="AR24" s="8">
        <v>119</v>
      </c>
      <c r="AS24" s="8">
        <v>15</v>
      </c>
      <c r="AT24" s="8">
        <v>84</v>
      </c>
      <c r="AU24" s="8">
        <v>298</v>
      </c>
      <c r="AV24" s="44">
        <f>IF(Tableau1[[#This Row],[Moyenne Journalière Infrations 2016]]&gt;0, Tableau1[[#This Row],[Moyenne Journalière Infrations 2016]]-Tableau1[[#This Row],[Moyenne Journalière Infrations 2017]],0)</f>
        <v>35</v>
      </c>
      <c r="AW24" s="44">
        <f>IF(Tableau1[[#This Row],[Moyenne Journalière Infrations 2015]]&gt;0, Tableau1[[#This Row],[Moyenne Journalière Infrations 2015]]-Tableau1[[#This Row],[Moyenne Journalière Infrations 2016]],0)</f>
        <v>0</v>
      </c>
    </row>
    <row r="25" spans="1:49" x14ac:dyDescent="0.3">
      <c r="A25" s="28">
        <f t="shared" si="0"/>
        <v>24</v>
      </c>
      <c r="B25" s="8" t="s">
        <v>119</v>
      </c>
      <c r="C25" s="11" t="s">
        <v>69</v>
      </c>
      <c r="D25" s="8" t="s">
        <v>70</v>
      </c>
      <c r="E25" s="8" t="s">
        <v>71</v>
      </c>
      <c r="F25" s="8">
        <v>173.1</v>
      </c>
      <c r="G25" s="30" t="s">
        <v>133</v>
      </c>
      <c r="H25" s="8">
        <v>1</v>
      </c>
      <c r="I25" s="8">
        <v>0</v>
      </c>
      <c r="J25" s="8">
        <f>Tableau1[[#This Row],[F crashes]]+Tableau1[[#This Row],[S crashes]]</f>
        <v>1</v>
      </c>
      <c r="K25" s="12">
        <f>IF(Tableau1[[#This Row],[F crashes]] &lt;&gt; 0, Tableau1[[#This Row],[F &amp; S crashes]]/Tableau1[[#This Row],[F crashes]], 1)</f>
        <v>1</v>
      </c>
      <c r="L25" s="8">
        <v>4236</v>
      </c>
      <c r="M25" s="8">
        <v>78366</v>
      </c>
      <c r="N25" s="8">
        <f>(Tableau1[[#This Row],[VEHIC KM / JOUR]]*365)/1000000000</f>
        <v>2.8603590000000002E-2</v>
      </c>
      <c r="O25" s="23">
        <f>(Tableau1[[#This Row],[F &amp; S crashes]]/Tableau1[[#This Row],[BILLION VEH KM TRAVELLED]])</f>
        <v>34.960646548212999</v>
      </c>
      <c r="P25" s="11" t="s">
        <v>144</v>
      </c>
      <c r="Q25" s="11">
        <f>Tableau1[[#This Row],[F &amp; S crashes]]/2</f>
        <v>0.5</v>
      </c>
      <c r="R25" s="8" t="s">
        <v>144</v>
      </c>
      <c r="S25" s="23">
        <f>Tableau1[[#This Row],[VEHIC KM / JOUR]]/Tableau1[[#This Row],[TMJA (vehi/jour)]]</f>
        <v>18.5</v>
      </c>
      <c r="T25" s="8">
        <v>1</v>
      </c>
      <c r="U25" s="8">
        <v>1</v>
      </c>
      <c r="V25" s="8">
        <v>80</v>
      </c>
      <c r="W25" s="8">
        <v>157.5</v>
      </c>
      <c r="X25" s="8">
        <v>176</v>
      </c>
      <c r="Y25" s="8">
        <v>1</v>
      </c>
      <c r="Z25" s="8">
        <v>0</v>
      </c>
      <c r="AA25" s="8">
        <f>Tableau1[[#This Row],[F Crashes trancon]]+Tableau1[[#This Row],[S crashes trancon]]</f>
        <v>1</v>
      </c>
      <c r="AB25" s="24">
        <f>IF(Tableau1[[#This Row],[F Crashes trancon]]&lt;&gt; 0, Tableau1[[#This Row],[F&amp;S crashes tronçon ]]/Tableau1[[#This Row],[F Crashes trancon]], 1)</f>
        <v>1</v>
      </c>
      <c r="AC25" s="23">
        <f>(Tableau1[[#This Row],[F&amp;S crashes tronçon ]]/Tableau1[[#This Row],[BILLION VEH KM TRAVELLED]])</f>
        <v>34.960646548212999</v>
      </c>
      <c r="AD25" s="26" t="s">
        <v>144</v>
      </c>
      <c r="AE25" s="27">
        <f>Tableau1[[#This Row],[F&amp;S crashes tronçon ]]/Tableau1[[#This Row],[LENTGH SECTION(KM)]]</f>
        <v>5.4054054054054057E-2</v>
      </c>
      <c r="AF25" s="8" t="s">
        <v>147</v>
      </c>
      <c r="AG25" s="8">
        <v>2.89</v>
      </c>
      <c r="AH25" s="8" t="s">
        <v>212</v>
      </c>
      <c r="AI25" s="8" t="s">
        <v>212</v>
      </c>
      <c r="AJ25" s="8" t="s">
        <v>212</v>
      </c>
      <c r="AK25" s="8" t="s">
        <v>211</v>
      </c>
      <c r="AL25" s="8">
        <v>1</v>
      </c>
      <c r="AM25" s="8">
        <v>0</v>
      </c>
      <c r="AN25" s="8">
        <v>6162</v>
      </c>
      <c r="AO25" s="8">
        <v>14092</v>
      </c>
      <c r="AP25" s="8">
        <v>0</v>
      </c>
      <c r="AQ25" s="8">
        <v>0</v>
      </c>
      <c r="AR25" s="8">
        <v>62</v>
      </c>
      <c r="AS25" s="8">
        <v>99</v>
      </c>
      <c r="AT25" s="8">
        <v>42</v>
      </c>
      <c r="AU25" s="8">
        <v>332</v>
      </c>
      <c r="AV25" s="44">
        <f>IF(Tableau1[[#This Row],[Moyenne Journalière Infrations 2016]]&gt;0, Tableau1[[#This Row],[Moyenne Journalière Infrations 2016]]-Tableau1[[#This Row],[Moyenne Journalière Infrations 2017]],0)</f>
        <v>20</v>
      </c>
      <c r="AW25" s="44">
        <f>IF(Tableau1[[#This Row],[Moyenne Journalière Infrations 2015]]&gt;0, Tableau1[[#This Row],[Moyenne Journalière Infrations 2015]]-Tableau1[[#This Row],[Moyenne Journalière Infrations 2016]],0)</f>
        <v>0</v>
      </c>
    </row>
    <row r="26" spans="1:49" ht="28.8" x14ac:dyDescent="0.3">
      <c r="A26" s="28">
        <f t="shared" si="0"/>
        <v>25</v>
      </c>
      <c r="B26" s="8" t="s">
        <v>97</v>
      </c>
      <c r="C26" s="11" t="s">
        <v>11</v>
      </c>
      <c r="D26" s="8" t="s">
        <v>12</v>
      </c>
      <c r="E26" s="8" t="s">
        <v>13</v>
      </c>
      <c r="F26" s="8">
        <v>224.2</v>
      </c>
      <c r="G26" s="30" t="s">
        <v>133</v>
      </c>
      <c r="H26" s="8">
        <v>0</v>
      </c>
      <c r="I26" s="8">
        <v>15</v>
      </c>
      <c r="J26" s="8">
        <f>Tableau1[[#This Row],[F crashes]]+Tableau1[[#This Row],[S crashes]]</f>
        <v>15</v>
      </c>
      <c r="K26" s="12">
        <f>IF(Tableau1[[#This Row],[F crashes]] &lt;&gt; 0, Tableau1[[#This Row],[F &amp; S crashes]]/Tableau1[[#This Row],[F crashes]], 1)</f>
        <v>1</v>
      </c>
      <c r="L26" s="8">
        <v>11017</v>
      </c>
      <c r="M26" s="8">
        <v>126696</v>
      </c>
      <c r="N26" s="8">
        <f>(Tableau1[[#This Row],[VEHIC KM / JOUR]]*365)/1000000000</f>
        <v>4.624404E-2</v>
      </c>
      <c r="O26" s="23">
        <f>(Tableau1[[#This Row],[F &amp; S crashes]]/Tableau1[[#This Row],[BILLION VEH KM TRAVELLED]])</f>
        <v>324.36612372102439</v>
      </c>
      <c r="P26" s="11" t="s">
        <v>144</v>
      </c>
      <c r="Q26" s="11">
        <f>Tableau1[[#This Row],[F &amp; S crashes]]/2</f>
        <v>7.5</v>
      </c>
      <c r="R26" s="8" t="s">
        <v>144</v>
      </c>
      <c r="S26" s="23">
        <f>Tableau1[[#This Row],[VEHIC KM / JOUR]]/Tableau1[[#This Row],[TMJA (vehi/jour)]]</f>
        <v>11.500045384405919</v>
      </c>
      <c r="T26" s="8">
        <v>1</v>
      </c>
      <c r="U26" s="8">
        <v>1</v>
      </c>
      <c r="V26" s="8">
        <v>80</v>
      </c>
      <c r="W26" s="8">
        <v>224</v>
      </c>
      <c r="X26" s="8">
        <v>235.5</v>
      </c>
      <c r="Y26" s="8">
        <v>6</v>
      </c>
      <c r="Z26" s="8">
        <v>32</v>
      </c>
      <c r="AA26" s="8">
        <f>Tableau1[[#This Row],[F Crashes trancon]]+Tableau1[[#This Row],[S crashes trancon]]</f>
        <v>38</v>
      </c>
      <c r="AB26" s="24">
        <f>IF(Tableau1[[#This Row],[F Crashes trancon]]&lt;&gt; 0, Tableau1[[#This Row],[F&amp;S crashes tronçon ]]/Tableau1[[#This Row],[F Crashes trancon]], 1)</f>
        <v>6.333333333333333</v>
      </c>
      <c r="AC26" s="23">
        <f>(Tableau1[[#This Row],[F&amp;S crashes tronçon ]]/Tableau1[[#This Row],[BILLION VEH KM TRAVELLED]])</f>
        <v>821.72751342659512</v>
      </c>
      <c r="AD26" s="26" t="s">
        <v>144</v>
      </c>
      <c r="AE26" s="27">
        <f>Tableau1[[#This Row],[F&amp;S crashes tronçon ]]/Tableau1[[#This Row],[LENTGH SECTION(KM)]]</f>
        <v>3.304334785628591</v>
      </c>
      <c r="AF26" s="8" t="s">
        <v>144</v>
      </c>
      <c r="AG26" s="8">
        <v>2.25</v>
      </c>
      <c r="AH26" s="8" t="s">
        <v>212</v>
      </c>
      <c r="AI26" s="8" t="s">
        <v>212</v>
      </c>
      <c r="AJ26" s="8" t="s">
        <v>212</v>
      </c>
      <c r="AK26" s="8" t="s">
        <v>211</v>
      </c>
      <c r="AL26" s="8">
        <v>3.5</v>
      </c>
      <c r="AM26" s="8">
        <v>0</v>
      </c>
      <c r="AN26" s="8">
        <v>6374</v>
      </c>
      <c r="AO26" s="8">
        <v>7631</v>
      </c>
      <c r="AP26" s="8">
        <v>0</v>
      </c>
      <c r="AQ26" s="8">
        <v>0</v>
      </c>
      <c r="AR26" s="8">
        <v>31</v>
      </c>
      <c r="AS26" s="8">
        <v>200</v>
      </c>
      <c r="AT26" s="8">
        <v>21</v>
      </c>
      <c r="AU26" s="8">
        <v>351</v>
      </c>
      <c r="AV26" s="44">
        <f>IF(Tableau1[[#This Row],[Moyenne Journalière Infrations 2016]]&gt;0, Tableau1[[#This Row],[Moyenne Journalière Infrations 2016]]-Tableau1[[#This Row],[Moyenne Journalière Infrations 2017]],0)</f>
        <v>10</v>
      </c>
      <c r="AW26" s="44">
        <f>IF(Tableau1[[#This Row],[Moyenne Journalière Infrations 2015]]&gt;0, Tableau1[[#This Row],[Moyenne Journalière Infrations 2015]]-Tableau1[[#This Row],[Moyenne Journalière Infrations 2016]],0)</f>
        <v>0</v>
      </c>
    </row>
    <row r="27" spans="1:49" ht="28.8" x14ac:dyDescent="0.3">
      <c r="A27" s="28">
        <f t="shared" si="0"/>
        <v>26</v>
      </c>
      <c r="B27" s="8" t="s">
        <v>98</v>
      </c>
      <c r="C27" s="11" t="s">
        <v>14</v>
      </c>
      <c r="D27" s="8" t="s">
        <v>15</v>
      </c>
      <c r="E27" s="8" t="s">
        <v>16</v>
      </c>
      <c r="F27" s="8">
        <v>262.60000000000002</v>
      </c>
      <c r="G27" s="30" t="s">
        <v>133</v>
      </c>
      <c r="H27" s="8">
        <v>0</v>
      </c>
      <c r="I27" s="8">
        <v>2</v>
      </c>
      <c r="J27" s="8">
        <f>Tableau1[[#This Row],[F crashes]]+Tableau1[[#This Row],[S crashes]]</f>
        <v>2</v>
      </c>
      <c r="K27" s="12">
        <f>IF(Tableau1[[#This Row],[F crashes]] &lt;&gt; 0, Tableau1[[#This Row],[F &amp; S crashes]]/Tableau1[[#This Row],[F crashes]], 1)</f>
        <v>1</v>
      </c>
      <c r="L27" s="8">
        <v>14163</v>
      </c>
      <c r="M27" s="8">
        <v>678408</v>
      </c>
      <c r="N27" s="8">
        <f>(Tableau1[[#This Row],[VEHIC KM / JOUR]]*365)/1000000000</f>
        <v>0.24761891999999999</v>
      </c>
      <c r="O27" s="23">
        <f>(Tableau1[[#This Row],[F &amp; S crashes]]/Tableau1[[#This Row],[BILLION VEH KM TRAVELLED]])</f>
        <v>8.0769272396471159</v>
      </c>
      <c r="P27" s="11" t="s">
        <v>147</v>
      </c>
      <c r="Q27" s="11">
        <f>Tableau1[[#This Row],[F &amp; S crashes]]/2</f>
        <v>1</v>
      </c>
      <c r="R27" s="8" t="s">
        <v>144</v>
      </c>
      <c r="S27" s="23">
        <f>Tableau1[[#This Row],[VEHIC KM / JOUR]]/Tableau1[[#This Row],[TMJA (vehi/jour)]]</f>
        <v>47.90002118195298</v>
      </c>
      <c r="T27" s="8">
        <v>1</v>
      </c>
      <c r="U27" s="8">
        <v>2</v>
      </c>
      <c r="V27" s="8">
        <v>60</v>
      </c>
      <c r="W27" s="8">
        <v>249.1</v>
      </c>
      <c r="X27" s="8">
        <v>297</v>
      </c>
      <c r="Y27" s="8">
        <v>9</v>
      </c>
      <c r="Z27" s="8">
        <v>17</v>
      </c>
      <c r="AA27" s="8">
        <f>Tableau1[[#This Row],[F Crashes trancon]]+Tableau1[[#This Row],[S crashes trancon]]</f>
        <v>26</v>
      </c>
      <c r="AB27" s="24">
        <f>IF(Tableau1[[#This Row],[F Crashes trancon]]&lt;&gt; 0, Tableau1[[#This Row],[F&amp;S crashes tronçon ]]/Tableau1[[#This Row],[F Crashes trancon]], 1)</f>
        <v>2.8888888888888888</v>
      </c>
      <c r="AC27" s="23">
        <f>(Tableau1[[#This Row],[F&amp;S crashes tronçon ]]/Tableau1[[#This Row],[BILLION VEH KM TRAVELLED]])</f>
        <v>105.00005411541251</v>
      </c>
      <c r="AD27" s="26" t="s">
        <v>144</v>
      </c>
      <c r="AE27" s="27">
        <f>Tableau1[[#This Row],[F&amp;S crashes tronçon ]]/Tableau1[[#This Row],[LENTGH SECTION(KM)]]</f>
        <v>0.54279725474935436</v>
      </c>
      <c r="AF27" s="8" t="s">
        <v>144</v>
      </c>
      <c r="AG27" s="8">
        <v>1.87</v>
      </c>
      <c r="AH27" s="8" t="s">
        <v>212</v>
      </c>
      <c r="AI27" s="8" t="s">
        <v>212</v>
      </c>
      <c r="AJ27" s="8" t="s">
        <v>212</v>
      </c>
      <c r="AK27" s="8" t="s">
        <v>211</v>
      </c>
      <c r="AL27" s="8">
        <v>8</v>
      </c>
      <c r="AM27" s="8">
        <v>0</v>
      </c>
      <c r="AN27" s="8">
        <v>5955</v>
      </c>
      <c r="AO27" s="8">
        <v>148</v>
      </c>
      <c r="AP27" s="8">
        <v>0</v>
      </c>
      <c r="AQ27" s="8">
        <v>0</v>
      </c>
      <c r="AR27" s="8">
        <v>39</v>
      </c>
      <c r="AS27" s="8">
        <v>149</v>
      </c>
      <c r="AT27" s="8">
        <v>1</v>
      </c>
      <c r="AU27" s="8">
        <v>115</v>
      </c>
      <c r="AV27" s="44">
        <f>IF(Tableau1[[#This Row],[Moyenne Journalière Infrations 2016]]&gt;0, Tableau1[[#This Row],[Moyenne Journalière Infrations 2016]]-Tableau1[[#This Row],[Moyenne Journalière Infrations 2017]],0)</f>
        <v>38</v>
      </c>
      <c r="AW27" s="44">
        <f>IF(Tableau1[[#This Row],[Moyenne Journalière Infrations 2015]]&gt;0, Tableau1[[#This Row],[Moyenne Journalière Infrations 2015]]-Tableau1[[#This Row],[Moyenne Journalière Infrations 2016]],0)</f>
        <v>0</v>
      </c>
    </row>
    <row r="28" spans="1:49" x14ac:dyDescent="0.3">
      <c r="A28" s="28">
        <f t="shared" si="0"/>
        <v>27</v>
      </c>
      <c r="B28" s="8" t="s">
        <v>95</v>
      </c>
      <c r="C28" s="11" t="s">
        <v>6</v>
      </c>
      <c r="D28" s="8" t="s">
        <v>7</v>
      </c>
      <c r="E28" s="8" t="s">
        <v>8</v>
      </c>
      <c r="F28" s="8">
        <v>34</v>
      </c>
      <c r="G28" s="31" t="s">
        <v>132</v>
      </c>
      <c r="H28" s="8">
        <v>2</v>
      </c>
      <c r="I28" s="8">
        <v>2</v>
      </c>
      <c r="J28" s="8">
        <f>Tableau1[[#This Row],[F crashes]]+Tableau1[[#This Row],[S crashes]]</f>
        <v>4</v>
      </c>
      <c r="K28" s="12">
        <f>IF(Tableau1[[#This Row],[F crashes]] &lt;&gt; 0, Tableau1[[#This Row],[F &amp; S crashes]]/Tableau1[[#This Row],[F crashes]], 1)</f>
        <v>2</v>
      </c>
      <c r="L28" s="8">
        <v>18701</v>
      </c>
      <c r="M28" s="8">
        <v>224412</v>
      </c>
      <c r="N28" s="8">
        <f>(Tableau1[[#This Row],[VEHIC KM / JOUR]]*365)/1000000000</f>
        <v>8.1910380000000005E-2</v>
      </c>
      <c r="O28" s="23">
        <f>(Tableau1[[#This Row],[F &amp; S crashes]]/Tableau1[[#This Row],[BILLION VEH KM TRAVELLED]])</f>
        <v>48.833859640255604</v>
      </c>
      <c r="P28" s="11" t="s">
        <v>144</v>
      </c>
      <c r="Q28" s="11">
        <f>Tableau1[[#This Row],[F &amp; S crashes]]/2</f>
        <v>2</v>
      </c>
      <c r="R28" s="8" t="s">
        <v>144</v>
      </c>
      <c r="S28" s="23">
        <f>Tableau1[[#This Row],[VEHIC KM / JOUR]]/Tableau1[[#This Row],[TMJA (vehi/jour)]]</f>
        <v>12</v>
      </c>
      <c r="T28" s="8">
        <v>0</v>
      </c>
      <c r="U28" s="8">
        <v>1</v>
      </c>
      <c r="V28" s="8">
        <v>60</v>
      </c>
      <c r="W28" s="8">
        <v>31</v>
      </c>
      <c r="X28" s="8">
        <v>43</v>
      </c>
      <c r="Y28" s="8">
        <v>7</v>
      </c>
      <c r="Z28" s="8">
        <v>5</v>
      </c>
      <c r="AA28" s="8">
        <f>Tableau1[[#This Row],[F Crashes trancon]]+Tableau1[[#This Row],[S crashes trancon]]</f>
        <v>12</v>
      </c>
      <c r="AB28" s="24">
        <f>IF(Tableau1[[#This Row],[F Crashes trancon]]&lt;&gt; 0, Tableau1[[#This Row],[F&amp;S crashes tronçon ]]/Tableau1[[#This Row],[F Crashes trancon]], 1)</f>
        <v>1.7142857142857142</v>
      </c>
      <c r="AC28" s="23">
        <f>(Tableau1[[#This Row],[F&amp;S crashes tronçon ]]/Tableau1[[#This Row],[BILLION VEH KM TRAVELLED]])</f>
        <v>146.5015789207668</v>
      </c>
      <c r="AD28" s="26" t="s">
        <v>144</v>
      </c>
      <c r="AE28" s="27">
        <f>Tableau1[[#This Row],[F&amp;S crashes tronçon ]]/Tableau1[[#This Row],[LENTGH SECTION(KM)]]</f>
        <v>1</v>
      </c>
      <c r="AF28" s="8" t="s">
        <v>144</v>
      </c>
      <c r="AG28" s="8">
        <v>1.74</v>
      </c>
      <c r="AH28" s="8" t="s">
        <v>212</v>
      </c>
      <c r="AI28" s="8" t="s">
        <v>212</v>
      </c>
      <c r="AJ28" s="8" t="s">
        <v>212</v>
      </c>
      <c r="AK28" s="8" t="s">
        <v>211</v>
      </c>
      <c r="AL28" s="8">
        <v>1</v>
      </c>
      <c r="AM28" s="8">
        <v>0</v>
      </c>
      <c r="AN28" s="8">
        <v>26461</v>
      </c>
      <c r="AO28" s="8">
        <v>30041</v>
      </c>
      <c r="AP28" s="8">
        <v>0</v>
      </c>
      <c r="AQ28" s="8">
        <v>0</v>
      </c>
      <c r="AR28" s="8">
        <v>140</v>
      </c>
      <c r="AS28" s="8">
        <v>189</v>
      </c>
      <c r="AT28" s="8">
        <v>84</v>
      </c>
      <c r="AU28" s="8">
        <v>357</v>
      </c>
      <c r="AV28" s="44">
        <f>IF(Tableau1[[#This Row],[Moyenne Journalière Infrations 2016]]&gt;0, Tableau1[[#This Row],[Moyenne Journalière Infrations 2016]]-Tableau1[[#This Row],[Moyenne Journalière Infrations 2017]],0)</f>
        <v>56</v>
      </c>
      <c r="AW28" s="44">
        <f>IF(Tableau1[[#This Row],[Moyenne Journalière Infrations 2015]]&gt;0, Tableau1[[#This Row],[Moyenne Journalière Infrations 2015]]-Tableau1[[#This Row],[Moyenne Journalière Infrations 2016]],0)</f>
        <v>0</v>
      </c>
    </row>
    <row r="29" spans="1:49" x14ac:dyDescent="0.3">
      <c r="A29" s="28">
        <f t="shared" si="0"/>
        <v>28</v>
      </c>
      <c r="B29" s="8" t="s">
        <v>96</v>
      </c>
      <c r="C29" s="11" t="s">
        <v>9</v>
      </c>
      <c r="D29" s="8" t="s">
        <v>7</v>
      </c>
      <c r="E29" s="8" t="s">
        <v>10</v>
      </c>
      <c r="F29" s="8">
        <v>34.4</v>
      </c>
      <c r="G29" s="31" t="s">
        <v>132</v>
      </c>
      <c r="H29" s="8">
        <v>2</v>
      </c>
      <c r="I29" s="8">
        <v>2</v>
      </c>
      <c r="J29" s="8">
        <f>Tableau1[[#This Row],[F crashes]]+Tableau1[[#This Row],[S crashes]]</f>
        <v>4</v>
      </c>
      <c r="K29" s="12">
        <f>IF(Tableau1[[#This Row],[F crashes]] &lt;&gt; 0, Tableau1[[#This Row],[F &amp; S crashes]]/Tableau1[[#This Row],[F crashes]], 1)</f>
        <v>2</v>
      </c>
      <c r="L29" s="8">
        <v>18701</v>
      </c>
      <c r="M29" s="8">
        <v>224412</v>
      </c>
      <c r="N29" s="8">
        <f>(Tableau1[[#This Row],[VEHIC KM / JOUR]]*365)/1000000000</f>
        <v>8.1910380000000005E-2</v>
      </c>
      <c r="O29" s="23">
        <f>(Tableau1[[#This Row],[F &amp; S crashes]]/Tableau1[[#This Row],[BILLION VEH KM TRAVELLED]])</f>
        <v>48.833859640255604</v>
      </c>
      <c r="P29" s="11" t="s">
        <v>144</v>
      </c>
      <c r="Q29" s="11">
        <f>Tableau1[[#This Row],[F &amp; S crashes]]/2</f>
        <v>2</v>
      </c>
      <c r="R29" s="8" t="s">
        <v>144</v>
      </c>
      <c r="S29" s="23">
        <f>Tableau1[[#This Row],[VEHIC KM / JOUR]]/Tableau1[[#This Row],[TMJA (vehi/jour)]]</f>
        <v>12</v>
      </c>
      <c r="T29" s="8">
        <v>0</v>
      </c>
      <c r="U29" s="8">
        <v>1</v>
      </c>
      <c r="V29" s="8">
        <v>60</v>
      </c>
      <c r="W29" s="8">
        <v>31</v>
      </c>
      <c r="X29" s="8">
        <v>43</v>
      </c>
      <c r="Y29" s="8">
        <v>7</v>
      </c>
      <c r="Z29" s="8">
        <v>5</v>
      </c>
      <c r="AA29" s="8">
        <f>Tableau1[[#This Row],[F Crashes trancon]]+Tableau1[[#This Row],[S crashes trancon]]</f>
        <v>12</v>
      </c>
      <c r="AB29" s="24">
        <f>IF(Tableau1[[#This Row],[F Crashes trancon]]&lt;&gt; 0, Tableau1[[#This Row],[F&amp;S crashes tronçon ]]/Tableau1[[#This Row],[F Crashes trancon]], 1)</f>
        <v>1.7142857142857142</v>
      </c>
      <c r="AC29" s="23">
        <f>(Tableau1[[#This Row],[F&amp;S crashes tronçon ]]/Tableau1[[#This Row],[BILLION VEH KM TRAVELLED]])</f>
        <v>146.5015789207668</v>
      </c>
      <c r="AD29" s="26" t="s">
        <v>144</v>
      </c>
      <c r="AE29" s="27">
        <f>Tableau1[[#This Row],[F&amp;S crashes tronçon ]]/Tableau1[[#This Row],[LENTGH SECTION(KM)]]</f>
        <v>1</v>
      </c>
      <c r="AF29" s="8" t="s">
        <v>144</v>
      </c>
      <c r="AG29" s="8">
        <v>1.74</v>
      </c>
      <c r="AH29" s="8" t="s">
        <v>212</v>
      </c>
      <c r="AI29" s="8" t="s">
        <v>212</v>
      </c>
      <c r="AJ29" s="8" t="s">
        <v>212</v>
      </c>
      <c r="AK29" s="8" t="s">
        <v>211</v>
      </c>
      <c r="AL29" s="8">
        <v>1</v>
      </c>
      <c r="AM29" s="8">
        <v>0</v>
      </c>
      <c r="AN29" s="8">
        <v>23267</v>
      </c>
      <c r="AO29" s="8">
        <v>23979</v>
      </c>
      <c r="AP29" s="8">
        <v>0</v>
      </c>
      <c r="AQ29" s="8">
        <v>0</v>
      </c>
      <c r="AR29" s="8">
        <v>111</v>
      </c>
      <c r="AS29" s="8">
        <v>208</v>
      </c>
      <c r="AT29" s="8">
        <v>67</v>
      </c>
      <c r="AU29" s="8">
        <v>357</v>
      </c>
      <c r="AV29" s="44">
        <f>IF(Tableau1[[#This Row],[Moyenne Journalière Infrations 2016]]&gt;0, Tableau1[[#This Row],[Moyenne Journalière Infrations 2016]]-Tableau1[[#This Row],[Moyenne Journalière Infrations 2017]],0)</f>
        <v>44</v>
      </c>
      <c r="AW29" s="44">
        <f>IF(Tableau1[[#This Row],[Moyenne Journalière Infrations 2015]]&gt;0, Tableau1[[#This Row],[Moyenne Journalière Infrations 2015]]-Tableau1[[#This Row],[Moyenne Journalière Infrations 2016]],0)</f>
        <v>0</v>
      </c>
    </row>
    <row r="30" spans="1:49" ht="13.8" customHeight="1" x14ac:dyDescent="0.3">
      <c r="A30" s="28">
        <f t="shared" si="0"/>
        <v>29</v>
      </c>
      <c r="B30" s="8" t="s">
        <v>126</v>
      </c>
      <c r="C30" s="11" t="s">
        <v>90</v>
      </c>
      <c r="D30" s="8" t="s">
        <v>91</v>
      </c>
      <c r="E30" s="8" t="s">
        <v>92</v>
      </c>
      <c r="F30" s="8" t="s">
        <v>217</v>
      </c>
      <c r="G30" s="31" t="s">
        <v>132</v>
      </c>
      <c r="H30" s="8">
        <v>0</v>
      </c>
      <c r="I30" s="8">
        <v>0</v>
      </c>
      <c r="J30" s="8">
        <f>Tableau1[[#This Row],[F crashes]]+Tableau1[[#This Row],[S crashes]]</f>
        <v>0</v>
      </c>
      <c r="K30" s="12">
        <f>IF(Tableau1[[#This Row],[F crashes]] &lt;&gt; 0, Tableau1[[#This Row],[F &amp; S crashes]]/Tableau1[[#This Row],[F crashes]], 1)</f>
        <v>1</v>
      </c>
      <c r="L30" s="8">
        <v>6285</v>
      </c>
      <c r="M30" s="8">
        <v>236945</v>
      </c>
      <c r="N30" s="8">
        <f>(Tableau1[[#This Row],[VEHIC KM / JOUR]]*365)/1000000000</f>
        <v>8.6484925000000004E-2</v>
      </c>
      <c r="O30" s="8">
        <f>(Tableau1[[#This Row],[F &amp; S crashes]]/Tableau1[[#This Row],[BILLION VEH KM TRAVELLED]])</f>
        <v>0</v>
      </c>
      <c r="P30" s="11" t="s">
        <v>143</v>
      </c>
      <c r="Q30" s="11">
        <f>Tableau1[[#This Row],[F &amp; S crashes]]/2</f>
        <v>0</v>
      </c>
      <c r="R30" s="11" t="s">
        <v>143</v>
      </c>
      <c r="S30" s="23">
        <f>Tableau1[[#This Row],[VEHIC KM / JOUR]]/Tableau1[[#This Row],[TMJA (vehi/jour)]]</f>
        <v>37.700079554494828</v>
      </c>
      <c r="T30" s="8">
        <v>1</v>
      </c>
      <c r="U30" s="8">
        <v>1</v>
      </c>
      <c r="V30" s="8">
        <v>100</v>
      </c>
      <c r="W30" s="8">
        <v>75</v>
      </c>
      <c r="X30" s="8">
        <v>112.7</v>
      </c>
      <c r="Y30" s="8">
        <v>3</v>
      </c>
      <c r="Z30" s="8">
        <v>3</v>
      </c>
      <c r="AA30" s="8">
        <f>Tableau1[[#This Row],[F Crashes trancon]]+Tableau1[[#This Row],[S crashes trancon]]</f>
        <v>6</v>
      </c>
      <c r="AB30" s="24">
        <f>IF(Tableau1[[#This Row],[F Crashes trancon]]&lt;&gt; 0, Tableau1[[#This Row],[F&amp;S crashes tronçon ]]/Tableau1[[#This Row],[F Crashes trancon]], 1)</f>
        <v>2</v>
      </c>
      <c r="AC30" s="23">
        <f>(Tableau1[[#This Row],[F&amp;S crashes tronçon ]]/Tableau1[[#This Row],[BILLION VEH KM TRAVELLED]])</f>
        <v>69.376252566560012</v>
      </c>
      <c r="AD30" s="26" t="s">
        <v>144</v>
      </c>
      <c r="AE30" s="27">
        <f>Tableau1[[#This Row],[F&amp;S crashes tronçon ]]/Tableau1[[#This Row],[LENTGH SECTION(KM)]]</f>
        <v>0.15915085779400284</v>
      </c>
      <c r="AF30" s="8" t="s">
        <v>168</v>
      </c>
      <c r="AG30" s="8">
        <v>6.57</v>
      </c>
      <c r="AH30" s="8" t="s">
        <v>212</v>
      </c>
      <c r="AI30" s="8" t="s">
        <v>212</v>
      </c>
      <c r="AJ30" s="8" t="s">
        <v>212</v>
      </c>
      <c r="AK30" s="8" t="s">
        <v>211</v>
      </c>
      <c r="AL30" s="8">
        <v>3.59</v>
      </c>
      <c r="AM30" s="8">
        <v>0</v>
      </c>
      <c r="AN30" s="8">
        <v>354</v>
      </c>
      <c r="AO30" s="8">
        <v>32475</v>
      </c>
      <c r="AP30" s="8">
        <v>0</v>
      </c>
      <c r="AQ30" s="8">
        <v>0</v>
      </c>
      <c r="AR30" s="8">
        <v>2</v>
      </c>
      <c r="AS30" s="8">
        <v>145</v>
      </c>
      <c r="AT30" s="8">
        <v>97</v>
      </c>
      <c r="AU30" s="8">
        <v>332</v>
      </c>
      <c r="AV30" s="44">
        <f>IF(Tableau1[[#This Row],[Moyenne Journalière Infrations 2016]]&gt;0, Tableau1[[#This Row],[Moyenne Journalière Infrations 2016]]-Tableau1[[#This Row],[Moyenne Journalière Infrations 2017]],0)</f>
        <v>-95</v>
      </c>
      <c r="AW30" s="44">
        <f>IF(Tableau1[[#This Row],[Moyenne Journalière Infrations 2015]]&gt;0, Tableau1[[#This Row],[Moyenne Journalière Infrations 2015]]-Tableau1[[#This Row],[Moyenne Journalière Infrations 2016]],0)</f>
        <v>0</v>
      </c>
    </row>
    <row r="31" spans="1:49" x14ac:dyDescent="0.3">
      <c r="A31" s="28">
        <f t="shared" si="0"/>
        <v>30</v>
      </c>
      <c r="B31" s="8" t="s">
        <v>127</v>
      </c>
      <c r="C31" s="11" t="s">
        <v>93</v>
      </c>
      <c r="D31" s="8" t="s">
        <v>91</v>
      </c>
      <c r="E31" s="8" t="s">
        <v>94</v>
      </c>
      <c r="F31" s="8">
        <v>83.26</v>
      </c>
      <c r="G31" s="31" t="s">
        <v>132</v>
      </c>
      <c r="H31" s="8">
        <v>0</v>
      </c>
      <c r="I31" s="8">
        <v>0</v>
      </c>
      <c r="J31" s="8">
        <f>Tableau1[[#This Row],[F crashes]]+Tableau1[[#This Row],[S crashes]]</f>
        <v>0</v>
      </c>
      <c r="K31" s="12">
        <f>IF(Tableau1[[#This Row],[F crashes]] &lt;&gt; 0, Tableau1[[#This Row],[F &amp; S crashes]]/Tableau1[[#This Row],[F crashes]], 1)</f>
        <v>1</v>
      </c>
      <c r="L31" s="8">
        <v>6285</v>
      </c>
      <c r="M31" s="8">
        <v>236945</v>
      </c>
      <c r="N31" s="8">
        <f>(Tableau1[[#This Row],[VEHIC KM / JOUR]]*365)/1000000000</f>
        <v>8.6484925000000004E-2</v>
      </c>
      <c r="O31" s="8">
        <f>(Tableau1[[#This Row],[F &amp; S crashes]]/Tableau1[[#This Row],[BILLION VEH KM TRAVELLED]])</f>
        <v>0</v>
      </c>
      <c r="P31" s="11" t="s">
        <v>143</v>
      </c>
      <c r="Q31" s="11">
        <f>Tableau1[[#This Row],[F &amp; S crashes]]/2</f>
        <v>0</v>
      </c>
      <c r="R31" s="11" t="s">
        <v>143</v>
      </c>
      <c r="S31" s="23">
        <f>Tableau1[[#This Row],[VEHIC KM / JOUR]]/Tableau1[[#This Row],[TMJA (vehi/jour)]]</f>
        <v>37.700079554494828</v>
      </c>
      <c r="T31" s="8">
        <v>1</v>
      </c>
      <c r="U31" s="8">
        <v>1</v>
      </c>
      <c r="V31" s="8">
        <v>100</v>
      </c>
      <c r="W31" s="8">
        <v>75</v>
      </c>
      <c r="X31" s="8">
        <v>112.7</v>
      </c>
      <c r="Y31" s="8">
        <v>3</v>
      </c>
      <c r="Z31" s="8">
        <v>3</v>
      </c>
      <c r="AA31" s="8">
        <f>Tableau1[[#This Row],[F Crashes trancon]]+Tableau1[[#This Row],[S crashes trancon]]</f>
        <v>6</v>
      </c>
      <c r="AB31" s="24">
        <f>IF(Tableau1[[#This Row],[F Crashes trancon]]&lt;&gt; 0, Tableau1[[#This Row],[F&amp;S crashes tronçon ]]/Tableau1[[#This Row],[F Crashes trancon]], 1)</f>
        <v>2</v>
      </c>
      <c r="AC31" s="23">
        <f>(Tableau1[[#This Row],[F&amp;S crashes tronçon ]]/Tableau1[[#This Row],[BILLION VEH KM TRAVELLED]])</f>
        <v>69.376252566560012</v>
      </c>
      <c r="AD31" s="26" t="s">
        <v>144</v>
      </c>
      <c r="AE31" s="27">
        <f>Tableau1[[#This Row],[F&amp;S crashes tronçon ]]/Tableau1[[#This Row],[LENTGH SECTION(KM)]]</f>
        <v>0.15915085779400284</v>
      </c>
      <c r="AF31" s="8" t="s">
        <v>168</v>
      </c>
      <c r="AG31" s="8">
        <v>6.57</v>
      </c>
      <c r="AH31" s="8" t="s">
        <v>212</v>
      </c>
      <c r="AI31" s="8" t="s">
        <v>212</v>
      </c>
      <c r="AJ31" s="8" t="s">
        <v>212</v>
      </c>
      <c r="AK31" s="8" t="s">
        <v>211</v>
      </c>
      <c r="AL31" s="8">
        <v>3.59</v>
      </c>
      <c r="AM31" s="8">
        <v>128</v>
      </c>
      <c r="AN31" s="8">
        <v>8173</v>
      </c>
      <c r="AO31" s="8">
        <v>3215</v>
      </c>
      <c r="AP31" s="8">
        <v>42</v>
      </c>
      <c r="AQ31" s="8">
        <v>3</v>
      </c>
      <c r="AR31" s="8">
        <v>29</v>
      </c>
      <c r="AS31" s="8">
        <v>276</v>
      </c>
      <c r="AT31" s="8">
        <v>15</v>
      </c>
      <c r="AU31" s="8">
        <v>207</v>
      </c>
      <c r="AV31" s="44">
        <f>IF(Tableau1[[#This Row],[Moyenne Journalière Infrations 2016]]&gt;0, Tableau1[[#This Row],[Moyenne Journalière Infrations 2016]]-Tableau1[[#This Row],[Moyenne Journalière Infrations 2017]],0)</f>
        <v>14</v>
      </c>
      <c r="AW31" s="44">
        <f>IF(Tableau1[[#This Row],[Moyenne Journalière Infrations 2015]]&gt;0, Tableau1[[#This Row],[Moyenne Journalière Infrations 2015]]-Tableau1[[#This Row],[Moyenne Journalière Infrations 2016]],0)</f>
        <v>13</v>
      </c>
    </row>
    <row r="32" spans="1:49" ht="28.8" x14ac:dyDescent="0.3">
      <c r="A32" s="28">
        <f t="shared" si="0"/>
        <v>31</v>
      </c>
      <c r="B32" s="8" t="s">
        <v>120</v>
      </c>
      <c r="C32" s="11" t="s">
        <v>72</v>
      </c>
      <c r="D32" s="8" t="s">
        <v>73</v>
      </c>
      <c r="E32" s="8" t="s">
        <v>74</v>
      </c>
      <c r="F32" s="8">
        <v>189</v>
      </c>
      <c r="G32" s="31" t="s">
        <v>132</v>
      </c>
      <c r="H32" s="8">
        <v>0</v>
      </c>
      <c r="I32" s="8">
        <v>1</v>
      </c>
      <c r="J32" s="8">
        <f>Tableau1[[#This Row],[F crashes]]+Tableau1[[#This Row],[S crashes]]</f>
        <v>1</v>
      </c>
      <c r="K32" s="12">
        <f>IF(Tableau1[[#This Row],[F crashes]] &lt;&gt; 0, Tableau1[[#This Row],[F &amp; S crashes]]/Tableau1[[#This Row],[F crashes]], 1)</f>
        <v>1</v>
      </c>
      <c r="L32" s="8">
        <v>5246</v>
      </c>
      <c r="M32" s="8">
        <v>199348</v>
      </c>
      <c r="N32" s="8">
        <f>(Tableau1[[#This Row],[VEHIC KM / JOUR]]*365)/1000000000</f>
        <v>7.2762019999999997E-2</v>
      </c>
      <c r="O32" s="23">
        <f>(Tableau1[[#This Row],[F &amp; S crashes]]/Tableau1[[#This Row],[BILLION VEH KM TRAVELLED]])</f>
        <v>13.743433730949196</v>
      </c>
      <c r="P32" s="11" t="s">
        <v>146</v>
      </c>
      <c r="Q32" s="11">
        <f>Tableau1[[#This Row],[F &amp; S crashes]]/2</f>
        <v>0.5</v>
      </c>
      <c r="R32" s="8" t="s">
        <v>144</v>
      </c>
      <c r="S32" s="23">
        <f>Tableau1[[#This Row],[VEHIC KM / JOUR]]/Tableau1[[#This Row],[TMJA (vehi/jour)]]</f>
        <v>38</v>
      </c>
      <c r="T32" s="8">
        <v>1</v>
      </c>
      <c r="U32" s="8">
        <v>1</v>
      </c>
      <c r="V32" s="8">
        <v>100</v>
      </c>
      <c r="W32" s="8">
        <v>171</v>
      </c>
      <c r="X32" s="8">
        <v>209</v>
      </c>
      <c r="Y32" s="8">
        <v>4</v>
      </c>
      <c r="Z32" s="8">
        <v>4</v>
      </c>
      <c r="AA32" s="8">
        <f>Tableau1[[#This Row],[F Crashes trancon]]+Tableau1[[#This Row],[S crashes trancon]]</f>
        <v>8</v>
      </c>
      <c r="AB32" s="24">
        <f>IF(Tableau1[[#This Row],[F Crashes trancon]]&lt;&gt; 0, Tableau1[[#This Row],[F&amp;S crashes tronçon ]]/Tableau1[[#This Row],[F Crashes trancon]], 1)</f>
        <v>2</v>
      </c>
      <c r="AC32" s="23">
        <f>(Tableau1[[#This Row],[F&amp;S crashes tronçon ]]/Tableau1[[#This Row],[BILLION VEH KM TRAVELLED]])</f>
        <v>109.94746984759357</v>
      </c>
      <c r="AD32" s="26" t="s">
        <v>144</v>
      </c>
      <c r="AE32" s="27">
        <f>Tableau1[[#This Row],[F&amp;S crashes tronçon ]]/Tableau1[[#This Row],[LENTGH SECTION(KM)]]</f>
        <v>0.21052631578947367</v>
      </c>
      <c r="AF32" s="8" t="s">
        <v>168</v>
      </c>
      <c r="AG32" s="8">
        <v>0.16</v>
      </c>
      <c r="AH32" s="8" t="s">
        <v>212</v>
      </c>
      <c r="AI32" s="8" t="s">
        <v>212</v>
      </c>
      <c r="AJ32" s="8" t="s">
        <v>212</v>
      </c>
      <c r="AK32" s="8" t="s">
        <v>211</v>
      </c>
      <c r="AL32" s="8">
        <v>1</v>
      </c>
      <c r="AM32" s="8">
        <v>0</v>
      </c>
      <c r="AN32" s="8">
        <v>42</v>
      </c>
      <c r="AO32" s="8">
        <v>1987</v>
      </c>
      <c r="AP32" s="8">
        <v>0</v>
      </c>
      <c r="AQ32" s="8">
        <v>0</v>
      </c>
      <c r="AR32" s="8">
        <v>5</v>
      </c>
      <c r="AS32" s="8">
        <v>8</v>
      </c>
      <c r="AT32" s="8">
        <v>11</v>
      </c>
      <c r="AU32" s="8">
        <v>178</v>
      </c>
      <c r="AV32" s="44">
        <f>IF(Tableau1[[#This Row],[Moyenne Journalière Infrations 2016]]&gt;0, Tableau1[[#This Row],[Moyenne Journalière Infrations 2016]]-Tableau1[[#This Row],[Moyenne Journalière Infrations 2017]],0)</f>
        <v>-6</v>
      </c>
      <c r="AW32" s="44">
        <f>IF(Tableau1[[#This Row],[Moyenne Journalière Infrations 2015]]&gt;0, Tableau1[[#This Row],[Moyenne Journalière Infrations 2015]]-Tableau1[[#This Row],[Moyenne Journalière Infrations 2016]],0)</f>
        <v>0</v>
      </c>
    </row>
    <row r="33" spans="1:49" ht="28.8" x14ac:dyDescent="0.3">
      <c r="A33" s="28">
        <f t="shared" si="0"/>
        <v>32</v>
      </c>
      <c r="B33" s="8" t="s">
        <v>107</v>
      </c>
      <c r="C33" s="11" t="s">
        <v>38</v>
      </c>
      <c r="D33" s="8" t="s">
        <v>39</v>
      </c>
      <c r="E33" s="8" t="s">
        <v>40</v>
      </c>
      <c r="F33" s="8">
        <v>103.2</v>
      </c>
      <c r="G33" s="22" t="s">
        <v>134</v>
      </c>
      <c r="H33" s="8">
        <v>3</v>
      </c>
      <c r="I33" s="8">
        <v>5</v>
      </c>
      <c r="J33" s="8">
        <f>Tableau1[[#This Row],[F crashes]]+Tableau1[[#This Row],[S crashes]]</f>
        <v>8</v>
      </c>
      <c r="K33" s="24">
        <f>IF(Tableau1[[#This Row],[F crashes]] &lt;&gt; 0, Tableau1[[#This Row],[F &amp; S crashes]]/Tableau1[[#This Row],[F crashes]], 1)</f>
        <v>2.6666666666666665</v>
      </c>
      <c r="L33" s="8">
        <v>9899</v>
      </c>
      <c r="M33" s="8">
        <v>294990</v>
      </c>
      <c r="N33" s="8">
        <f>(Tableau1[[#This Row],[VEHIC KM / JOUR]]*365)/1000000000</f>
        <v>0.10767135</v>
      </c>
      <c r="O33" s="23">
        <f>(Tableau1[[#This Row],[F &amp; S crashes]]/Tableau1[[#This Row],[BILLION VEH KM TRAVELLED]])</f>
        <v>74.300173630218254</v>
      </c>
      <c r="P33" s="11" t="s">
        <v>144</v>
      </c>
      <c r="Q33" s="11">
        <f>Tableau1[[#This Row],[F &amp; S crashes]]/2</f>
        <v>4</v>
      </c>
      <c r="R33" s="8" t="s">
        <v>144</v>
      </c>
      <c r="S33" s="23">
        <f>Tableau1[[#This Row],[VEHIC KM / JOUR]]/Tableau1[[#This Row],[TMJA (vehi/jour)]]</f>
        <v>29.799979795938984</v>
      </c>
      <c r="T33" s="8">
        <v>1</v>
      </c>
      <c r="U33" s="8">
        <v>1</v>
      </c>
      <c r="V33" s="8">
        <v>60</v>
      </c>
      <c r="W33" s="8">
        <v>82</v>
      </c>
      <c r="X33" s="8">
        <v>111.8</v>
      </c>
      <c r="Y33" s="8">
        <v>11</v>
      </c>
      <c r="Z33" s="8">
        <v>11</v>
      </c>
      <c r="AA33" s="8">
        <f>Tableau1[[#This Row],[F Crashes trancon]]+Tableau1[[#This Row],[S crashes trancon]]</f>
        <v>22</v>
      </c>
      <c r="AB33" s="24">
        <f>IF(Tableau1[[#This Row],[F Crashes trancon]]&lt;&gt; 0, Tableau1[[#This Row],[F&amp;S crashes tronçon ]]/Tableau1[[#This Row],[F Crashes trancon]], 1)</f>
        <v>2</v>
      </c>
      <c r="AC33" s="23">
        <f>(Tableau1[[#This Row],[F&amp;S crashes tronçon ]]/Tableau1[[#This Row],[BILLION VEH KM TRAVELLED]])</f>
        <v>204.3254774831002</v>
      </c>
      <c r="AD33" s="26" t="s">
        <v>144</v>
      </c>
      <c r="AE33" s="27">
        <f>Tableau1[[#This Row],[F&amp;S crashes tronçon ]]/Tableau1[[#This Row],[LENTGH SECTION(KM)]]</f>
        <v>0.73825553408590117</v>
      </c>
      <c r="AF33" s="8" t="s">
        <v>144</v>
      </c>
      <c r="AG33" s="8">
        <v>4.7699999999999996</v>
      </c>
      <c r="AH33" s="8" t="s">
        <v>212</v>
      </c>
      <c r="AI33" s="8" t="s">
        <v>212</v>
      </c>
      <c r="AJ33" s="8" t="s">
        <v>212</v>
      </c>
      <c r="AK33" s="8" t="s">
        <v>211</v>
      </c>
      <c r="AL33" s="8">
        <v>1</v>
      </c>
      <c r="AM33" s="8">
        <v>0</v>
      </c>
      <c r="AN33" s="8">
        <v>0</v>
      </c>
      <c r="AO33" s="8">
        <v>24545</v>
      </c>
      <c r="AP33" s="8">
        <v>0</v>
      </c>
      <c r="AQ33" s="8">
        <v>0</v>
      </c>
      <c r="AR33" s="8">
        <v>0</v>
      </c>
      <c r="AS33" s="8">
        <v>0</v>
      </c>
      <c r="AT33" s="8">
        <v>322</v>
      </c>
      <c r="AU33" s="8">
        <v>76</v>
      </c>
      <c r="AV33" s="44">
        <f>IF(Tableau1[[#This Row],[Moyenne Journalière Infrations 2016]]&gt;0, Tableau1[[#This Row],[Moyenne Journalière Infrations 2016]]-Tableau1[[#This Row],[Moyenne Journalière Infrations 2017]],0)</f>
        <v>0</v>
      </c>
      <c r="AW33" s="44">
        <f>IF(Tableau1[[#This Row],[Moyenne Journalière Infrations 2015]]&gt;0, Tableau1[[#This Row],[Moyenne Journalière Infrations 2015]]-Tableau1[[#This Row],[Moyenne Journalière Infrations 2016]],0)</f>
        <v>0</v>
      </c>
    </row>
    <row r="34" spans="1:49" ht="28.8" x14ac:dyDescent="0.3">
      <c r="A34" s="28">
        <f t="shared" si="0"/>
        <v>33</v>
      </c>
      <c r="B34" s="8" t="s">
        <v>101</v>
      </c>
      <c r="C34" s="11" t="s">
        <v>23</v>
      </c>
      <c r="D34" s="8" t="s">
        <v>24</v>
      </c>
      <c r="E34" s="8" t="s">
        <v>25</v>
      </c>
      <c r="F34" s="8">
        <v>424.5</v>
      </c>
      <c r="G34" s="22" t="s">
        <v>134</v>
      </c>
      <c r="H34" s="8">
        <v>3</v>
      </c>
      <c r="I34" s="8">
        <v>0</v>
      </c>
      <c r="J34" s="8">
        <f>Tableau1[[#This Row],[F crashes]]+Tableau1[[#This Row],[S crashes]]</f>
        <v>3</v>
      </c>
      <c r="K34" s="12">
        <f>IF(Tableau1[[#This Row],[F crashes]] &lt;&gt; 0, Tableau1[[#This Row],[F &amp; S crashes]]/Tableau1[[#This Row],[F crashes]], 1)</f>
        <v>1</v>
      </c>
      <c r="L34" s="8">
        <v>7266</v>
      </c>
      <c r="M34" s="8">
        <v>247044</v>
      </c>
      <c r="N34" s="8">
        <f>(Tableau1[[#This Row],[VEHIC KM / JOUR]]*365)/1000000000</f>
        <v>9.0171059999999997E-2</v>
      </c>
      <c r="O34" s="23">
        <f>(Tableau1[[#This Row],[F &amp; S crashes]]/Tableau1[[#This Row],[BILLION VEH KM TRAVELLED]])</f>
        <v>33.270097967130475</v>
      </c>
      <c r="P34" s="11" t="s">
        <v>144</v>
      </c>
      <c r="Q34" s="11">
        <f>Tableau1[[#This Row],[F &amp; S crashes]]/2</f>
        <v>1.5</v>
      </c>
      <c r="R34" s="8" t="s">
        <v>144</v>
      </c>
      <c r="S34" s="23">
        <f>Tableau1[[#This Row],[VEHIC KM / JOUR]]/Tableau1[[#This Row],[TMJA (vehi/jour)]]</f>
        <v>34</v>
      </c>
      <c r="T34" s="8">
        <v>1</v>
      </c>
      <c r="U34" s="8">
        <v>1</v>
      </c>
      <c r="V34" s="8">
        <v>60</v>
      </c>
      <c r="W34" s="8">
        <v>403</v>
      </c>
      <c r="X34" s="8">
        <v>437</v>
      </c>
      <c r="Y34" s="8">
        <v>15</v>
      </c>
      <c r="Z34" s="8">
        <v>8</v>
      </c>
      <c r="AA34" s="8">
        <f>Tableau1[[#This Row],[F Crashes trancon]]+Tableau1[[#This Row],[S crashes trancon]]</f>
        <v>23</v>
      </c>
      <c r="AB34" s="24">
        <f>IF(Tableau1[[#This Row],[F Crashes trancon]]&lt;&gt; 0, Tableau1[[#This Row],[F&amp;S crashes tronçon ]]/Tableau1[[#This Row],[F Crashes trancon]], 1)</f>
        <v>1.5333333333333334</v>
      </c>
      <c r="AC34" s="23">
        <f>(Tableau1[[#This Row],[F&amp;S crashes tronçon ]]/Tableau1[[#This Row],[BILLION VEH KM TRAVELLED]])</f>
        <v>255.07075108133364</v>
      </c>
      <c r="AD34" s="26" t="s">
        <v>144</v>
      </c>
      <c r="AE34" s="27">
        <f>Tableau1[[#This Row],[F&amp;S crashes tronçon ]]/Tableau1[[#This Row],[LENTGH SECTION(KM)]]</f>
        <v>0.67647058823529416</v>
      </c>
      <c r="AF34" s="8" t="s">
        <v>144</v>
      </c>
      <c r="AG34" s="8">
        <v>3.5</v>
      </c>
      <c r="AH34" s="8" t="s">
        <v>212</v>
      </c>
      <c r="AI34" s="8" t="s">
        <v>212</v>
      </c>
      <c r="AJ34" s="8" t="s">
        <v>212</v>
      </c>
      <c r="AK34" s="8" t="s">
        <v>211</v>
      </c>
      <c r="AL34" s="8">
        <v>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44">
        <f>IF(Tableau1[[#This Row],[Moyenne Journalière Infrations 2016]]&gt;0, Tableau1[[#This Row],[Moyenne Journalière Infrations 2016]]-Tableau1[[#This Row],[Moyenne Journalière Infrations 2017]],0)</f>
        <v>0</v>
      </c>
      <c r="AW34" s="44">
        <f>IF(Tableau1[[#This Row],[Moyenne Journalière Infrations 2015]]&gt;0, Tableau1[[#This Row],[Moyenne Journalière Infrations 2015]]-Tableau1[[#This Row],[Moyenne Journalière Infrations 2016]],0)</f>
        <v>0</v>
      </c>
    </row>
    <row r="35" spans="1:49" x14ac:dyDescent="0.3">
      <c r="A35" s="28">
        <f t="shared" si="0"/>
        <v>34</v>
      </c>
      <c r="B35" s="41" t="s">
        <v>229</v>
      </c>
      <c r="C35" s="11" t="s">
        <v>227</v>
      </c>
      <c r="D35" s="10" t="s">
        <v>286</v>
      </c>
      <c r="E35" s="10" t="s">
        <v>231</v>
      </c>
      <c r="F35" s="8">
        <v>79</v>
      </c>
      <c r="G35" s="22" t="s">
        <v>234</v>
      </c>
      <c r="H35" s="8">
        <v>0</v>
      </c>
      <c r="I35" s="8">
        <v>0</v>
      </c>
      <c r="J35" s="8">
        <f>Tableau1[[#This Row],[F crashes]]+Tableau1[[#This Row],[S crashes]]</f>
        <v>0</v>
      </c>
      <c r="K35" s="33">
        <f>IF(Tableau1[[#This Row],[F crashes]] &lt;&gt; 0, Tableau1[[#This Row],[F &amp; S crashes]]/Tableau1[[#This Row],[F crashes]], 1)</f>
        <v>1</v>
      </c>
      <c r="L35" s="8">
        <v>42523</v>
      </c>
      <c r="M35" s="8">
        <v>212614</v>
      </c>
      <c r="N35" s="26">
        <f>(Tableau1[[#This Row],[VEHIC KM / JOUR]]*365)/1000000000</f>
        <v>7.7604110000000004E-2</v>
      </c>
      <c r="O35" s="26">
        <f>(Tableau1[[#This Row],[F &amp; S crashes]]/Tableau1[[#This Row],[BILLION VEH KM TRAVELLED]])</f>
        <v>0</v>
      </c>
      <c r="P35" s="11"/>
      <c r="Q35" s="34">
        <f>Tableau1[[#This Row],[F &amp; S crashes]]/2</f>
        <v>0</v>
      </c>
      <c r="R35" s="11"/>
      <c r="S35" s="23">
        <f>Tableau1[[#This Row],[VEHIC KM / JOUR]]/Tableau1[[#This Row],[TMJA (vehi/jour)]]</f>
        <v>4.9999764833149118</v>
      </c>
      <c r="T35" s="8"/>
      <c r="U35" s="8"/>
      <c r="V35" s="8"/>
      <c r="W35" s="8"/>
      <c r="X35" s="8"/>
      <c r="Y35" s="8"/>
      <c r="Z35" s="8"/>
      <c r="AA35" s="26">
        <f>Tableau1[[#This Row],[F Crashes trancon]]+Tableau1[[#This Row],[S crashes trancon]]</f>
        <v>0</v>
      </c>
      <c r="AB35" s="24">
        <f>IF(Tableau1[[#This Row],[F Crashes trancon]]&lt;&gt; 0, Tableau1[[#This Row],[F&amp;S crashes tronçon ]]/Tableau1[[#This Row],[F Crashes trancon]], 1)</f>
        <v>1</v>
      </c>
      <c r="AC35" s="23">
        <f>(Tableau1[[#This Row],[F&amp;S crashes tronçon ]]/Tableau1[[#This Row],[BILLION VEH KM TRAVELLED]])</f>
        <v>0</v>
      </c>
      <c r="AD35" s="26"/>
      <c r="AE35" s="27">
        <f>Tableau1[[#This Row],[F&amp;S crashes tronçon ]]/Tableau1[[#This Row],[LENTGH SECTION(KM)]]</f>
        <v>0</v>
      </c>
      <c r="AF35" s="8"/>
      <c r="AG35" s="8"/>
      <c r="AH35" s="8" t="s">
        <v>211</v>
      </c>
      <c r="AI35" s="8" t="s">
        <v>211</v>
      </c>
      <c r="AJ35" s="8" t="s">
        <v>212</v>
      </c>
      <c r="AK35" s="8" t="s">
        <v>218</v>
      </c>
      <c r="AL35" s="8" t="s">
        <v>218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44">
        <f>IF(Tableau1[[#This Row],[Moyenne Journalière Infrations 2016]]&gt;0, Tableau1[[#This Row],[Moyenne Journalière Infrations 2016]]-Tableau1[[#This Row],[Moyenne Journalière Infrations 2017]],0)</f>
        <v>0</v>
      </c>
      <c r="AW35" s="44">
        <f>IF(Tableau1[[#This Row],[Moyenne Journalière Infrations 2015]]&gt;0, Tableau1[[#This Row],[Moyenne Journalière Infrations 2015]]-Tableau1[[#This Row],[Moyenne Journalière Infrations 2016]],0)</f>
        <v>0</v>
      </c>
    </row>
    <row r="36" spans="1:49" x14ac:dyDescent="0.3">
      <c r="A36" s="28">
        <f t="shared" si="0"/>
        <v>35</v>
      </c>
      <c r="B36" s="41" t="s">
        <v>230</v>
      </c>
      <c r="C36" s="11" t="s">
        <v>228</v>
      </c>
      <c r="D36" s="9" t="s">
        <v>232</v>
      </c>
      <c r="E36" s="10" t="s">
        <v>233</v>
      </c>
      <c r="F36" s="8">
        <v>85.97</v>
      </c>
      <c r="G36" s="22" t="s">
        <v>234</v>
      </c>
      <c r="H36" s="8">
        <v>0</v>
      </c>
      <c r="I36" s="8">
        <v>1</v>
      </c>
      <c r="J36" s="8">
        <f>Tableau1[[#This Row],[F crashes]]+Tableau1[[#This Row],[S crashes]]</f>
        <v>1</v>
      </c>
      <c r="K36" s="33">
        <f>IF(Tableau1[[#This Row],[F crashes]] &lt;&gt; 0, Tableau1[[#This Row],[F &amp; S crashes]]/Tableau1[[#This Row],[F crashes]], 1)</f>
        <v>1</v>
      </c>
      <c r="L36" s="8">
        <v>49015</v>
      </c>
      <c r="M36" s="8">
        <v>318601</v>
      </c>
      <c r="N36" s="26">
        <f>(Tableau1[[#This Row],[VEHIC KM / JOUR]]*365)/1000000000</f>
        <v>0.11628936500000001</v>
      </c>
      <c r="O36" s="26">
        <f>(Tableau1[[#This Row],[F &amp; S crashes]]/Tableau1[[#This Row],[BILLION VEH KM TRAVELLED]])</f>
        <v>8.5992386320107599</v>
      </c>
      <c r="P36" s="11"/>
      <c r="Q36" s="34">
        <f>Tableau1[[#This Row],[F &amp; S crashes]]/2</f>
        <v>0.5</v>
      </c>
      <c r="R36" s="11"/>
      <c r="S36" s="23">
        <f>Tableau1[[#This Row],[VEHIC KM / JOUR]]/Tableau1[[#This Row],[TMJA (vehi/jour)]]</f>
        <v>6.5000714067122312</v>
      </c>
      <c r="T36" s="8"/>
      <c r="U36" s="8"/>
      <c r="V36" s="8"/>
      <c r="W36" s="8"/>
      <c r="X36" s="8"/>
      <c r="Y36" s="8"/>
      <c r="Z36" s="8"/>
      <c r="AA36" s="26">
        <f>Tableau1[[#This Row],[F Crashes trancon]]+Tableau1[[#This Row],[S crashes trancon]]</f>
        <v>0</v>
      </c>
      <c r="AB36" s="24">
        <f>IF(Tableau1[[#This Row],[F Crashes trancon]]&lt;&gt; 0, Tableau1[[#This Row],[F&amp;S crashes tronçon ]]/Tableau1[[#This Row],[F Crashes trancon]], 1)</f>
        <v>1</v>
      </c>
      <c r="AC36" s="23">
        <f>(Tableau1[[#This Row],[F&amp;S crashes tronçon ]]/Tableau1[[#This Row],[BILLION VEH KM TRAVELLED]])</f>
        <v>0</v>
      </c>
      <c r="AD36" s="26"/>
      <c r="AE36" s="27">
        <f>Tableau1[[#This Row],[F&amp;S crashes tronçon ]]/Tableau1[[#This Row],[LENTGH SECTION(KM)]]</f>
        <v>0</v>
      </c>
      <c r="AF36" s="8"/>
      <c r="AG36" s="8"/>
      <c r="AH36" s="8" t="s">
        <v>211</v>
      </c>
      <c r="AI36" s="8" t="s">
        <v>212</v>
      </c>
      <c r="AJ36" s="8" t="s">
        <v>212</v>
      </c>
      <c r="AK36" s="8" t="s">
        <v>218</v>
      </c>
      <c r="AL36" s="40" t="s">
        <v>218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44">
        <f>IF(Tableau1[[#This Row],[Moyenne Journalière Infrations 2016]]&gt;0, Tableau1[[#This Row],[Moyenne Journalière Infrations 2016]]-Tableau1[[#This Row],[Moyenne Journalière Infrations 2017]],0)</f>
        <v>0</v>
      </c>
      <c r="AW36" s="44">
        <f>IF(Tableau1[[#This Row],[Moyenne Journalière Infrations 2015]]&gt;0, Tableau1[[#This Row],[Moyenne Journalière Infrations 2015]]-Tableau1[[#This Row],[Moyenne Journalière Infrations 2016]],0)</f>
        <v>0</v>
      </c>
    </row>
    <row r="37" spans="1:49" ht="28.8" x14ac:dyDescent="0.3">
      <c r="A37" s="28">
        <f t="shared" si="0"/>
        <v>36</v>
      </c>
      <c r="B37" s="35" t="s">
        <v>181</v>
      </c>
      <c r="C37" s="19" t="s">
        <v>223</v>
      </c>
      <c r="D37" s="14" t="s">
        <v>203</v>
      </c>
      <c r="E37" s="15" t="s">
        <v>204</v>
      </c>
      <c r="F37" s="16">
        <v>90.8</v>
      </c>
      <c r="G37" s="16" t="s">
        <v>224</v>
      </c>
      <c r="H37" s="16">
        <v>0</v>
      </c>
      <c r="I37" s="16">
        <v>0</v>
      </c>
      <c r="J37" s="16">
        <f>Tableau1[[#This Row],[F crashes]]+Tableau1[[#This Row],[S crashes]]</f>
        <v>0</v>
      </c>
      <c r="K37" s="36">
        <f>IF(Tableau1[[#This Row],[F crashes]] &lt;&gt; 0, Tableau1[[#This Row],[F &amp; S crashes]]/Tableau1[[#This Row],[F crashes]], 1)</f>
        <v>1</v>
      </c>
      <c r="L37" s="16">
        <v>18763</v>
      </c>
      <c r="M37" s="16">
        <v>300209</v>
      </c>
      <c r="N37" s="36">
        <f>(Tableau1[[#This Row],[VEHIC KM / JOUR]]*365)/1000000000</f>
        <v>0.109576285</v>
      </c>
      <c r="O37" s="36">
        <f>(Tableau1[[#This Row],[F &amp; S crashes]]/Tableau1[[#This Row],[BILLION VEH KM TRAVELLED]])</f>
        <v>0</v>
      </c>
      <c r="P37" s="13"/>
      <c r="Q37" s="37">
        <f>Tableau1[[#This Row],[F &amp; S crashes]]/2</f>
        <v>0</v>
      </c>
      <c r="R37" s="13"/>
      <c r="S37" s="38">
        <f>Tableau1[[#This Row],[VEHIC KM / JOUR]]/Tableau1[[#This Row],[TMJA (vehi/jour)]]</f>
        <v>16.000053296381175</v>
      </c>
      <c r="T37" s="8">
        <v>1</v>
      </c>
      <c r="U37" s="8">
        <v>1</v>
      </c>
      <c r="V37" s="8">
        <v>120</v>
      </c>
      <c r="W37" s="16">
        <v>87</v>
      </c>
      <c r="X37" s="16">
        <v>103</v>
      </c>
      <c r="Y37" s="16"/>
      <c r="Z37" s="16"/>
      <c r="AA37" s="36">
        <f>Tableau1[[#This Row],[F Crashes trancon]]+Tableau1[[#This Row],[S crashes trancon]]</f>
        <v>0</v>
      </c>
      <c r="AB37" s="38">
        <f>IF(Tableau1[[#This Row],[F Crashes trancon]]&lt;&gt; 0, Tableau1[[#This Row],[F&amp;S crashes tronçon ]]/Tableau1[[#This Row],[F Crashes trancon]], 1)</f>
        <v>1</v>
      </c>
      <c r="AC37" s="38">
        <f>(Tableau1[[#This Row],[F&amp;S crashes tronçon ]]/Tableau1[[#This Row],[BILLION VEH KM TRAVELLED]])</f>
        <v>0</v>
      </c>
      <c r="AD37" s="36"/>
      <c r="AE37" s="39">
        <f>Tableau1[[#This Row],[F&amp;S crashes tronçon ]]/Tableau1[[#This Row],[LENTGH SECTION(KM)]]</f>
        <v>0</v>
      </c>
      <c r="AF37" s="16"/>
      <c r="AG37" s="8" t="s">
        <v>218</v>
      </c>
      <c r="AH37" s="8" t="s">
        <v>211</v>
      </c>
      <c r="AI37" s="8" t="s">
        <v>212</v>
      </c>
      <c r="AJ37" s="8" t="s">
        <v>211</v>
      </c>
      <c r="AK37" s="8" t="s">
        <v>218</v>
      </c>
      <c r="AL37" s="8" t="s">
        <v>218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44">
        <f>IF(Tableau1[[#This Row],[Moyenne Journalière Infrations 2016]]&gt;0, Tableau1[[#This Row],[Moyenne Journalière Infrations 2016]]-Tableau1[[#This Row],[Moyenne Journalière Infrations 2017]],0)</f>
        <v>0</v>
      </c>
      <c r="AW37" s="44">
        <f>IF(Tableau1[[#This Row],[Moyenne Journalière Infrations 2015]]&gt;0, Tableau1[[#This Row],[Moyenne Journalière Infrations 2015]]-Tableau1[[#This Row],[Moyenne Journalière Infrations 2016]],0)</f>
        <v>0</v>
      </c>
    </row>
    <row r="38" spans="1:49" x14ac:dyDescent="0.3">
      <c r="A38" s="28">
        <f t="shared" si="0"/>
        <v>37</v>
      </c>
      <c r="B38" s="35" t="s">
        <v>182</v>
      </c>
      <c r="C38" s="11" t="s">
        <v>175</v>
      </c>
      <c r="D38" s="9" t="s">
        <v>205</v>
      </c>
      <c r="E38" s="10" t="s">
        <v>206</v>
      </c>
      <c r="F38" s="8">
        <v>20</v>
      </c>
      <c r="G38" s="8" t="s">
        <v>208</v>
      </c>
      <c r="H38" s="8">
        <v>0</v>
      </c>
      <c r="I38" s="8">
        <v>1</v>
      </c>
      <c r="J38" s="8">
        <f>Tableau1[[#This Row],[F crashes]]+Tableau1[[#This Row],[S crashes]]</f>
        <v>1</v>
      </c>
      <c r="K38" s="33">
        <f>IF(Tableau1[[#This Row],[F crashes]] &lt;&gt; 0, Tableau1[[#This Row],[F &amp; S crashes]]/Tableau1[[#This Row],[F crashes]], 1)</f>
        <v>1</v>
      </c>
      <c r="L38" s="8">
        <v>34208</v>
      </c>
      <c r="M38" s="8">
        <v>649954</v>
      </c>
      <c r="N38" s="26">
        <f>(Tableau1[[#This Row],[VEHIC KM / JOUR]]*365)/1000000000</f>
        <v>0.23723321</v>
      </c>
      <c r="O38" s="26">
        <f>(Tableau1[[#This Row],[F &amp; S crashes]]/Tableau1[[#This Row],[BILLION VEH KM TRAVELLED]])</f>
        <v>4.2152614298815925</v>
      </c>
      <c r="P38" s="11"/>
      <c r="Q38" s="34">
        <f>Tableau1[[#This Row],[F &amp; S crashes]]/2</f>
        <v>0.5</v>
      </c>
      <c r="R38" s="11"/>
      <c r="S38" s="23">
        <f>Tableau1[[#This Row],[VEHIC KM / JOUR]]/Tableau1[[#This Row],[TMJA (vehi/jour)]]</f>
        <v>19.00005846585594</v>
      </c>
      <c r="T38" s="8">
        <v>1</v>
      </c>
      <c r="U38" s="8">
        <v>1</v>
      </c>
      <c r="V38" s="8">
        <v>120</v>
      </c>
      <c r="W38" s="8">
        <v>13</v>
      </c>
      <c r="X38" s="8">
        <v>32</v>
      </c>
      <c r="Y38" s="8"/>
      <c r="Z38" s="8"/>
      <c r="AA38" s="26">
        <f>Tableau1[[#This Row],[F Crashes trancon]]+Tableau1[[#This Row],[S crashes trancon]]</f>
        <v>0</v>
      </c>
      <c r="AB38" s="23">
        <f>IF(Tableau1[[#This Row],[F Crashes trancon]]&lt;&gt; 0, Tableau1[[#This Row],[F&amp;S crashes tronçon ]]/Tableau1[[#This Row],[F Crashes trancon]], 1)</f>
        <v>1</v>
      </c>
      <c r="AC38" s="23">
        <f>(Tableau1[[#This Row],[F&amp;S crashes tronçon ]]/Tableau1[[#This Row],[BILLION VEH KM TRAVELLED]])</f>
        <v>0</v>
      </c>
      <c r="AD38" s="26"/>
      <c r="AE38" s="27">
        <f>Tableau1[[#This Row],[F&amp;S crashes tronçon ]]/Tableau1[[#This Row],[LENTGH SECTION(KM)]]</f>
        <v>0</v>
      </c>
      <c r="AF38" s="8"/>
      <c r="AG38" s="8" t="s">
        <v>218</v>
      </c>
      <c r="AH38" s="8" t="s">
        <v>211</v>
      </c>
      <c r="AI38" s="8" t="s">
        <v>211</v>
      </c>
      <c r="AJ38" s="8" t="s">
        <v>212</v>
      </c>
      <c r="AK38" s="8" t="s">
        <v>218</v>
      </c>
      <c r="AL38" s="8" t="s">
        <v>218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44">
        <f>IF(Tableau1[[#This Row],[Moyenne Journalière Infrations 2016]]&gt;0, Tableau1[[#This Row],[Moyenne Journalière Infrations 2016]]-Tableau1[[#This Row],[Moyenne Journalière Infrations 2017]],0)</f>
        <v>0</v>
      </c>
      <c r="AW38" s="44">
        <f>IF(Tableau1[[#This Row],[Moyenne Journalière Infrations 2015]]&gt;0, Tableau1[[#This Row],[Moyenne Journalière Infrations 2015]]-Tableau1[[#This Row],[Moyenne Journalière Infrations 2016]],0)</f>
        <v>0</v>
      </c>
    </row>
    <row r="39" spans="1:49" x14ac:dyDescent="0.3">
      <c r="A39" s="28">
        <f t="shared" si="0"/>
        <v>38</v>
      </c>
      <c r="B39" s="32" t="s">
        <v>183</v>
      </c>
      <c r="C39" s="11" t="s">
        <v>176</v>
      </c>
      <c r="D39" s="9" t="s">
        <v>205</v>
      </c>
      <c r="E39" s="10" t="s">
        <v>206</v>
      </c>
      <c r="F39" s="8">
        <v>20.100000000000001</v>
      </c>
      <c r="G39" s="8" t="s">
        <v>208</v>
      </c>
      <c r="H39" s="8">
        <v>0</v>
      </c>
      <c r="I39" s="8">
        <v>1</v>
      </c>
      <c r="J39" s="8">
        <f>Tableau1[[#This Row],[F crashes]]+Tableau1[[#This Row],[S crashes]]</f>
        <v>1</v>
      </c>
      <c r="K39" s="33">
        <f>IF(Tableau1[[#This Row],[F crashes]] &lt;&gt; 0, Tableau1[[#This Row],[F &amp; S crashes]]/Tableau1[[#This Row],[F crashes]], 1)</f>
        <v>1</v>
      </c>
      <c r="L39" s="8">
        <v>34208</v>
      </c>
      <c r="M39" s="8">
        <v>649954</v>
      </c>
      <c r="N39" s="26">
        <f>(Tableau1[[#This Row],[VEHIC KM / JOUR]]*365)/1000000000</f>
        <v>0.23723321</v>
      </c>
      <c r="O39" s="26">
        <f>(Tableau1[[#This Row],[F &amp; S crashes]]/Tableau1[[#This Row],[BILLION VEH KM TRAVELLED]])</f>
        <v>4.2152614298815925</v>
      </c>
      <c r="P39" s="11"/>
      <c r="Q39" s="34">
        <f>Tableau1[[#This Row],[F &amp; S crashes]]/2</f>
        <v>0.5</v>
      </c>
      <c r="R39" s="11"/>
      <c r="S39" s="23">
        <f>Tableau1[[#This Row],[VEHIC KM / JOUR]]/Tableau1[[#This Row],[TMJA (vehi/jour)]]</f>
        <v>19.00005846585594</v>
      </c>
      <c r="T39" s="8">
        <v>1</v>
      </c>
      <c r="U39" s="8">
        <v>1</v>
      </c>
      <c r="V39" s="8">
        <v>120</v>
      </c>
      <c r="W39" s="8">
        <v>13</v>
      </c>
      <c r="X39" s="8">
        <v>32</v>
      </c>
      <c r="Y39" s="8"/>
      <c r="Z39" s="8"/>
      <c r="AA39" s="26">
        <f>Tableau1[[#This Row],[F Crashes trancon]]+Tableau1[[#This Row],[S crashes trancon]]</f>
        <v>0</v>
      </c>
      <c r="AB39" s="23">
        <f>IF(Tableau1[[#This Row],[F Crashes trancon]]&lt;&gt; 0, Tableau1[[#This Row],[F&amp;S crashes tronçon ]]/Tableau1[[#This Row],[F Crashes trancon]], 1)</f>
        <v>1</v>
      </c>
      <c r="AC39" s="23">
        <f>(Tableau1[[#This Row],[F&amp;S crashes tronçon ]]/Tableau1[[#This Row],[BILLION VEH KM TRAVELLED]])</f>
        <v>0</v>
      </c>
      <c r="AD39" s="26"/>
      <c r="AE39" s="27">
        <f>Tableau1[[#This Row],[F&amp;S crashes tronçon ]]/Tableau1[[#This Row],[LENTGH SECTION(KM)]]</f>
        <v>0</v>
      </c>
      <c r="AF39" s="8"/>
      <c r="AG39" s="8" t="s">
        <v>218</v>
      </c>
      <c r="AH39" s="8" t="s">
        <v>211</v>
      </c>
      <c r="AI39" s="8" t="s">
        <v>211</v>
      </c>
      <c r="AJ39" s="8" t="s">
        <v>212</v>
      </c>
      <c r="AK39" s="8" t="s">
        <v>218</v>
      </c>
      <c r="AL39" s="8" t="s">
        <v>218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44">
        <f>IF(Tableau1[[#This Row],[Moyenne Journalière Infrations 2016]]&gt;0, Tableau1[[#This Row],[Moyenne Journalière Infrations 2016]]-Tableau1[[#This Row],[Moyenne Journalière Infrations 2017]],0)</f>
        <v>0</v>
      </c>
      <c r="AW39" s="44">
        <f>IF(Tableau1[[#This Row],[Moyenne Journalière Infrations 2015]]&gt;0, Tableau1[[#This Row],[Moyenne Journalière Infrations 2015]]-Tableau1[[#This Row],[Moyenne Journalière Infrations 2016]],0)</f>
        <v>0</v>
      </c>
    </row>
    <row r="40" spans="1:49" ht="28.8" x14ac:dyDescent="0.3">
      <c r="A40" s="28">
        <f t="shared" si="0"/>
        <v>39</v>
      </c>
      <c r="B40" s="8" t="s">
        <v>184</v>
      </c>
      <c r="C40" s="18" t="s">
        <v>222</v>
      </c>
      <c r="D40" s="9" t="s">
        <v>195</v>
      </c>
      <c r="E40" s="10" t="s">
        <v>196</v>
      </c>
      <c r="F40" s="8">
        <v>1.67</v>
      </c>
      <c r="G40" s="8" t="s">
        <v>220</v>
      </c>
      <c r="H40" s="8">
        <v>0</v>
      </c>
      <c r="I40" s="8">
        <v>0</v>
      </c>
      <c r="J40" s="8">
        <f>Tableau1[[#This Row],[F crashes]]+Tableau1[[#This Row],[S crashes]]</f>
        <v>0</v>
      </c>
      <c r="K40" s="33">
        <f>IF(Tableau1[[#This Row],[F crashes]] &lt;&gt; 0, Tableau1[[#This Row],[F &amp; S crashes]]/Tableau1[[#This Row],[F crashes]], 1)</f>
        <v>1</v>
      </c>
      <c r="L40" s="8">
        <v>57943</v>
      </c>
      <c r="M40" s="8">
        <v>985031</v>
      </c>
      <c r="N40" s="26">
        <f>(Tableau1[[#This Row],[VEHIC KM / JOUR]]*365)/1000000000</f>
        <v>0.359536315</v>
      </c>
      <c r="O40" s="26">
        <f>(Tableau1[[#This Row],[F &amp; S crashes]]/Tableau1[[#This Row],[BILLION VEH KM TRAVELLED]])</f>
        <v>0</v>
      </c>
      <c r="P40" s="11"/>
      <c r="Q40" s="34">
        <f>Tableau1[[#This Row],[F &amp; S crashes]]/2</f>
        <v>0</v>
      </c>
      <c r="R40" s="11"/>
      <c r="S40" s="23">
        <f>Tableau1[[#This Row],[VEHIC KM / JOUR]]/Tableau1[[#This Row],[TMJA (vehi/jour)]]</f>
        <v>17</v>
      </c>
      <c r="T40" s="8">
        <v>1</v>
      </c>
      <c r="U40" s="8">
        <v>1</v>
      </c>
      <c r="V40" s="8">
        <v>120</v>
      </c>
      <c r="W40" s="8">
        <v>0</v>
      </c>
      <c r="X40" s="8">
        <v>17</v>
      </c>
      <c r="Y40" s="8"/>
      <c r="Z40" s="8"/>
      <c r="AA40" s="26">
        <f>Tableau1[[#This Row],[F Crashes trancon]]+Tableau1[[#This Row],[S crashes trancon]]</f>
        <v>0</v>
      </c>
      <c r="AB40" s="23">
        <f>IF(Tableau1[[#This Row],[F Crashes trancon]]&lt;&gt; 0, Tableau1[[#This Row],[F&amp;S crashes tronçon ]]/Tableau1[[#This Row],[F Crashes trancon]], 1)</f>
        <v>1</v>
      </c>
      <c r="AC40" s="23">
        <f>(Tableau1[[#This Row],[F&amp;S crashes tronçon ]]/Tableau1[[#This Row],[BILLION VEH KM TRAVELLED]])</f>
        <v>0</v>
      </c>
      <c r="AD40" s="26"/>
      <c r="AE40" s="27">
        <f>Tableau1[[#This Row],[F&amp;S crashes tronçon ]]/Tableau1[[#This Row],[LENTGH SECTION(KM)]]</f>
        <v>0</v>
      </c>
      <c r="AF40" s="8"/>
      <c r="AG40" s="8" t="s">
        <v>218</v>
      </c>
      <c r="AH40" s="8" t="s">
        <v>211</v>
      </c>
      <c r="AI40" s="8" t="s">
        <v>212</v>
      </c>
      <c r="AJ40" s="8" t="s">
        <v>212</v>
      </c>
      <c r="AK40" s="8" t="s">
        <v>218</v>
      </c>
      <c r="AL40" s="8" t="s">
        <v>218</v>
      </c>
      <c r="AM40" s="8">
        <v>0</v>
      </c>
      <c r="AN40" s="8">
        <v>35853</v>
      </c>
      <c r="AO40" s="8">
        <v>29388</v>
      </c>
      <c r="AP40" s="8">
        <v>0</v>
      </c>
      <c r="AQ40" s="8">
        <v>0</v>
      </c>
      <c r="AR40" s="8">
        <v>187</v>
      </c>
      <c r="AS40" s="8">
        <v>191</v>
      </c>
      <c r="AT40" s="8">
        <v>131</v>
      </c>
      <c r="AU40" s="8">
        <v>224</v>
      </c>
      <c r="AV40" s="44">
        <f>IF(Tableau1[[#This Row],[Moyenne Journalière Infrations 2016]]&gt;0, Tableau1[[#This Row],[Moyenne Journalière Infrations 2016]]-Tableau1[[#This Row],[Moyenne Journalière Infrations 2017]],0)</f>
        <v>56</v>
      </c>
      <c r="AW40" s="44">
        <f>IF(Tableau1[[#This Row],[Moyenne Journalière Infrations 2015]]&gt;0, Tableau1[[#This Row],[Moyenne Journalière Infrations 2015]]-Tableau1[[#This Row],[Moyenne Journalière Infrations 2016]],0)</f>
        <v>0</v>
      </c>
    </row>
    <row r="41" spans="1:49" ht="28.8" x14ac:dyDescent="0.3">
      <c r="A41" s="28">
        <f t="shared" si="0"/>
        <v>40</v>
      </c>
      <c r="B41" s="35" t="s">
        <v>185</v>
      </c>
      <c r="C41" s="19" t="s">
        <v>221</v>
      </c>
      <c r="D41" s="9" t="s">
        <v>197</v>
      </c>
      <c r="E41" s="10" t="s">
        <v>198</v>
      </c>
      <c r="F41" s="8">
        <v>9.65</v>
      </c>
      <c r="G41" s="8" t="s">
        <v>220</v>
      </c>
      <c r="H41" s="8">
        <v>0</v>
      </c>
      <c r="I41" s="8">
        <v>0</v>
      </c>
      <c r="J41" s="8">
        <v>0</v>
      </c>
      <c r="K41" s="33">
        <f>IF(Tableau1[[#This Row],[F crashes]] &lt;&gt; 0, Tableau1[[#This Row],[F &amp; S crashes]]/Tableau1[[#This Row],[F crashes]], 1)</f>
        <v>1</v>
      </c>
      <c r="L41" s="8">
        <v>57943</v>
      </c>
      <c r="M41" s="8">
        <v>985031</v>
      </c>
      <c r="N41" s="26">
        <f>(Tableau1[[#This Row],[VEHIC KM / JOUR]]*365)/1000000000</f>
        <v>0.359536315</v>
      </c>
      <c r="O41" s="26">
        <f>(Tableau1[[#This Row],[F &amp; S crashes]]/Tableau1[[#This Row],[BILLION VEH KM TRAVELLED]])</f>
        <v>0</v>
      </c>
      <c r="P41" s="11"/>
      <c r="Q41" s="34">
        <f>Tableau1[[#This Row],[F &amp; S crashes]]/2</f>
        <v>0</v>
      </c>
      <c r="R41" s="11"/>
      <c r="S41" s="23">
        <f>Tableau1[[#This Row],[VEHIC KM / JOUR]]/Tableau1[[#This Row],[TMJA (vehi/jour)]]</f>
        <v>17</v>
      </c>
      <c r="T41" s="8">
        <v>1</v>
      </c>
      <c r="U41" s="8">
        <v>1</v>
      </c>
      <c r="V41" s="8">
        <v>120</v>
      </c>
      <c r="W41" s="8">
        <v>0</v>
      </c>
      <c r="X41" s="8">
        <v>17</v>
      </c>
      <c r="Y41" s="8"/>
      <c r="Z41" s="8"/>
      <c r="AA41" s="26">
        <f>Tableau1[[#This Row],[F Crashes trancon]]+Tableau1[[#This Row],[S crashes trancon]]</f>
        <v>0</v>
      </c>
      <c r="AB41" s="23">
        <f>IF(Tableau1[[#This Row],[F Crashes trancon]]&lt;&gt; 0, Tableau1[[#This Row],[F&amp;S crashes tronçon ]]/Tableau1[[#This Row],[F Crashes trancon]], 1)</f>
        <v>1</v>
      </c>
      <c r="AC41" s="23">
        <f>(Tableau1[[#This Row],[F&amp;S crashes tronçon ]]/Tableau1[[#This Row],[BILLION VEH KM TRAVELLED]])</f>
        <v>0</v>
      </c>
      <c r="AD41" s="26"/>
      <c r="AE41" s="27">
        <f>Tableau1[[#This Row],[F&amp;S crashes tronçon ]]/Tableau1[[#This Row],[LENTGH SECTION(KM)]]</f>
        <v>0</v>
      </c>
      <c r="AF41" s="8"/>
      <c r="AG41" s="8" t="s">
        <v>218</v>
      </c>
      <c r="AH41" s="8" t="s">
        <v>211</v>
      </c>
      <c r="AI41" s="8" t="s">
        <v>212</v>
      </c>
      <c r="AJ41" s="8" t="s">
        <v>212</v>
      </c>
      <c r="AK41" s="8" t="s">
        <v>218</v>
      </c>
      <c r="AL41" s="8" t="s">
        <v>218</v>
      </c>
      <c r="AM41" s="8">
        <v>134</v>
      </c>
      <c r="AN41" s="8">
        <v>56754</v>
      </c>
      <c r="AO41" s="8">
        <v>13896</v>
      </c>
      <c r="AP41" s="8">
        <v>134</v>
      </c>
      <c r="AQ41" s="8">
        <v>1</v>
      </c>
      <c r="AR41" s="8">
        <v>227</v>
      </c>
      <c r="AS41" s="8">
        <v>249</v>
      </c>
      <c r="AT41" s="8">
        <v>144</v>
      </c>
      <c r="AU41" s="8">
        <v>96</v>
      </c>
      <c r="AV41" s="44">
        <f>IF(Tableau1[[#This Row],[Moyenne Journalière Infrations 2016]]&gt;0, Tableau1[[#This Row],[Moyenne Journalière Infrations 2016]]-Tableau1[[#This Row],[Moyenne Journalière Infrations 2017]],0)</f>
        <v>83</v>
      </c>
      <c r="AW41" s="44">
        <f>IF(Tableau1[[#This Row],[Moyenne Journalière Infrations 2015]]&gt;0, Tableau1[[#This Row],[Moyenne Journalière Infrations 2015]]-Tableau1[[#This Row],[Moyenne Journalière Infrations 2016]],0)</f>
        <v>-93</v>
      </c>
    </row>
    <row r="42" spans="1:49" ht="28.8" x14ac:dyDescent="0.3">
      <c r="A42" s="28">
        <f t="shared" si="0"/>
        <v>41</v>
      </c>
      <c r="B42" s="8" t="s">
        <v>186</v>
      </c>
      <c r="C42" s="18" t="s">
        <v>219</v>
      </c>
      <c r="D42" s="9" t="s">
        <v>193</v>
      </c>
      <c r="E42" s="10" t="s">
        <v>194</v>
      </c>
      <c r="F42" s="8">
        <v>35</v>
      </c>
      <c r="G42" s="8" t="s">
        <v>220</v>
      </c>
      <c r="H42" s="8">
        <v>1</v>
      </c>
      <c r="I42" s="8">
        <v>1</v>
      </c>
      <c r="J42" s="8">
        <f>Tableau1[[#This Row],[F crashes]]+Tableau1[[#This Row],[S crashes]]</f>
        <v>2</v>
      </c>
      <c r="K42" s="33">
        <f>IF(Tableau1[[#This Row],[F crashes]] &lt;&gt; 0, Tableau1[[#This Row],[F &amp; S crashes]]/Tableau1[[#This Row],[F crashes]], 1)</f>
        <v>2</v>
      </c>
      <c r="L42" s="8">
        <v>50325</v>
      </c>
      <c r="M42" s="8">
        <v>1006492</v>
      </c>
      <c r="N42" s="26">
        <f>(Tableau1[[#This Row],[VEHIC KM / JOUR]]*365)/1000000000</f>
        <v>0.36736957999999997</v>
      </c>
      <c r="O42" s="26">
        <f>(Tableau1[[#This Row],[F &amp; S crashes]]/Tableau1[[#This Row],[BILLION VEH KM TRAVELLED]])</f>
        <v>5.4441088998169098</v>
      </c>
      <c r="P42" s="11"/>
      <c r="Q42" s="34">
        <f>Tableau1[[#This Row],[F &amp; S crashes]]/2</f>
        <v>1</v>
      </c>
      <c r="R42" s="11"/>
      <c r="S42" s="23">
        <f>Tableau1[[#This Row],[VEHIC KM / JOUR]]/Tableau1[[#This Row],[TMJA (vehi/jour)]]</f>
        <v>19.999841033283655</v>
      </c>
      <c r="T42" s="8">
        <v>1</v>
      </c>
      <c r="U42" s="8">
        <v>1</v>
      </c>
      <c r="V42" s="8">
        <v>120</v>
      </c>
      <c r="W42" s="8">
        <v>29</v>
      </c>
      <c r="X42" s="8">
        <v>49</v>
      </c>
      <c r="Y42" s="8"/>
      <c r="Z42" s="8"/>
      <c r="AA42" s="26">
        <f>Tableau1[[#This Row],[F Crashes trancon]]+Tableau1[[#This Row],[S crashes trancon]]</f>
        <v>0</v>
      </c>
      <c r="AB42" s="23">
        <f>IF(Tableau1[[#This Row],[F Crashes trancon]]&lt;&gt; 0, Tableau1[[#This Row],[F&amp;S crashes tronçon ]]/Tableau1[[#This Row],[F Crashes trancon]], 1)</f>
        <v>1</v>
      </c>
      <c r="AC42" s="23">
        <f>(Tableau1[[#This Row],[F&amp;S crashes tronçon ]]/Tableau1[[#This Row],[BILLION VEH KM TRAVELLED]])</f>
        <v>0</v>
      </c>
      <c r="AD42" s="26"/>
      <c r="AE42" s="27">
        <f>Tableau1[[#This Row],[F&amp;S crashes tronçon ]]/Tableau1[[#This Row],[LENTGH SECTION(KM)]]</f>
        <v>0</v>
      </c>
      <c r="AF42" s="8"/>
      <c r="AG42" s="8" t="s">
        <v>218</v>
      </c>
      <c r="AH42" s="8" t="s">
        <v>211</v>
      </c>
      <c r="AI42" s="8" t="s">
        <v>211</v>
      </c>
      <c r="AJ42" s="8" t="s">
        <v>212</v>
      </c>
      <c r="AK42" s="8" t="s">
        <v>218</v>
      </c>
      <c r="AL42" s="8" t="s">
        <v>218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44">
        <f>IF(Tableau1[[#This Row],[Moyenne Journalière Infrations 2016]]&gt;0, Tableau1[[#This Row],[Moyenne Journalière Infrations 2016]]-Tableau1[[#This Row],[Moyenne Journalière Infrations 2017]],0)</f>
        <v>0</v>
      </c>
      <c r="AW42" s="44">
        <f>IF(Tableau1[[#This Row],[Moyenne Journalière Infrations 2015]]&gt;0, Tableau1[[#This Row],[Moyenne Journalière Infrations 2015]]-Tableau1[[#This Row],[Moyenne Journalière Infrations 2016]],0)</f>
        <v>0</v>
      </c>
    </row>
    <row r="43" spans="1:49" x14ac:dyDescent="0.3">
      <c r="A43" s="28">
        <f t="shared" si="0"/>
        <v>42</v>
      </c>
      <c r="B43" s="32" t="s">
        <v>187</v>
      </c>
      <c r="C43" s="11" t="s">
        <v>177</v>
      </c>
      <c r="D43" s="9" t="s">
        <v>191</v>
      </c>
      <c r="E43" s="10" t="s">
        <v>192</v>
      </c>
      <c r="F43" s="8">
        <v>5.8</v>
      </c>
      <c r="G43" s="8" t="s">
        <v>207</v>
      </c>
      <c r="H43" s="8">
        <v>2</v>
      </c>
      <c r="I43" s="8">
        <v>1</v>
      </c>
      <c r="J43" s="8">
        <f>Tableau1[[#This Row],[F crashes]]+Tableau1[[#This Row],[S crashes]]</f>
        <v>3</v>
      </c>
      <c r="K43" s="33">
        <f>IF(Tableau1[[#This Row],[F crashes]] &lt;&gt; 0, Tableau1[[#This Row],[F &amp; S crashes]]/Tableau1[[#This Row],[F crashes]], 1)</f>
        <v>1.5</v>
      </c>
      <c r="L43" s="8">
        <v>55874</v>
      </c>
      <c r="M43" s="8">
        <v>726356</v>
      </c>
      <c r="N43" s="26">
        <f>(Tableau1[[#This Row],[VEHIC KM / JOUR]]*365)/1000000000</f>
        <v>0.26511994</v>
      </c>
      <c r="O43" s="26">
        <f>(Tableau1[[#This Row],[F &amp; S crashes]]/Tableau1[[#This Row],[BILLION VEH KM TRAVELLED]])</f>
        <v>11.315633218685852</v>
      </c>
      <c r="P43" s="11"/>
      <c r="Q43" s="34">
        <f>Tableau1[[#This Row],[F &amp; S crashes]]/2</f>
        <v>1.5</v>
      </c>
      <c r="R43" s="11"/>
      <c r="S43" s="23">
        <f>Tableau1[[#This Row],[VEHIC KM / JOUR]]/Tableau1[[#This Row],[TMJA (vehi/jour)]]</f>
        <v>12.999892615527795</v>
      </c>
      <c r="T43" s="8">
        <v>1</v>
      </c>
      <c r="U43" s="8">
        <v>1</v>
      </c>
      <c r="V43" s="8">
        <v>120</v>
      </c>
      <c r="W43" s="8">
        <v>0</v>
      </c>
      <c r="X43" s="8">
        <v>13</v>
      </c>
      <c r="Y43" s="8"/>
      <c r="Z43" s="8"/>
      <c r="AA43" s="26">
        <f>Tableau1[[#This Row],[F Crashes trancon]]+Tableau1[[#This Row],[S crashes trancon]]</f>
        <v>0</v>
      </c>
      <c r="AB43" s="23">
        <f>IF(Tableau1[[#This Row],[F Crashes trancon]]&lt;&gt; 0, Tableau1[[#This Row],[F&amp;S crashes tronçon ]]/Tableau1[[#This Row],[F Crashes trancon]], 1)</f>
        <v>1</v>
      </c>
      <c r="AC43" s="23">
        <f>(Tableau1[[#This Row],[F&amp;S crashes tronçon ]]/Tableau1[[#This Row],[BILLION VEH KM TRAVELLED]])</f>
        <v>0</v>
      </c>
      <c r="AD43" s="26"/>
      <c r="AE43" s="27">
        <f>Tableau1[[#This Row],[F&amp;S crashes tronçon ]]/Tableau1[[#This Row],[LENTGH SECTION(KM)]]</f>
        <v>0</v>
      </c>
      <c r="AF43" s="8"/>
      <c r="AG43" s="8" t="s">
        <v>218</v>
      </c>
      <c r="AH43" s="8" t="s">
        <v>211</v>
      </c>
      <c r="AI43" s="8" t="s">
        <v>212</v>
      </c>
      <c r="AJ43" s="8" t="s">
        <v>212</v>
      </c>
      <c r="AK43" s="8" t="s">
        <v>218</v>
      </c>
      <c r="AL43" s="8" t="s">
        <v>218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44">
        <f>IF(Tableau1[[#This Row],[Moyenne Journalière Infrations 2016]]&gt;0, Tableau1[[#This Row],[Moyenne Journalière Infrations 2016]]-Tableau1[[#This Row],[Moyenne Journalière Infrations 2017]],0)</f>
        <v>0</v>
      </c>
      <c r="AW43" s="44">
        <f>IF(Tableau1[[#This Row],[Moyenne Journalière Infrations 2015]]&gt;0, Tableau1[[#This Row],[Moyenne Journalière Infrations 2015]]-Tableau1[[#This Row],[Moyenne Journalière Infrations 2016]],0)</f>
        <v>0</v>
      </c>
    </row>
    <row r="44" spans="1:49" s="17" customFormat="1" ht="26.4" customHeight="1" x14ac:dyDescent="0.3">
      <c r="A44" s="28">
        <f t="shared" si="0"/>
        <v>43</v>
      </c>
      <c r="B44" s="32" t="s">
        <v>188</v>
      </c>
      <c r="C44" s="11" t="s">
        <v>178</v>
      </c>
      <c r="D44" s="9" t="s">
        <v>191</v>
      </c>
      <c r="E44" s="10" t="s">
        <v>192</v>
      </c>
      <c r="F44" s="8">
        <v>3.9</v>
      </c>
      <c r="G44" s="8" t="s">
        <v>207</v>
      </c>
      <c r="H44" s="8">
        <v>2</v>
      </c>
      <c r="I44" s="8">
        <v>1</v>
      </c>
      <c r="J44" s="8">
        <f>Tableau1[[#This Row],[F crashes]]+Tableau1[[#This Row],[S crashes]]</f>
        <v>3</v>
      </c>
      <c r="K44" s="33">
        <f>IF(Tableau1[[#This Row],[F crashes]] &lt;&gt; 0, Tableau1[[#This Row],[F &amp; S crashes]]/Tableau1[[#This Row],[F crashes]], 1)</f>
        <v>1.5</v>
      </c>
      <c r="L44" s="8">
        <v>55874</v>
      </c>
      <c r="M44" s="8">
        <v>726356</v>
      </c>
      <c r="N44" s="26">
        <f>(Tableau1[[#This Row],[VEHIC KM / JOUR]]*365)/1000000000</f>
        <v>0.26511994</v>
      </c>
      <c r="O44" s="26">
        <f>(Tableau1[[#This Row],[F &amp; S crashes]]/Tableau1[[#This Row],[BILLION VEH KM TRAVELLED]])</f>
        <v>11.315633218685852</v>
      </c>
      <c r="P44" s="11"/>
      <c r="Q44" s="34">
        <f>Tableau1[[#This Row],[F &amp; S crashes]]/2</f>
        <v>1.5</v>
      </c>
      <c r="R44" s="11"/>
      <c r="S44" s="23">
        <f>Tableau1[[#This Row],[VEHIC KM / JOUR]]/Tableau1[[#This Row],[TMJA (vehi/jour)]]</f>
        <v>12.999892615527795</v>
      </c>
      <c r="T44" s="8">
        <v>1</v>
      </c>
      <c r="U44" s="8">
        <v>1</v>
      </c>
      <c r="V44" s="8">
        <v>120</v>
      </c>
      <c r="W44" s="8">
        <v>0</v>
      </c>
      <c r="X44" s="8">
        <v>13</v>
      </c>
      <c r="Y44" s="8"/>
      <c r="Z44" s="8"/>
      <c r="AA44" s="26">
        <f>Tableau1[[#This Row],[F Crashes trancon]]+Tableau1[[#This Row],[S crashes trancon]]</f>
        <v>0</v>
      </c>
      <c r="AB44" s="23">
        <f>IF(Tableau1[[#This Row],[F Crashes trancon]]&lt;&gt; 0, Tableau1[[#This Row],[F&amp;S crashes tronçon ]]/Tableau1[[#This Row],[F Crashes trancon]], 1)</f>
        <v>1</v>
      </c>
      <c r="AC44" s="23">
        <f>(Tableau1[[#This Row],[F&amp;S crashes tronçon ]]/Tableau1[[#This Row],[BILLION VEH KM TRAVELLED]])</f>
        <v>0</v>
      </c>
      <c r="AD44" s="26"/>
      <c r="AE44" s="27">
        <f>Tableau1[[#This Row],[F&amp;S crashes tronçon ]]/Tableau1[[#This Row],[LENTGH SECTION(KM)]]</f>
        <v>0</v>
      </c>
      <c r="AF44" s="8"/>
      <c r="AG44" s="8" t="s">
        <v>218</v>
      </c>
      <c r="AH44" s="8" t="s">
        <v>211</v>
      </c>
      <c r="AI44" s="8" t="s">
        <v>212</v>
      </c>
      <c r="AJ44" s="8" t="s">
        <v>212</v>
      </c>
      <c r="AK44" s="8" t="s">
        <v>218</v>
      </c>
      <c r="AL44" s="8" t="s">
        <v>218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44">
        <f>IF(Tableau1[[#This Row],[Moyenne Journalière Infrations 2016]]&gt;0, Tableau1[[#This Row],[Moyenne Journalière Infrations 2016]]-Tableau1[[#This Row],[Moyenne Journalière Infrations 2017]],0)</f>
        <v>0</v>
      </c>
      <c r="AW44" s="44">
        <f>IF(Tableau1[[#This Row],[Moyenne Journalière Infrations 2015]]&gt;0, Tableau1[[#This Row],[Moyenne Journalière Infrations 2015]]-Tableau1[[#This Row],[Moyenne Journalière Infrations 2016]],0)</f>
        <v>0</v>
      </c>
    </row>
    <row r="45" spans="1:49" s="17" customFormat="1" ht="26.4" customHeight="1" x14ac:dyDescent="0.3">
      <c r="A45" s="28">
        <f t="shared" si="0"/>
        <v>44</v>
      </c>
      <c r="B45" s="41" t="s">
        <v>235</v>
      </c>
      <c r="C45" s="11" t="s">
        <v>246</v>
      </c>
      <c r="D45" s="9" t="s">
        <v>257</v>
      </c>
      <c r="E45" s="10" t="s">
        <v>258</v>
      </c>
      <c r="F45" s="8">
        <v>156.79</v>
      </c>
      <c r="G45" s="8" t="s">
        <v>207</v>
      </c>
      <c r="H45" s="8">
        <v>0</v>
      </c>
      <c r="I45" s="8">
        <v>0</v>
      </c>
      <c r="J45" s="8">
        <f>Tableau1[[#This Row],[F crashes]]+Tableau1[[#This Row],[S crashes]]</f>
        <v>0</v>
      </c>
      <c r="K45" s="33">
        <f>IF(Tableau1[[#This Row],[F crashes]] &lt;&gt; 0, Tableau1[[#This Row],[F &amp; S crashes]]/Tableau1[[#This Row],[F crashes]], 1)</f>
        <v>1</v>
      </c>
      <c r="L45" s="8">
        <v>13177</v>
      </c>
      <c r="M45" s="8">
        <v>421652</v>
      </c>
      <c r="N45" s="26">
        <f>(Tableau1[[#This Row],[VEHIC KM / JOUR]]*365)/1000000000</f>
        <v>0.15390297999999999</v>
      </c>
      <c r="O45" s="26">
        <f>(Tableau1[[#This Row],[F &amp; S crashes]]/Tableau1[[#This Row],[BILLION VEH KM TRAVELLED]])</f>
        <v>0</v>
      </c>
      <c r="P45" s="11"/>
      <c r="Q45" s="34">
        <f>Tableau1[[#This Row],[F &amp; S crashes]]/2</f>
        <v>0</v>
      </c>
      <c r="R45" s="11"/>
      <c r="S45" s="23">
        <f>Tableau1[[#This Row],[VEHIC KM / JOUR]]/Tableau1[[#This Row],[TMJA (vehi/jour)]]</f>
        <v>31.999089322304016</v>
      </c>
      <c r="T45" s="8"/>
      <c r="U45" s="8"/>
      <c r="V45" s="8"/>
      <c r="W45" s="8"/>
      <c r="X45" s="8"/>
      <c r="Y45" s="8"/>
      <c r="Z45" s="8"/>
      <c r="AA45" s="26">
        <f>Tableau1[[#This Row],[F Crashes trancon]]+Tableau1[[#This Row],[S crashes trancon]]</f>
        <v>0</v>
      </c>
      <c r="AB45" s="23">
        <f>IF(Tableau1[[#This Row],[F Crashes trancon]]&lt;&gt; 0, Tableau1[[#This Row],[F&amp;S crashes tronçon ]]/Tableau1[[#This Row],[F Crashes trancon]], 1)</f>
        <v>1</v>
      </c>
      <c r="AC45" s="23">
        <f>(Tableau1[[#This Row],[F&amp;S crashes tronçon ]]/Tableau1[[#This Row],[BILLION VEH KM TRAVELLED]])</f>
        <v>0</v>
      </c>
      <c r="AD45" s="26"/>
      <c r="AE45" s="27">
        <f>Tableau1[[#This Row],[F&amp;S crashes tronçon ]]/Tableau1[[#This Row],[LENTGH SECTION(KM)]]</f>
        <v>0</v>
      </c>
      <c r="AF45" s="8"/>
      <c r="AG45" s="8" t="s">
        <v>218</v>
      </c>
      <c r="AH45" s="8" t="s">
        <v>212</v>
      </c>
      <c r="AI45" s="8" t="s">
        <v>212</v>
      </c>
      <c r="AJ45" s="8" t="s">
        <v>211</v>
      </c>
      <c r="AK45" s="8" t="s">
        <v>218</v>
      </c>
      <c r="AL45" s="8" t="s">
        <v>218</v>
      </c>
      <c r="AM45" s="8">
        <v>0</v>
      </c>
      <c r="AN45" s="16">
        <v>38696</v>
      </c>
      <c r="AO45" s="16">
        <v>48796</v>
      </c>
      <c r="AP45" s="8">
        <v>0</v>
      </c>
      <c r="AQ45" s="8">
        <v>0</v>
      </c>
      <c r="AR45" s="16">
        <v>170</v>
      </c>
      <c r="AS45" s="16">
        <v>227</v>
      </c>
      <c r="AT45" s="16">
        <v>140</v>
      </c>
      <c r="AU45" s="16">
        <v>348</v>
      </c>
      <c r="AV45" s="44">
        <f>IF(Tableau1[[#This Row],[Moyenne Journalière Infrations 2016]]&gt;0, Tableau1[[#This Row],[Moyenne Journalière Infrations 2016]]-Tableau1[[#This Row],[Moyenne Journalière Infrations 2017]],0)</f>
        <v>30</v>
      </c>
      <c r="AW45" s="44">
        <f>IF(Tableau1[[#This Row],[Moyenne Journalière Infrations 2015]]&gt;0, Tableau1[[#This Row],[Moyenne Journalière Infrations 2015]]-Tableau1[[#This Row],[Moyenne Journalière Infrations 2016]],0)</f>
        <v>0</v>
      </c>
    </row>
    <row r="46" spans="1:49" s="17" customFormat="1" ht="26.4" customHeight="1" x14ac:dyDescent="0.3">
      <c r="A46" s="28">
        <f t="shared" si="0"/>
        <v>45</v>
      </c>
      <c r="B46" s="41" t="s">
        <v>236</v>
      </c>
      <c r="C46" s="11" t="s">
        <v>247</v>
      </c>
      <c r="D46" s="9" t="s">
        <v>259</v>
      </c>
      <c r="E46" s="10" t="s">
        <v>260</v>
      </c>
      <c r="F46" s="8">
        <v>194</v>
      </c>
      <c r="G46" s="8" t="s">
        <v>207</v>
      </c>
      <c r="H46" s="8">
        <v>0</v>
      </c>
      <c r="I46" s="8">
        <v>1</v>
      </c>
      <c r="J46" s="8">
        <f>Tableau1[[#This Row],[F crashes]]+Tableau1[[#This Row],[S crashes]]</f>
        <v>1</v>
      </c>
      <c r="K46" s="33">
        <f>IF(Tableau1[[#This Row],[F crashes]] &lt;&gt; 0, Tableau1[[#This Row],[F &amp; S crashes]]/Tableau1[[#This Row],[F crashes]], 1)</f>
        <v>1</v>
      </c>
      <c r="L46" s="8">
        <v>13054</v>
      </c>
      <c r="M46" s="8">
        <v>496058</v>
      </c>
      <c r="N46" s="26">
        <f>(Tableau1[[#This Row],[VEHIC KM / JOUR]]*365)/1000000000</f>
        <v>0.18106116999999999</v>
      </c>
      <c r="O46" s="26">
        <f>(Tableau1[[#This Row],[F &amp; S crashes]]/Tableau1[[#This Row],[BILLION VEH KM TRAVELLED]])</f>
        <v>5.5229953501349849</v>
      </c>
      <c r="P46" s="11"/>
      <c r="Q46" s="34">
        <f>Tableau1[[#This Row],[F &amp; S crashes]]/2</f>
        <v>0.5</v>
      </c>
      <c r="R46" s="11"/>
      <c r="S46" s="23">
        <f>Tableau1[[#This Row],[VEHIC KM / JOUR]]/Tableau1[[#This Row],[TMJA (vehi/jour)]]</f>
        <v>38.000459629232417</v>
      </c>
      <c r="T46" s="8"/>
      <c r="U46" s="8"/>
      <c r="V46" s="8"/>
      <c r="W46" s="8"/>
      <c r="X46" s="8"/>
      <c r="Y46" s="8"/>
      <c r="Z46" s="8"/>
      <c r="AA46" s="26">
        <f>Tableau1[[#This Row],[F Crashes trancon]]+Tableau1[[#This Row],[S crashes trancon]]</f>
        <v>0</v>
      </c>
      <c r="AB46" s="23">
        <f>IF(Tableau1[[#This Row],[F Crashes trancon]]&lt;&gt; 0, Tableau1[[#This Row],[F&amp;S crashes tronçon ]]/Tableau1[[#This Row],[F Crashes trancon]], 1)</f>
        <v>1</v>
      </c>
      <c r="AC46" s="23">
        <f>(Tableau1[[#This Row],[F&amp;S crashes tronçon ]]/Tableau1[[#This Row],[BILLION VEH KM TRAVELLED]])</f>
        <v>0</v>
      </c>
      <c r="AD46" s="26"/>
      <c r="AE46" s="27">
        <f>Tableau1[[#This Row],[F&amp;S crashes tronçon ]]/Tableau1[[#This Row],[LENTGH SECTION(KM)]]</f>
        <v>0</v>
      </c>
      <c r="AF46" s="8"/>
      <c r="AG46" s="8" t="s">
        <v>218</v>
      </c>
      <c r="AH46" s="8" t="s">
        <v>211</v>
      </c>
      <c r="AI46" s="8" t="s">
        <v>211</v>
      </c>
      <c r="AJ46" s="8" t="s">
        <v>211</v>
      </c>
      <c r="AK46" s="8" t="s">
        <v>218</v>
      </c>
      <c r="AL46" s="8" t="s">
        <v>218</v>
      </c>
      <c r="AM46" s="16">
        <v>2606</v>
      </c>
      <c r="AN46" s="16">
        <v>58078</v>
      </c>
      <c r="AO46" s="16">
        <v>44583</v>
      </c>
      <c r="AP46" s="16">
        <v>217</v>
      </c>
      <c r="AQ46" s="16">
        <v>12</v>
      </c>
      <c r="AR46" s="16">
        <v>176</v>
      </c>
      <c r="AS46" s="16">
        <v>329</v>
      </c>
      <c r="AT46" s="16">
        <v>125</v>
      </c>
      <c r="AU46" s="16">
        <v>354</v>
      </c>
      <c r="AV46" s="44">
        <f>IF(Tableau1[[#This Row],[Moyenne Journalière Infrations 2016]]&gt;0, Tableau1[[#This Row],[Moyenne Journalière Infrations 2016]]-Tableau1[[#This Row],[Moyenne Journalière Infrations 2017]],0)</f>
        <v>51</v>
      </c>
      <c r="AW46" s="44">
        <f>IF(Tableau1[[#This Row],[Moyenne Journalière Infrations 2015]]&gt;0, Tableau1[[#This Row],[Moyenne Journalière Infrations 2015]]-Tableau1[[#This Row],[Moyenne Journalière Infrations 2016]],0)</f>
        <v>41</v>
      </c>
    </row>
    <row r="47" spans="1:49" s="17" customFormat="1" ht="26.4" customHeight="1" x14ac:dyDescent="0.3">
      <c r="A47" s="28">
        <f t="shared" si="0"/>
        <v>46</v>
      </c>
      <c r="B47" s="41" t="s">
        <v>237</v>
      </c>
      <c r="C47" s="11" t="s">
        <v>248</v>
      </c>
      <c r="D47" s="9" t="s">
        <v>261</v>
      </c>
      <c r="E47" s="10" t="s">
        <v>262</v>
      </c>
      <c r="F47" s="8">
        <v>344.4</v>
      </c>
      <c r="G47" s="8" t="s">
        <v>207</v>
      </c>
      <c r="H47" s="8">
        <v>0</v>
      </c>
      <c r="I47" s="8">
        <v>0</v>
      </c>
      <c r="J47" s="8">
        <f>Tableau1[[#This Row],[F crashes]]+Tableau1[[#This Row],[S crashes]]</f>
        <v>0</v>
      </c>
      <c r="K47" s="33">
        <f>IF(Tableau1[[#This Row],[F crashes]] &lt;&gt; 0, Tableau1[[#This Row],[F &amp; S crashes]]/Tableau1[[#This Row],[F crashes]], 1)</f>
        <v>1</v>
      </c>
      <c r="L47" s="8">
        <v>6885</v>
      </c>
      <c r="M47" s="8">
        <v>419996</v>
      </c>
      <c r="N47" s="26">
        <f>(Tableau1[[#This Row],[VEHIC KM / JOUR]]*365)/1000000000</f>
        <v>0.15329854000000001</v>
      </c>
      <c r="O47" s="26">
        <f>(Tableau1[[#This Row],[F &amp; S crashes]]/Tableau1[[#This Row],[BILLION VEH KM TRAVELLED]])</f>
        <v>0</v>
      </c>
      <c r="P47" s="11"/>
      <c r="Q47" s="34">
        <f>Tableau1[[#This Row],[F &amp; S crashes]]/2</f>
        <v>0</v>
      </c>
      <c r="R47" s="11"/>
      <c r="S47" s="23">
        <f>Tableau1[[#This Row],[VEHIC KM / JOUR]]/Tableau1[[#This Row],[TMJA (vehi/jour)]]</f>
        <v>61.00159767610748</v>
      </c>
      <c r="T47" s="8"/>
      <c r="U47" s="8"/>
      <c r="V47" s="8"/>
      <c r="W47" s="8"/>
      <c r="X47" s="8"/>
      <c r="Y47" s="8"/>
      <c r="Z47" s="8"/>
      <c r="AA47" s="26">
        <f>Tableau1[[#This Row],[F Crashes trancon]]+Tableau1[[#This Row],[S crashes trancon]]</f>
        <v>0</v>
      </c>
      <c r="AB47" s="23">
        <f>IF(Tableau1[[#This Row],[F Crashes trancon]]&lt;&gt; 0, Tableau1[[#This Row],[F&amp;S crashes tronçon ]]/Tableau1[[#This Row],[F Crashes trancon]], 1)</f>
        <v>1</v>
      </c>
      <c r="AC47" s="23">
        <f>(Tableau1[[#This Row],[F&amp;S crashes tronçon ]]/Tableau1[[#This Row],[BILLION VEH KM TRAVELLED]])</f>
        <v>0</v>
      </c>
      <c r="AD47" s="26"/>
      <c r="AE47" s="27">
        <f>Tableau1[[#This Row],[F&amp;S crashes tronçon ]]/Tableau1[[#This Row],[LENTGH SECTION(KM)]]</f>
        <v>0</v>
      </c>
      <c r="AF47" s="8"/>
      <c r="AG47" s="8" t="s">
        <v>218</v>
      </c>
      <c r="AH47" s="8" t="s">
        <v>212</v>
      </c>
      <c r="AI47" s="8" t="s">
        <v>212</v>
      </c>
      <c r="AJ47" s="8" t="s">
        <v>211</v>
      </c>
      <c r="AK47" s="8" t="s">
        <v>218</v>
      </c>
      <c r="AL47" s="8" t="s">
        <v>218</v>
      </c>
      <c r="AM47" s="16">
        <v>3668</v>
      </c>
      <c r="AN47" s="16">
        <v>23658</v>
      </c>
      <c r="AO47" s="16">
        <v>26872</v>
      </c>
      <c r="AP47" s="16">
        <v>76</v>
      </c>
      <c r="AQ47" s="16">
        <v>48</v>
      </c>
      <c r="AR47" s="16">
        <v>96</v>
      </c>
      <c r="AS47" s="16">
        <v>246</v>
      </c>
      <c r="AT47" s="16">
        <v>93</v>
      </c>
      <c r="AU47" s="16">
        <v>287</v>
      </c>
      <c r="AV47" s="44">
        <f>IF(Tableau1[[#This Row],[Moyenne Journalière Infrations 2016]]&gt;0, Tableau1[[#This Row],[Moyenne Journalière Infrations 2016]]-Tableau1[[#This Row],[Moyenne Journalière Infrations 2017]],0)</f>
        <v>3</v>
      </c>
      <c r="AW47" s="44">
        <f>IF(Tableau1[[#This Row],[Moyenne Journalière Infrations 2015]]&gt;0, Tableau1[[#This Row],[Moyenne Journalière Infrations 2015]]-Tableau1[[#This Row],[Moyenne Journalière Infrations 2016]],0)</f>
        <v>-20</v>
      </c>
    </row>
    <row r="48" spans="1:49" s="17" customFormat="1" ht="26.4" customHeight="1" x14ac:dyDescent="0.3">
      <c r="A48" s="28">
        <f t="shared" si="0"/>
        <v>47</v>
      </c>
      <c r="B48" s="41" t="s">
        <v>238</v>
      </c>
      <c r="C48" s="11" t="s">
        <v>249</v>
      </c>
      <c r="D48" s="9" t="s">
        <v>263</v>
      </c>
      <c r="E48" s="10" t="s">
        <v>264</v>
      </c>
      <c r="F48" s="8">
        <v>344.5</v>
      </c>
      <c r="G48" s="8" t="s">
        <v>207</v>
      </c>
      <c r="H48" s="8">
        <v>0</v>
      </c>
      <c r="I48" s="8">
        <v>0</v>
      </c>
      <c r="J48" s="8">
        <f>Tableau1[[#This Row],[F crashes]]+Tableau1[[#This Row],[S crashes]]</f>
        <v>0</v>
      </c>
      <c r="K48" s="33">
        <f>IF(Tableau1[[#This Row],[F crashes]] &lt;&gt; 0, Tableau1[[#This Row],[F &amp; S crashes]]/Tableau1[[#This Row],[F crashes]], 1)</f>
        <v>1</v>
      </c>
      <c r="L48" s="8">
        <v>6885</v>
      </c>
      <c r="M48" s="8">
        <v>419996</v>
      </c>
      <c r="N48" s="26">
        <f>(Tableau1[[#This Row],[VEHIC KM / JOUR]]*365)/1000000000</f>
        <v>0.15329854000000001</v>
      </c>
      <c r="O48" s="26">
        <f>(Tableau1[[#This Row],[F &amp; S crashes]]/Tableau1[[#This Row],[BILLION VEH KM TRAVELLED]])</f>
        <v>0</v>
      </c>
      <c r="P48" s="11"/>
      <c r="Q48" s="34">
        <f>Tableau1[[#This Row],[F &amp; S crashes]]/2</f>
        <v>0</v>
      </c>
      <c r="R48" s="11"/>
      <c r="S48" s="23">
        <f>Tableau1[[#This Row],[VEHIC KM / JOUR]]/Tableau1[[#This Row],[TMJA (vehi/jour)]]</f>
        <v>61.00159767610748</v>
      </c>
      <c r="T48" s="8"/>
      <c r="U48" s="8"/>
      <c r="V48" s="8"/>
      <c r="W48" s="8"/>
      <c r="X48" s="8"/>
      <c r="Y48" s="8"/>
      <c r="Z48" s="8"/>
      <c r="AA48" s="26">
        <f>Tableau1[[#This Row],[F Crashes trancon]]+Tableau1[[#This Row],[S crashes trancon]]</f>
        <v>0</v>
      </c>
      <c r="AB48" s="23">
        <f>IF(Tableau1[[#This Row],[F Crashes trancon]]&lt;&gt; 0, Tableau1[[#This Row],[F&amp;S crashes tronçon ]]/Tableau1[[#This Row],[F Crashes trancon]], 1)</f>
        <v>1</v>
      </c>
      <c r="AC48" s="23">
        <f>(Tableau1[[#This Row],[F&amp;S crashes tronçon ]]/Tableau1[[#This Row],[BILLION VEH KM TRAVELLED]])</f>
        <v>0</v>
      </c>
      <c r="AD48" s="26"/>
      <c r="AE48" s="27">
        <f>Tableau1[[#This Row],[F&amp;S crashes tronçon ]]/Tableau1[[#This Row],[LENTGH SECTION(KM)]]</f>
        <v>0</v>
      </c>
      <c r="AF48" s="8"/>
      <c r="AG48" s="8" t="s">
        <v>218</v>
      </c>
      <c r="AH48" s="8" t="s">
        <v>212</v>
      </c>
      <c r="AI48" s="8" t="s">
        <v>212</v>
      </c>
      <c r="AJ48" s="8" t="s">
        <v>211</v>
      </c>
      <c r="AK48" s="8" t="s">
        <v>218</v>
      </c>
      <c r="AL48" s="8" t="s">
        <v>218</v>
      </c>
      <c r="AM48" s="16">
        <v>4919</v>
      </c>
      <c r="AN48" s="16">
        <v>22442</v>
      </c>
      <c r="AO48" s="16">
        <v>22406</v>
      </c>
      <c r="AP48" s="16">
        <v>56</v>
      </c>
      <c r="AQ48" s="16">
        <v>87</v>
      </c>
      <c r="AR48" s="16">
        <v>69</v>
      </c>
      <c r="AS48" s="16">
        <v>324</v>
      </c>
      <c r="AT48" s="16">
        <v>61</v>
      </c>
      <c r="AU48" s="16">
        <v>364</v>
      </c>
      <c r="AV48" s="44">
        <f>IF(Tableau1[[#This Row],[Moyenne Journalière Infrations 2016]]&gt;0, Tableau1[[#This Row],[Moyenne Journalière Infrations 2016]]-Tableau1[[#This Row],[Moyenne Journalière Infrations 2017]],0)</f>
        <v>8</v>
      </c>
      <c r="AW48" s="44">
        <f>IF(Tableau1[[#This Row],[Moyenne Journalière Infrations 2015]]&gt;0, Tableau1[[#This Row],[Moyenne Journalière Infrations 2015]]-Tableau1[[#This Row],[Moyenne Journalière Infrations 2016]],0)</f>
        <v>-13</v>
      </c>
    </row>
    <row r="49" spans="1:49" s="17" customFormat="1" ht="25.8" customHeight="1" x14ac:dyDescent="0.3">
      <c r="A49" s="28">
        <f t="shared" si="0"/>
        <v>48</v>
      </c>
      <c r="B49" s="41" t="s">
        <v>239</v>
      </c>
      <c r="C49" s="11" t="s">
        <v>250</v>
      </c>
      <c r="D49" s="9" t="s">
        <v>265</v>
      </c>
      <c r="E49" s="10" t="s">
        <v>266</v>
      </c>
      <c r="F49" s="8">
        <v>397</v>
      </c>
      <c r="G49" s="8" t="s">
        <v>207</v>
      </c>
      <c r="H49" s="8">
        <v>0</v>
      </c>
      <c r="I49" s="8">
        <v>1</v>
      </c>
      <c r="J49" s="8">
        <f>Tableau1[[#This Row],[F crashes]]+Tableau1[[#This Row],[S crashes]]</f>
        <v>1</v>
      </c>
      <c r="K49" s="33">
        <f>IF(Tableau1[[#This Row],[F crashes]] &lt;&gt; 0, Tableau1[[#This Row],[F &amp; S crashes]]/Tableau1[[#This Row],[F crashes]], 1)</f>
        <v>1</v>
      </c>
      <c r="L49" s="8">
        <v>7005</v>
      </c>
      <c r="M49" s="8">
        <v>357265</v>
      </c>
      <c r="N49" s="26">
        <f>(Tableau1[[#This Row],[VEHIC KM / JOUR]]*365)/1000000000</f>
        <v>0.130401725</v>
      </c>
      <c r="O49" s="26">
        <f>(Tableau1[[#This Row],[F &amp; S crashes]]/Tableau1[[#This Row],[BILLION VEH KM TRAVELLED]])</f>
        <v>7.6686102120198179</v>
      </c>
      <c r="P49" s="11"/>
      <c r="Q49" s="34">
        <f>Tableau1[[#This Row],[F &amp; S crashes]]/2</f>
        <v>0.5</v>
      </c>
      <c r="R49" s="11"/>
      <c r="S49" s="23">
        <f>Tableau1[[#This Row],[VEHIC KM / JOUR]]/Tableau1[[#This Row],[TMJA (vehi/jour)]]</f>
        <v>51.001427551748748</v>
      </c>
      <c r="T49" s="8"/>
      <c r="U49" s="8"/>
      <c r="V49" s="8"/>
      <c r="W49" s="8"/>
      <c r="X49" s="8"/>
      <c r="Y49" s="8"/>
      <c r="Z49" s="8"/>
      <c r="AA49" s="26">
        <f>Tableau1[[#This Row],[F Crashes trancon]]+Tableau1[[#This Row],[S crashes trancon]]</f>
        <v>0</v>
      </c>
      <c r="AB49" s="23">
        <f>IF(Tableau1[[#This Row],[F Crashes trancon]]&lt;&gt; 0, Tableau1[[#This Row],[F&amp;S crashes tronçon ]]/Tableau1[[#This Row],[F Crashes trancon]], 1)</f>
        <v>1</v>
      </c>
      <c r="AC49" s="23">
        <f>(Tableau1[[#This Row],[F&amp;S crashes tronçon ]]/Tableau1[[#This Row],[BILLION VEH KM TRAVELLED]])</f>
        <v>0</v>
      </c>
      <c r="AD49" s="26"/>
      <c r="AE49" s="27">
        <f>Tableau1[[#This Row],[F&amp;S crashes tronçon ]]/Tableau1[[#This Row],[LENTGH SECTION(KM)]]</f>
        <v>0</v>
      </c>
      <c r="AF49" s="8"/>
      <c r="AG49" s="8" t="s">
        <v>218</v>
      </c>
      <c r="AH49" s="8" t="s">
        <v>212</v>
      </c>
      <c r="AI49" s="8" t="s">
        <v>212</v>
      </c>
      <c r="AJ49" s="8" t="s">
        <v>212</v>
      </c>
      <c r="AK49" s="8" t="s">
        <v>218</v>
      </c>
      <c r="AL49" s="8" t="s">
        <v>218</v>
      </c>
      <c r="AM49" s="16">
        <v>0</v>
      </c>
      <c r="AN49" s="16">
        <v>1802</v>
      </c>
      <c r="AO49" s="16">
        <v>21405</v>
      </c>
      <c r="AP49" s="16">
        <v>0</v>
      </c>
      <c r="AQ49" s="16">
        <v>0</v>
      </c>
      <c r="AR49" s="16">
        <v>120</v>
      </c>
      <c r="AS49" s="16">
        <v>15</v>
      </c>
      <c r="AT49" s="16">
        <v>97</v>
      </c>
      <c r="AU49" s="16">
        <v>220</v>
      </c>
      <c r="AV49" s="44">
        <f>IF(Tableau1[[#This Row],[Moyenne Journalière Infrations 2016]]&gt;0, Tableau1[[#This Row],[Moyenne Journalière Infrations 2016]]-Tableau1[[#This Row],[Moyenne Journalière Infrations 2017]],0)</f>
        <v>23</v>
      </c>
      <c r="AW49" s="44">
        <f>IF(Tableau1[[#This Row],[Moyenne Journalière Infrations 2015]]&gt;0, Tableau1[[#This Row],[Moyenne Journalière Infrations 2015]]-Tableau1[[#This Row],[Moyenne Journalière Infrations 2016]],0)</f>
        <v>0</v>
      </c>
    </row>
    <row r="50" spans="1:49" s="17" customFormat="1" ht="26.4" customHeight="1" x14ac:dyDescent="0.3">
      <c r="A50" s="28">
        <f t="shared" si="0"/>
        <v>49</v>
      </c>
      <c r="B50" s="41" t="s">
        <v>240</v>
      </c>
      <c r="C50" s="11" t="s">
        <v>251</v>
      </c>
      <c r="D50" s="9" t="s">
        <v>267</v>
      </c>
      <c r="E50" s="10" t="s">
        <v>268</v>
      </c>
      <c r="F50" s="8">
        <v>411</v>
      </c>
      <c r="G50" s="8" t="s">
        <v>207</v>
      </c>
      <c r="H50" s="8">
        <v>0</v>
      </c>
      <c r="I50" s="8">
        <v>0</v>
      </c>
      <c r="J50" s="8">
        <f>Tableau1[[#This Row],[F crashes]]+Tableau1[[#This Row],[S crashes]]</f>
        <v>0</v>
      </c>
      <c r="K50" s="33">
        <f>IF(Tableau1[[#This Row],[F crashes]] &lt;&gt; 0, Tableau1[[#This Row],[F &amp; S crashes]]/Tableau1[[#This Row],[F crashes]], 1)</f>
        <v>1</v>
      </c>
      <c r="L50" s="8">
        <v>7005</v>
      </c>
      <c r="M50" s="8">
        <v>357265</v>
      </c>
      <c r="N50" s="26">
        <f>(Tableau1[[#This Row],[VEHIC KM / JOUR]]*365)/1000000000</f>
        <v>0.130401725</v>
      </c>
      <c r="O50" s="26">
        <f>(Tableau1[[#This Row],[F &amp; S crashes]]/Tableau1[[#This Row],[BILLION VEH KM TRAVELLED]])</f>
        <v>0</v>
      </c>
      <c r="P50" s="11"/>
      <c r="Q50" s="34">
        <f>Tableau1[[#This Row],[F &amp; S crashes]]/2</f>
        <v>0</v>
      </c>
      <c r="R50" s="11"/>
      <c r="S50" s="23">
        <f>Tableau1[[#This Row],[VEHIC KM / JOUR]]/Tableau1[[#This Row],[TMJA (vehi/jour)]]</f>
        <v>51.001427551748748</v>
      </c>
      <c r="T50" s="8"/>
      <c r="U50" s="8"/>
      <c r="V50" s="8"/>
      <c r="W50" s="8"/>
      <c r="X50" s="8"/>
      <c r="Y50" s="8"/>
      <c r="Z50" s="8"/>
      <c r="AA50" s="26">
        <f>Tableau1[[#This Row],[F Crashes trancon]]+Tableau1[[#This Row],[S crashes trancon]]</f>
        <v>0</v>
      </c>
      <c r="AB50" s="23">
        <f>IF(Tableau1[[#This Row],[F Crashes trancon]]&lt;&gt; 0, Tableau1[[#This Row],[F&amp;S crashes tronçon ]]/Tableau1[[#This Row],[F Crashes trancon]], 1)</f>
        <v>1</v>
      </c>
      <c r="AC50" s="23">
        <f>(Tableau1[[#This Row],[F&amp;S crashes tronçon ]]/Tableau1[[#This Row],[BILLION VEH KM TRAVELLED]])</f>
        <v>0</v>
      </c>
      <c r="AD50" s="26"/>
      <c r="AE50" s="27">
        <f>Tableau1[[#This Row],[F&amp;S crashes tronçon ]]/Tableau1[[#This Row],[LENTGH SECTION(KM)]]</f>
        <v>0</v>
      </c>
      <c r="AF50" s="8"/>
      <c r="AG50" s="8" t="s">
        <v>218</v>
      </c>
      <c r="AH50" s="8" t="s">
        <v>212</v>
      </c>
      <c r="AI50" s="8" t="s">
        <v>212</v>
      </c>
      <c r="AJ50" s="8" t="s">
        <v>212</v>
      </c>
      <c r="AK50" s="8" t="s">
        <v>218</v>
      </c>
      <c r="AL50" s="8" t="s">
        <v>218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8">
        <v>0</v>
      </c>
      <c r="AS50" s="8">
        <v>0</v>
      </c>
      <c r="AT50" s="8">
        <v>0</v>
      </c>
      <c r="AU50" s="8">
        <v>0</v>
      </c>
      <c r="AV50" s="44">
        <f>IF(Tableau1[[#This Row],[Moyenne Journalière Infrations 2016]]&gt;0, Tableau1[[#This Row],[Moyenne Journalière Infrations 2016]]-Tableau1[[#This Row],[Moyenne Journalière Infrations 2017]],0)</f>
        <v>0</v>
      </c>
      <c r="AW50" s="44">
        <f>IF(Tableau1[[#This Row],[Moyenne Journalière Infrations 2015]]&gt;0, Tableau1[[#This Row],[Moyenne Journalière Infrations 2015]]-Tableau1[[#This Row],[Moyenne Journalière Infrations 2016]],0)</f>
        <v>0</v>
      </c>
    </row>
    <row r="51" spans="1:49" s="17" customFormat="1" ht="26.4" customHeight="1" x14ac:dyDescent="0.3">
      <c r="A51" s="28">
        <f t="shared" si="0"/>
        <v>50</v>
      </c>
      <c r="B51" s="41" t="s">
        <v>241</v>
      </c>
      <c r="C51" s="11" t="s">
        <v>252</v>
      </c>
      <c r="D51" s="9" t="s">
        <v>269</v>
      </c>
      <c r="E51" s="10" t="s">
        <v>270</v>
      </c>
      <c r="F51" s="8">
        <v>420.6</v>
      </c>
      <c r="G51" s="8" t="s">
        <v>207</v>
      </c>
      <c r="H51" s="8">
        <v>0</v>
      </c>
      <c r="I51" s="8">
        <v>0</v>
      </c>
      <c r="J51" s="8">
        <f>Tableau1[[#This Row],[F crashes]]+Tableau1[[#This Row],[S crashes]]</f>
        <v>0</v>
      </c>
      <c r="K51" s="33">
        <f>IF(Tableau1[[#This Row],[F crashes]] &lt;&gt; 0, Tableau1[[#This Row],[F &amp; S crashes]]/Tableau1[[#This Row],[F crashes]], 1)</f>
        <v>1</v>
      </c>
      <c r="L51" s="8">
        <v>7005</v>
      </c>
      <c r="M51" s="8">
        <v>357265</v>
      </c>
      <c r="N51" s="26">
        <f>(Tableau1[[#This Row],[VEHIC KM / JOUR]]*365)/1000000000</f>
        <v>0.130401725</v>
      </c>
      <c r="O51" s="26">
        <f>(Tableau1[[#This Row],[F &amp; S crashes]]/Tableau1[[#This Row],[BILLION VEH KM TRAVELLED]])</f>
        <v>0</v>
      </c>
      <c r="P51" s="11"/>
      <c r="Q51" s="34">
        <f>Tableau1[[#This Row],[F &amp; S crashes]]/2</f>
        <v>0</v>
      </c>
      <c r="R51" s="11"/>
      <c r="S51" s="23">
        <f>Tableau1[[#This Row],[VEHIC KM / JOUR]]/Tableau1[[#This Row],[TMJA (vehi/jour)]]</f>
        <v>51.001427551748748</v>
      </c>
      <c r="T51" s="8"/>
      <c r="U51" s="8"/>
      <c r="V51" s="8"/>
      <c r="W51" s="8"/>
      <c r="X51" s="8"/>
      <c r="Y51" s="8"/>
      <c r="Z51" s="8"/>
      <c r="AA51" s="26">
        <f>Tableau1[[#This Row],[F Crashes trancon]]+Tableau1[[#This Row],[S crashes trancon]]</f>
        <v>0</v>
      </c>
      <c r="AB51" s="23">
        <f>IF(Tableau1[[#This Row],[F Crashes trancon]]&lt;&gt; 0, Tableau1[[#This Row],[F&amp;S crashes tronçon ]]/Tableau1[[#This Row],[F Crashes trancon]], 1)</f>
        <v>1</v>
      </c>
      <c r="AC51" s="23">
        <f>(Tableau1[[#This Row],[F&amp;S crashes tronçon ]]/Tableau1[[#This Row],[BILLION VEH KM TRAVELLED]])</f>
        <v>0</v>
      </c>
      <c r="AD51" s="26"/>
      <c r="AE51" s="27">
        <f>Tableau1[[#This Row],[F&amp;S crashes tronçon ]]/Tableau1[[#This Row],[LENTGH SECTION(KM)]]</f>
        <v>0</v>
      </c>
      <c r="AF51" s="8"/>
      <c r="AG51" s="8" t="s">
        <v>218</v>
      </c>
      <c r="AH51" s="8" t="s">
        <v>211</v>
      </c>
      <c r="AI51" s="8" t="s">
        <v>212</v>
      </c>
      <c r="AJ51" s="8" t="s">
        <v>212</v>
      </c>
      <c r="AK51" s="8" t="s">
        <v>218</v>
      </c>
      <c r="AL51" s="8" t="s">
        <v>218</v>
      </c>
      <c r="AM51" s="16">
        <v>0</v>
      </c>
      <c r="AN51" s="16">
        <v>4049</v>
      </c>
      <c r="AO51" s="16">
        <v>6289</v>
      </c>
      <c r="AP51" s="16">
        <v>0</v>
      </c>
      <c r="AQ51" s="16">
        <v>0</v>
      </c>
      <c r="AR51" s="16">
        <v>30</v>
      </c>
      <c r="AS51" s="16">
        <v>132</v>
      </c>
      <c r="AT51" s="16">
        <v>21</v>
      </c>
      <c r="AU51" s="16">
        <v>291</v>
      </c>
      <c r="AV51" s="44">
        <f>IF(Tableau1[[#This Row],[Moyenne Journalière Infrations 2016]]&gt;0, Tableau1[[#This Row],[Moyenne Journalière Infrations 2016]]-Tableau1[[#This Row],[Moyenne Journalière Infrations 2017]],0)</f>
        <v>9</v>
      </c>
      <c r="AW51" s="44">
        <f>IF(Tableau1[[#This Row],[Moyenne Journalière Infrations 2015]]&gt;0, Tableau1[[#This Row],[Moyenne Journalière Infrations 2015]]-Tableau1[[#This Row],[Moyenne Journalière Infrations 2016]],0)</f>
        <v>0</v>
      </c>
    </row>
    <row r="52" spans="1:49" s="17" customFormat="1" ht="26.4" customHeight="1" x14ac:dyDescent="0.3">
      <c r="A52" s="28">
        <f t="shared" si="0"/>
        <v>51</v>
      </c>
      <c r="B52" s="41" t="s">
        <v>242</v>
      </c>
      <c r="C52" s="11" t="s">
        <v>253</v>
      </c>
      <c r="D52" s="9" t="s">
        <v>271</v>
      </c>
      <c r="E52" s="10" t="s">
        <v>272</v>
      </c>
      <c r="F52" s="8">
        <v>277</v>
      </c>
      <c r="G52" s="8" t="s">
        <v>207</v>
      </c>
      <c r="H52" s="8">
        <v>0</v>
      </c>
      <c r="I52" s="8">
        <v>1</v>
      </c>
      <c r="J52" s="8">
        <f>Tableau1[[#This Row],[F crashes]]+Tableau1[[#This Row],[S crashes]]</f>
        <v>1</v>
      </c>
      <c r="K52" s="33">
        <f>IF(Tableau1[[#This Row],[F crashes]] &lt;&gt; 0, Tableau1[[#This Row],[F &amp; S crashes]]/Tableau1[[#This Row],[F crashes]], 1)</f>
        <v>1</v>
      </c>
      <c r="L52" s="8">
        <v>6947</v>
      </c>
      <c r="M52" s="8">
        <v>236196</v>
      </c>
      <c r="N52" s="26">
        <f>(Tableau1[[#This Row],[VEHIC KM / JOUR]]*365)/1000000000</f>
        <v>8.6211540000000003E-2</v>
      </c>
      <c r="O52" s="26">
        <f>(Tableau1[[#This Row],[F &amp; S crashes]]/Tableau1[[#This Row],[BILLION VEH KM TRAVELLED]])</f>
        <v>11.599375211253621</v>
      </c>
      <c r="P52" s="11"/>
      <c r="Q52" s="34">
        <f>Tableau1[[#This Row],[F &amp; S crashes]]/2</f>
        <v>0.5</v>
      </c>
      <c r="R52" s="11"/>
      <c r="S52" s="23">
        <f>Tableau1[[#This Row],[VEHIC KM / JOUR]]/Tableau1[[#This Row],[TMJA (vehi/jour)]]</f>
        <v>33.999712105945015</v>
      </c>
      <c r="T52" s="8"/>
      <c r="U52" s="8"/>
      <c r="V52" s="8"/>
      <c r="W52" s="8"/>
      <c r="X52" s="8"/>
      <c r="Y52" s="8"/>
      <c r="Z52" s="8"/>
      <c r="AA52" s="26">
        <f>Tableau1[[#This Row],[F Crashes trancon]]+Tableau1[[#This Row],[S crashes trancon]]</f>
        <v>0</v>
      </c>
      <c r="AB52" s="23">
        <f>IF(Tableau1[[#This Row],[F Crashes trancon]]&lt;&gt; 0, Tableau1[[#This Row],[F&amp;S crashes tronçon ]]/Tableau1[[#This Row],[F Crashes trancon]], 1)</f>
        <v>1</v>
      </c>
      <c r="AC52" s="23">
        <f>(Tableau1[[#This Row],[F&amp;S crashes tronçon ]]/Tableau1[[#This Row],[BILLION VEH KM TRAVELLED]])</f>
        <v>0</v>
      </c>
      <c r="AD52" s="26"/>
      <c r="AE52" s="27">
        <f>Tableau1[[#This Row],[F&amp;S crashes tronçon ]]/Tableau1[[#This Row],[LENTGH SECTION(KM)]]</f>
        <v>0</v>
      </c>
      <c r="AF52" s="8"/>
      <c r="AG52" s="8" t="s">
        <v>218</v>
      </c>
      <c r="AH52" s="8" t="s">
        <v>211</v>
      </c>
      <c r="AI52" s="8" t="s">
        <v>211</v>
      </c>
      <c r="AJ52" s="8" t="s">
        <v>211</v>
      </c>
      <c r="AK52" s="8" t="s">
        <v>218</v>
      </c>
      <c r="AL52" s="8" t="s">
        <v>218</v>
      </c>
      <c r="AM52" s="16">
        <v>0</v>
      </c>
      <c r="AN52" s="16">
        <v>27256</v>
      </c>
      <c r="AO52" s="16">
        <v>25044</v>
      </c>
      <c r="AP52" s="16">
        <v>0</v>
      </c>
      <c r="AQ52" s="16">
        <v>0</v>
      </c>
      <c r="AR52" s="16">
        <v>117</v>
      </c>
      <c r="AS52" s="16">
        <v>231</v>
      </c>
      <c r="AT52" s="16">
        <v>95</v>
      </c>
      <c r="AU52" s="16">
        <v>261</v>
      </c>
      <c r="AV52" s="44">
        <f>IF(Tableau1[[#This Row],[Moyenne Journalière Infrations 2016]]&gt;0, Tableau1[[#This Row],[Moyenne Journalière Infrations 2016]]-Tableau1[[#This Row],[Moyenne Journalière Infrations 2017]],0)</f>
        <v>22</v>
      </c>
      <c r="AW52" s="44">
        <f>IF(Tableau1[[#This Row],[Moyenne Journalière Infrations 2015]]&gt;0, Tableau1[[#This Row],[Moyenne Journalière Infrations 2015]]-Tableau1[[#This Row],[Moyenne Journalière Infrations 2016]],0)</f>
        <v>0</v>
      </c>
    </row>
    <row r="53" spans="1:49" s="17" customFormat="1" ht="26.4" customHeight="1" x14ac:dyDescent="0.3">
      <c r="A53" s="28">
        <f t="shared" si="0"/>
        <v>52</v>
      </c>
      <c r="B53" s="41" t="s">
        <v>243</v>
      </c>
      <c r="C53" s="11" t="s">
        <v>254</v>
      </c>
      <c r="D53" s="9" t="s">
        <v>273</v>
      </c>
      <c r="E53" s="10" t="s">
        <v>274</v>
      </c>
      <c r="F53" s="8">
        <v>75.61</v>
      </c>
      <c r="G53" s="8" t="s">
        <v>279</v>
      </c>
      <c r="H53" s="8">
        <v>0</v>
      </c>
      <c r="I53" s="8">
        <v>0</v>
      </c>
      <c r="J53" s="8">
        <f>Tableau1[[#This Row],[F crashes]]+Tableau1[[#This Row],[S crashes]]</f>
        <v>0</v>
      </c>
      <c r="K53" s="33">
        <f>IF(Tableau1[[#This Row],[F crashes]] &lt;&gt; 0, Tableau1[[#This Row],[F &amp; S crashes]]/Tableau1[[#This Row],[F crashes]], 1)</f>
        <v>1</v>
      </c>
      <c r="L53" s="8">
        <v>13087</v>
      </c>
      <c r="M53" s="8">
        <v>327172</v>
      </c>
      <c r="N53" s="26">
        <f>(Tableau1[[#This Row],[VEHIC KM / JOUR]]*365)/1000000000</f>
        <v>0.11941778</v>
      </c>
      <c r="O53" s="26">
        <f>(Tableau1[[#This Row],[F &amp; S crashes]]/Tableau1[[#This Row],[BILLION VEH KM TRAVELLED]])</f>
        <v>0</v>
      </c>
      <c r="P53" s="11"/>
      <c r="Q53" s="34">
        <f>Tableau1[[#This Row],[F &amp; S crashes]]/2</f>
        <v>0</v>
      </c>
      <c r="R53" s="11"/>
      <c r="S53" s="23">
        <f>Tableau1[[#This Row],[VEHIC KM / JOUR]]/Tableau1[[#This Row],[TMJA (vehi/jour)]]</f>
        <v>24.99977076488118</v>
      </c>
      <c r="T53" s="8"/>
      <c r="U53" s="8"/>
      <c r="V53" s="8"/>
      <c r="W53" s="8"/>
      <c r="X53" s="8"/>
      <c r="Y53" s="8"/>
      <c r="Z53" s="8"/>
      <c r="AA53" s="26">
        <f>Tableau1[[#This Row],[F Crashes trancon]]+Tableau1[[#This Row],[S crashes trancon]]</f>
        <v>0</v>
      </c>
      <c r="AB53" s="23">
        <f>IF(Tableau1[[#This Row],[F Crashes trancon]]&lt;&gt; 0, Tableau1[[#This Row],[F&amp;S crashes tronçon ]]/Tableau1[[#This Row],[F Crashes trancon]], 1)</f>
        <v>1</v>
      </c>
      <c r="AC53" s="23">
        <f>(Tableau1[[#This Row],[F&amp;S crashes tronçon ]]/Tableau1[[#This Row],[BILLION VEH KM TRAVELLED]])</f>
        <v>0</v>
      </c>
      <c r="AD53" s="26"/>
      <c r="AE53" s="27">
        <f>Tableau1[[#This Row],[F&amp;S crashes tronçon ]]/Tableau1[[#This Row],[LENTGH SECTION(KM)]]</f>
        <v>0</v>
      </c>
      <c r="AF53" s="8"/>
      <c r="AG53" s="8" t="s">
        <v>218</v>
      </c>
      <c r="AH53" s="8" t="s">
        <v>212</v>
      </c>
      <c r="AI53" s="8" t="s">
        <v>212</v>
      </c>
      <c r="AJ53" s="8" t="s">
        <v>211</v>
      </c>
      <c r="AK53" s="8" t="s">
        <v>218</v>
      </c>
      <c r="AL53" s="8" t="s">
        <v>218</v>
      </c>
      <c r="AM53" s="16">
        <v>0</v>
      </c>
      <c r="AN53" s="16">
        <v>34111</v>
      </c>
      <c r="AO53" s="16">
        <v>11302</v>
      </c>
      <c r="AP53" s="16">
        <v>0</v>
      </c>
      <c r="AQ53" s="16">
        <v>0</v>
      </c>
      <c r="AR53" s="16">
        <v>139</v>
      </c>
      <c r="AS53" s="16">
        <v>244</v>
      </c>
      <c r="AT53" s="16">
        <v>100</v>
      </c>
      <c r="AU53" s="16">
        <v>112</v>
      </c>
      <c r="AV53" s="44">
        <f>IF(Tableau1[[#This Row],[Moyenne Journalière Infrations 2016]]&gt;0, Tableau1[[#This Row],[Moyenne Journalière Infrations 2016]]-Tableau1[[#This Row],[Moyenne Journalière Infrations 2017]],0)</f>
        <v>39</v>
      </c>
      <c r="AW53" s="44">
        <f>IF(Tableau1[[#This Row],[Moyenne Journalière Infrations 2015]]&gt;0, Tableau1[[#This Row],[Moyenne Journalière Infrations 2015]]-Tableau1[[#This Row],[Moyenne Journalière Infrations 2016]],0)</f>
        <v>0</v>
      </c>
    </row>
    <row r="54" spans="1:49" s="17" customFormat="1" ht="26.4" customHeight="1" x14ac:dyDescent="0.3">
      <c r="A54" s="28">
        <f t="shared" si="0"/>
        <v>53</v>
      </c>
      <c r="B54" s="41" t="s">
        <v>244</v>
      </c>
      <c r="C54" s="11" t="s">
        <v>255</v>
      </c>
      <c r="D54" s="9" t="s">
        <v>275</v>
      </c>
      <c r="E54" s="10" t="s">
        <v>276</v>
      </c>
      <c r="F54" s="8">
        <v>16.21</v>
      </c>
      <c r="G54" s="8" t="s">
        <v>208</v>
      </c>
      <c r="H54" s="8">
        <v>0</v>
      </c>
      <c r="I54" s="8">
        <v>0</v>
      </c>
      <c r="J54" s="8">
        <f>Tableau1[[#This Row],[F crashes]]+Tableau1[[#This Row],[S crashes]]</f>
        <v>0</v>
      </c>
      <c r="K54" s="33">
        <f>IF(Tableau1[[#This Row],[F crashes]] &lt;&gt; 0, Tableau1[[#This Row],[F &amp; S crashes]]/Tableau1[[#This Row],[F crashes]], 1)</f>
        <v>1</v>
      </c>
      <c r="L54" s="8">
        <v>3462</v>
      </c>
      <c r="M54" s="8">
        <v>20771</v>
      </c>
      <c r="N54" s="26">
        <f>(Tableau1[[#This Row],[VEHIC KM / JOUR]]*365)/1000000000</f>
        <v>7.5814150000000002E-3</v>
      </c>
      <c r="O54" s="26">
        <f>(Tableau1[[#This Row],[F &amp; S crashes]]/Tableau1[[#This Row],[BILLION VEH KM TRAVELLED]])</f>
        <v>0</v>
      </c>
      <c r="P54" s="11"/>
      <c r="Q54" s="34">
        <f>Tableau1[[#This Row],[F &amp; S crashes]]/2</f>
        <v>0</v>
      </c>
      <c r="R54" s="11"/>
      <c r="S54" s="23">
        <f>Tableau1[[#This Row],[VEHIC KM / JOUR]]/Tableau1[[#This Row],[TMJA (vehi/jour)]]</f>
        <v>5.9997111496244946</v>
      </c>
      <c r="T54" s="8"/>
      <c r="U54" s="8"/>
      <c r="V54" s="8"/>
      <c r="W54" s="8"/>
      <c r="X54" s="8"/>
      <c r="Y54" s="8"/>
      <c r="Z54" s="8"/>
      <c r="AA54" s="26">
        <f>Tableau1[[#This Row],[F Crashes trancon]]+Tableau1[[#This Row],[S crashes trancon]]</f>
        <v>0</v>
      </c>
      <c r="AB54" s="23">
        <f>IF(Tableau1[[#This Row],[F Crashes trancon]]&lt;&gt; 0, Tableau1[[#This Row],[F&amp;S crashes tronçon ]]/Tableau1[[#This Row],[F Crashes trancon]], 1)</f>
        <v>1</v>
      </c>
      <c r="AC54" s="23">
        <f>(Tableau1[[#This Row],[F&amp;S crashes tronçon ]]/Tableau1[[#This Row],[BILLION VEH KM TRAVELLED]])</f>
        <v>0</v>
      </c>
      <c r="AD54" s="26"/>
      <c r="AE54" s="27">
        <f>Tableau1[[#This Row],[F&amp;S crashes tronçon ]]/Tableau1[[#This Row],[LENTGH SECTION(KM)]]</f>
        <v>0</v>
      </c>
      <c r="AF54" s="8"/>
      <c r="AG54" s="8" t="s">
        <v>218</v>
      </c>
      <c r="AH54" s="8" t="s">
        <v>211</v>
      </c>
      <c r="AI54" s="8" t="s">
        <v>212</v>
      </c>
      <c r="AJ54" s="8" t="s">
        <v>212</v>
      </c>
      <c r="AK54" s="8" t="s">
        <v>218</v>
      </c>
      <c r="AL54" s="8" t="s">
        <v>218</v>
      </c>
      <c r="AM54" s="16">
        <v>43</v>
      </c>
      <c r="AN54" s="16">
        <v>149</v>
      </c>
      <c r="AO54" s="16">
        <v>7511</v>
      </c>
      <c r="AP54" s="16">
        <v>8</v>
      </c>
      <c r="AQ54" s="16">
        <v>5</v>
      </c>
      <c r="AR54" s="16">
        <v>9</v>
      </c>
      <c r="AS54" s="16">
        <v>16</v>
      </c>
      <c r="AT54" s="16">
        <v>37</v>
      </c>
      <c r="AU54" s="16">
        <v>203</v>
      </c>
      <c r="AV54" s="44">
        <f>IF(Tableau1[[#This Row],[Moyenne Journalière Infrations 2016]]&gt;0, Tableau1[[#This Row],[Moyenne Journalière Infrations 2016]]-Tableau1[[#This Row],[Moyenne Journalière Infrations 2017]],0)</f>
        <v>-28</v>
      </c>
      <c r="AW54" s="44">
        <f>IF(Tableau1[[#This Row],[Moyenne Journalière Infrations 2015]]&gt;0, Tableau1[[#This Row],[Moyenne Journalière Infrations 2015]]-Tableau1[[#This Row],[Moyenne Journalière Infrations 2016]],0)</f>
        <v>-1</v>
      </c>
    </row>
    <row r="55" spans="1:49" s="17" customFormat="1" ht="26.4" customHeight="1" x14ac:dyDescent="0.3">
      <c r="A55" s="28">
        <f t="shared" si="0"/>
        <v>54</v>
      </c>
      <c r="B55" s="41" t="s">
        <v>245</v>
      </c>
      <c r="C55" s="11" t="s">
        <v>256</v>
      </c>
      <c r="D55" s="9" t="s">
        <v>277</v>
      </c>
      <c r="E55" s="10" t="s">
        <v>278</v>
      </c>
      <c r="F55" s="8">
        <v>16.309999999999999</v>
      </c>
      <c r="G55" s="8" t="s">
        <v>208</v>
      </c>
      <c r="H55" s="8">
        <v>0</v>
      </c>
      <c r="I55" s="8">
        <v>0</v>
      </c>
      <c r="J55" s="8">
        <f>Tableau1[[#This Row],[F crashes]]+Tableau1[[#This Row],[S crashes]]</f>
        <v>0</v>
      </c>
      <c r="K55" s="33">
        <f>IF(Tableau1[[#This Row],[F crashes]] &lt;&gt; 0, Tableau1[[#This Row],[F &amp; S crashes]]/Tableau1[[#This Row],[F crashes]], 1)</f>
        <v>1</v>
      </c>
      <c r="L55" s="8">
        <v>3462</v>
      </c>
      <c r="M55" s="8">
        <v>20771</v>
      </c>
      <c r="N55" s="26">
        <f>(Tableau1[[#This Row],[VEHIC KM / JOUR]]*365)/1000000000</f>
        <v>7.5814150000000002E-3</v>
      </c>
      <c r="O55" s="26">
        <f>(Tableau1[[#This Row],[F &amp; S crashes]]/Tableau1[[#This Row],[BILLION VEH KM TRAVELLED]])</f>
        <v>0</v>
      </c>
      <c r="P55" s="11"/>
      <c r="Q55" s="34">
        <f>Tableau1[[#This Row],[F &amp; S crashes]]/2</f>
        <v>0</v>
      </c>
      <c r="R55" s="11"/>
      <c r="S55" s="23">
        <f>Tableau1[[#This Row],[VEHIC KM / JOUR]]/Tableau1[[#This Row],[TMJA (vehi/jour)]]</f>
        <v>5.9997111496244946</v>
      </c>
      <c r="T55" s="8"/>
      <c r="U55" s="8"/>
      <c r="V55" s="8"/>
      <c r="W55" s="8"/>
      <c r="X55" s="8"/>
      <c r="Y55" s="8"/>
      <c r="Z55" s="8"/>
      <c r="AA55" s="26">
        <f>Tableau1[[#This Row],[F Crashes trancon]]+Tableau1[[#This Row],[S crashes trancon]]</f>
        <v>0</v>
      </c>
      <c r="AB55" s="23">
        <f>IF(Tableau1[[#This Row],[F Crashes trancon]]&lt;&gt; 0, Tableau1[[#This Row],[F&amp;S crashes tronçon ]]/Tableau1[[#This Row],[F Crashes trancon]], 1)</f>
        <v>1</v>
      </c>
      <c r="AC55" s="23">
        <f>(Tableau1[[#This Row],[F&amp;S crashes tronçon ]]/Tableau1[[#This Row],[BILLION VEH KM TRAVELLED]])</f>
        <v>0</v>
      </c>
      <c r="AD55" s="26"/>
      <c r="AE55" s="27">
        <f>Tableau1[[#This Row],[F&amp;S crashes tronçon ]]/Tableau1[[#This Row],[LENTGH SECTION(KM)]]</f>
        <v>0</v>
      </c>
      <c r="AF55" s="8"/>
      <c r="AG55" s="8" t="s">
        <v>218</v>
      </c>
      <c r="AH55" s="8" t="s">
        <v>211</v>
      </c>
      <c r="AI55" s="8" t="s">
        <v>212</v>
      </c>
      <c r="AJ55" s="8" t="s">
        <v>212</v>
      </c>
      <c r="AK55" s="8" t="s">
        <v>218</v>
      </c>
      <c r="AL55" s="8" t="s">
        <v>218</v>
      </c>
      <c r="AM55" s="16">
        <v>0</v>
      </c>
      <c r="AN55" s="16">
        <v>3259</v>
      </c>
      <c r="AO55" s="16">
        <v>11161</v>
      </c>
      <c r="AP55" s="16">
        <v>0</v>
      </c>
      <c r="AQ55" s="16">
        <v>0</v>
      </c>
      <c r="AR55" s="16">
        <v>26</v>
      </c>
      <c r="AS55" s="16">
        <v>125</v>
      </c>
      <c r="AT55" s="16">
        <v>34</v>
      </c>
      <c r="AU55" s="16">
        <v>328</v>
      </c>
      <c r="AV55" s="44">
        <f>IF(Tableau1[[#This Row],[Moyenne Journalière Infrations 2016]]&gt;0, Tableau1[[#This Row],[Moyenne Journalière Infrations 2016]]-Tableau1[[#This Row],[Moyenne Journalière Infrations 2017]],0)</f>
        <v>-8</v>
      </c>
      <c r="AW55" s="44">
        <f>IF(Tableau1[[#This Row],[Moyenne Journalière Infrations 2015]]&gt;0, Tableau1[[#This Row],[Moyenne Journalière Infrations 2015]]-Tableau1[[#This Row],[Moyenne Journalière Infrations 2016]],0)</f>
        <v>0</v>
      </c>
    </row>
    <row r="56" spans="1:49" ht="28.8" x14ac:dyDescent="0.3">
      <c r="A56" s="28">
        <f t="shared" si="0"/>
        <v>55</v>
      </c>
      <c r="B56" s="35" t="s">
        <v>189</v>
      </c>
      <c r="C56" s="11" t="s">
        <v>179</v>
      </c>
      <c r="D56" s="9" t="s">
        <v>199</v>
      </c>
      <c r="E56" s="10" t="s">
        <v>200</v>
      </c>
      <c r="F56" s="8">
        <v>124</v>
      </c>
      <c r="G56" s="8" t="s">
        <v>209</v>
      </c>
      <c r="H56" s="8">
        <v>0</v>
      </c>
      <c r="I56" s="8">
        <v>0</v>
      </c>
      <c r="J56" s="8">
        <f>Tableau1[[#This Row],[F crashes]]+Tableau1[[#This Row],[S crashes]]</f>
        <v>0</v>
      </c>
      <c r="K56" s="33">
        <f>IF(Tableau1[[#This Row],[F crashes]] &lt;&gt; 0, Tableau1[[#This Row],[F &amp; S crashes]]/Tableau1[[#This Row],[F crashes]], 1)</f>
        <v>1</v>
      </c>
      <c r="L56" s="8">
        <v>11566</v>
      </c>
      <c r="M56" s="8">
        <v>92531</v>
      </c>
      <c r="N56" s="26">
        <f>(Tableau1[[#This Row],[VEHIC KM / JOUR]]*365)/1000000000</f>
        <v>3.3773814999999999E-2</v>
      </c>
      <c r="O56" s="26">
        <f>(Tableau1[[#This Row],[F &amp; S crashes]]/Tableau1[[#This Row],[BILLION VEH KM TRAVELLED]])</f>
        <v>0</v>
      </c>
      <c r="P56" s="11"/>
      <c r="Q56" s="34">
        <f>Tableau1[[#This Row],[F &amp; S crashes]]/2</f>
        <v>0</v>
      </c>
      <c r="R56" s="11"/>
      <c r="S56" s="23">
        <f>Tableau1[[#This Row],[VEHIC KM / JOUR]]/Tableau1[[#This Row],[TMJA (vehi/jour)]]</f>
        <v>8.0002593809441471</v>
      </c>
      <c r="T56" s="8">
        <v>1</v>
      </c>
      <c r="U56" s="8">
        <v>1</v>
      </c>
      <c r="V56" s="8">
        <v>120</v>
      </c>
      <c r="W56" s="8">
        <v>120</v>
      </c>
      <c r="X56" s="8">
        <v>128</v>
      </c>
      <c r="Y56" s="8"/>
      <c r="Z56" s="8"/>
      <c r="AA56" s="26">
        <f>Tableau1[[#This Row],[F Crashes trancon]]+Tableau1[[#This Row],[S crashes trancon]]</f>
        <v>0</v>
      </c>
      <c r="AB56" s="23">
        <f>IF(Tableau1[[#This Row],[F Crashes trancon]]&lt;&gt; 0, Tableau1[[#This Row],[F&amp;S crashes tronçon ]]/Tableau1[[#This Row],[F Crashes trancon]], 1)</f>
        <v>1</v>
      </c>
      <c r="AC56" s="23">
        <f>(Tableau1[[#This Row],[F&amp;S crashes tronçon ]]/Tableau1[[#This Row],[BILLION VEH KM TRAVELLED]])</f>
        <v>0</v>
      </c>
      <c r="AD56" s="26"/>
      <c r="AE56" s="27">
        <f>Tableau1[[#This Row],[F&amp;S crashes tronçon ]]/Tableau1[[#This Row],[LENTGH SECTION(KM)]]</f>
        <v>0</v>
      </c>
      <c r="AF56" s="8"/>
      <c r="AG56" s="8" t="s">
        <v>218</v>
      </c>
      <c r="AH56" s="8" t="s">
        <v>211</v>
      </c>
      <c r="AI56" s="8" t="s">
        <v>212</v>
      </c>
      <c r="AJ56" s="8" t="s">
        <v>211</v>
      </c>
      <c r="AK56" s="8" t="s">
        <v>218</v>
      </c>
      <c r="AL56" s="8" t="s">
        <v>218</v>
      </c>
      <c r="AM56" s="16">
        <v>0</v>
      </c>
      <c r="AN56" s="8">
        <v>25202</v>
      </c>
      <c r="AO56" s="8">
        <v>23803</v>
      </c>
      <c r="AP56" s="16">
        <v>0</v>
      </c>
      <c r="AQ56" s="16">
        <v>0</v>
      </c>
      <c r="AR56" s="8">
        <v>113</v>
      </c>
      <c r="AS56" s="8">
        <v>222</v>
      </c>
      <c r="AT56" s="8">
        <v>109</v>
      </c>
      <c r="AU56" s="8">
        <v>217</v>
      </c>
      <c r="AV56" s="44">
        <f>IF(Tableau1[[#This Row],[Moyenne Journalière Infrations 2016]]&gt;0, Tableau1[[#This Row],[Moyenne Journalière Infrations 2016]]-Tableau1[[#This Row],[Moyenne Journalière Infrations 2017]],0)</f>
        <v>4</v>
      </c>
      <c r="AW56" s="44">
        <f>IF(Tableau1[[#This Row],[Moyenne Journalière Infrations 2015]]&gt;0, Tableau1[[#This Row],[Moyenne Journalière Infrations 2015]]-Tableau1[[#This Row],[Moyenne Journalière Infrations 2016]],0)</f>
        <v>0</v>
      </c>
    </row>
    <row r="57" spans="1:49" ht="28.8" x14ac:dyDescent="0.3">
      <c r="A57" s="28">
        <f t="shared" si="0"/>
        <v>56</v>
      </c>
      <c r="B57" s="35" t="s">
        <v>190</v>
      </c>
      <c r="C57" s="11" t="s">
        <v>180</v>
      </c>
      <c r="D57" s="9" t="s">
        <v>201</v>
      </c>
      <c r="E57" s="10" t="s">
        <v>202</v>
      </c>
      <c r="F57" s="8">
        <v>65</v>
      </c>
      <c r="G57" s="8" t="s">
        <v>209</v>
      </c>
      <c r="H57" s="8">
        <v>0</v>
      </c>
      <c r="I57" s="8">
        <v>0</v>
      </c>
      <c r="J57" s="8">
        <f>Tableau1[[#This Row],[F crashes]]+Tableau1[[#This Row],[S crashes]]</f>
        <v>0</v>
      </c>
      <c r="K57" s="33">
        <f>IF(Tableau1[[#This Row],[F crashes]] &lt;&gt; 0, Tableau1[[#This Row],[F &amp; S crashes]]/Tableau1[[#This Row],[F crashes]], 1)</f>
        <v>1</v>
      </c>
      <c r="L57" s="8">
        <v>15327</v>
      </c>
      <c r="M57" s="8">
        <v>383186</v>
      </c>
      <c r="N57" s="26">
        <f>(Tableau1[[#This Row],[VEHIC KM / JOUR]]*365)/1000000000</f>
        <v>0.13986288999999999</v>
      </c>
      <c r="O57" s="26">
        <f>(Tableau1[[#This Row],[F &amp; S crashes]]/Tableau1[[#This Row],[BILLION VEH KM TRAVELLED]])</f>
        <v>0</v>
      </c>
      <c r="P57" s="11"/>
      <c r="Q57" s="34">
        <f>Tableau1[[#This Row],[F &amp; S crashes]]/2</f>
        <v>0</v>
      </c>
      <c r="R57" s="11"/>
      <c r="S57" s="23">
        <f>Tableau1[[#This Row],[VEHIC KM / JOUR]]/Tableau1[[#This Row],[TMJA (vehi/jour)]]</f>
        <v>25.00071768774059</v>
      </c>
      <c r="T57" s="8">
        <v>1</v>
      </c>
      <c r="U57" s="8">
        <v>1</v>
      </c>
      <c r="V57" s="8">
        <v>120</v>
      </c>
      <c r="W57" s="8">
        <v>43</v>
      </c>
      <c r="X57" s="8">
        <v>68</v>
      </c>
      <c r="Y57" s="8"/>
      <c r="Z57" s="8"/>
      <c r="AA57" s="26">
        <f>Tableau1[[#This Row],[F Crashes trancon]]+Tableau1[[#This Row],[S crashes trancon]]</f>
        <v>0</v>
      </c>
      <c r="AB57" s="23">
        <f>IF(Tableau1[[#This Row],[F Crashes trancon]]&lt;&gt; 0, Tableau1[[#This Row],[F&amp;S crashes tronçon ]]/Tableau1[[#This Row],[F Crashes trancon]], 1)</f>
        <v>1</v>
      </c>
      <c r="AC57" s="23">
        <f>(Tableau1[[#This Row],[F&amp;S crashes tronçon ]]/Tableau1[[#This Row],[BILLION VEH KM TRAVELLED]])</f>
        <v>0</v>
      </c>
      <c r="AD57" s="26"/>
      <c r="AE57" s="27">
        <f>Tableau1[[#This Row],[F&amp;S crashes tronçon ]]/Tableau1[[#This Row],[LENTGH SECTION(KM)]]</f>
        <v>0</v>
      </c>
      <c r="AF57" s="8"/>
      <c r="AG57" s="8" t="s">
        <v>218</v>
      </c>
      <c r="AH57" s="8" t="s">
        <v>211</v>
      </c>
      <c r="AI57" s="8" t="s">
        <v>212</v>
      </c>
      <c r="AJ57" s="8" t="s">
        <v>211</v>
      </c>
      <c r="AK57" s="8" t="s">
        <v>218</v>
      </c>
      <c r="AL57" s="8" t="s">
        <v>218</v>
      </c>
      <c r="AM57" s="16">
        <v>0</v>
      </c>
      <c r="AN57" s="45">
        <v>7875</v>
      </c>
      <c r="AO57" s="45">
        <v>8676</v>
      </c>
      <c r="AP57" s="16">
        <v>0</v>
      </c>
      <c r="AQ57" s="16">
        <v>0</v>
      </c>
      <c r="AR57" s="45">
        <v>26</v>
      </c>
      <c r="AS57" s="45">
        <v>301</v>
      </c>
      <c r="AT57" s="45">
        <v>34</v>
      </c>
      <c r="AU57" s="45">
        <v>252</v>
      </c>
      <c r="AV57" s="44">
        <f>IF(Tableau1[[#This Row],[Moyenne Journalière Infrations 2016]]&gt;0, Tableau1[[#This Row],[Moyenne Journalière Infrations 2016]]-Tableau1[[#This Row],[Moyenne Journalière Infrations 2017]],0)</f>
        <v>-8</v>
      </c>
      <c r="AW57" s="44">
        <f>IF(Tableau1[[#This Row],[Moyenne Journalière Infrations 2015]]&gt;0, Tableau1[[#This Row],[Moyenne Journalière Infrations 2015]]-Tableau1[[#This Row],[Moyenne Journalière Infrations 2016]],0)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F40" sqref="F40"/>
    </sheetView>
  </sheetViews>
  <sheetFormatPr baseColWidth="10" defaultRowHeight="14.4" x14ac:dyDescent="0.3"/>
  <cols>
    <col min="1" max="1" width="13.6640625" customWidth="1"/>
    <col min="2" max="2" width="12.88671875" customWidth="1"/>
    <col min="7" max="7" width="12.44140625" bestFit="1" customWidth="1"/>
  </cols>
  <sheetData>
    <row r="1" spans="1:13" ht="28.8" x14ac:dyDescent="0.3">
      <c r="A1" s="60" t="s">
        <v>226</v>
      </c>
      <c r="B1" s="60" t="s">
        <v>283</v>
      </c>
      <c r="C1" s="60" t="s">
        <v>284</v>
      </c>
      <c r="D1" s="60" t="s">
        <v>285</v>
      </c>
      <c r="E1" s="61" t="s">
        <v>366</v>
      </c>
      <c r="F1" s="60" t="s">
        <v>440</v>
      </c>
      <c r="G1" s="75" t="s">
        <v>450</v>
      </c>
      <c r="H1" s="75" t="s">
        <v>463</v>
      </c>
      <c r="I1" s="75" t="s">
        <v>451</v>
      </c>
      <c r="J1" s="75" t="s">
        <v>464</v>
      </c>
      <c r="K1" s="75" t="s">
        <v>465</v>
      </c>
      <c r="L1" s="75" t="s">
        <v>466</v>
      </c>
      <c r="M1" s="75" t="s">
        <v>467</v>
      </c>
    </row>
    <row r="2" spans="1:13" hidden="1" x14ac:dyDescent="0.3">
      <c r="A2" s="28">
        <v>47</v>
      </c>
      <c r="B2" s="62">
        <v>1</v>
      </c>
      <c r="C2" s="62">
        <v>1</v>
      </c>
      <c r="D2" s="62">
        <v>0</v>
      </c>
      <c r="E2" s="81">
        <v>-1</v>
      </c>
      <c r="F2" s="8">
        <v>0</v>
      </c>
      <c r="G2" s="67">
        <v>25.771830899162428</v>
      </c>
      <c r="H2" s="8">
        <v>0.5</v>
      </c>
      <c r="I2" s="8">
        <v>23.252699173320039</v>
      </c>
      <c r="J2" s="8">
        <v>0.5</v>
      </c>
      <c r="K2" s="8">
        <f>IF(G2&gt;0, G2-I2,0)</f>
        <v>2.5191317258423886</v>
      </c>
      <c r="L2" s="8">
        <f>IF(H2&gt;0, H2-J2,0)</f>
        <v>0</v>
      </c>
      <c r="M2" s="82">
        <f xml:space="preserve"> (L2+K2)*0.5+ F2</f>
        <v>1.2595658629211943</v>
      </c>
    </row>
    <row r="3" spans="1:13" hidden="1" x14ac:dyDescent="0.3">
      <c r="A3" s="28">
        <v>48</v>
      </c>
      <c r="B3" s="62">
        <v>1</v>
      </c>
      <c r="C3" s="62">
        <v>0</v>
      </c>
      <c r="D3" s="62">
        <v>0</v>
      </c>
      <c r="E3" s="81">
        <v>-1</v>
      </c>
      <c r="F3" s="8">
        <v>0</v>
      </c>
      <c r="G3" s="70">
        <v>17.19847726402152</v>
      </c>
      <c r="H3" s="8">
        <v>0.5</v>
      </c>
      <c r="I3" s="8">
        <v>7.8702655974596034</v>
      </c>
      <c r="J3" s="8">
        <v>0.25</v>
      </c>
      <c r="K3" s="8">
        <f t="shared" ref="K3:K29" si="0">IF(G3&gt;0, G3-I3,0)</f>
        <v>9.3282116665619164</v>
      </c>
      <c r="L3" s="8">
        <f t="shared" ref="L3:L29" si="1">IF(H3&gt;0, H3-J3,0)</f>
        <v>0.25</v>
      </c>
      <c r="M3" s="82">
        <f t="shared" ref="M3:M6" si="2" xml:space="preserve"> (L3+K3)*0.5+ F3</f>
        <v>4.7891058332809582</v>
      </c>
    </row>
    <row r="4" spans="1:13" hidden="1" x14ac:dyDescent="0.3">
      <c r="A4" s="28">
        <v>49</v>
      </c>
      <c r="B4" s="62">
        <v>1</v>
      </c>
      <c r="C4" s="62">
        <v>0</v>
      </c>
      <c r="D4" s="62">
        <v>1</v>
      </c>
      <c r="E4" s="81">
        <v>-1</v>
      </c>
      <c r="F4" s="8">
        <v>0</v>
      </c>
      <c r="G4" s="67">
        <v>9.1260622679441994</v>
      </c>
      <c r="H4" s="8">
        <v>0.25</v>
      </c>
      <c r="I4" s="8">
        <v>0</v>
      </c>
      <c r="J4" s="8">
        <v>0</v>
      </c>
      <c r="K4" s="8">
        <f t="shared" si="0"/>
        <v>9.1260622679441994</v>
      </c>
      <c r="L4" s="8">
        <f t="shared" si="1"/>
        <v>0.25</v>
      </c>
      <c r="M4" s="82">
        <f t="shared" si="2"/>
        <v>4.6880311339720997</v>
      </c>
    </row>
    <row r="5" spans="1:13" hidden="1" x14ac:dyDescent="0.3">
      <c r="A5" s="28">
        <v>50</v>
      </c>
      <c r="B5" s="62">
        <v>1</v>
      </c>
      <c r="C5" s="62">
        <v>1</v>
      </c>
      <c r="D5" s="62">
        <v>0</v>
      </c>
      <c r="E5" s="81">
        <v>-1</v>
      </c>
      <c r="F5" s="8">
        <v>0</v>
      </c>
      <c r="G5" s="70">
        <v>8.4305228597631849</v>
      </c>
      <c r="H5" s="8">
        <v>0.5</v>
      </c>
      <c r="I5" s="8">
        <v>3.9615575212011662</v>
      </c>
      <c r="J5" s="8">
        <v>0.25</v>
      </c>
      <c r="K5" s="8">
        <f t="shared" si="0"/>
        <v>4.4689653385620183</v>
      </c>
      <c r="L5" s="8">
        <f t="shared" si="1"/>
        <v>0.25</v>
      </c>
      <c r="M5" s="82">
        <f t="shared" si="2"/>
        <v>2.3594826692810091</v>
      </c>
    </row>
    <row r="6" spans="1:13" hidden="1" x14ac:dyDescent="0.3">
      <c r="A6" s="28">
        <v>51</v>
      </c>
      <c r="B6" s="62">
        <v>1</v>
      </c>
      <c r="C6" s="62">
        <v>1</v>
      </c>
      <c r="D6" s="62">
        <v>0</v>
      </c>
      <c r="E6" s="81">
        <v>-1</v>
      </c>
      <c r="F6" s="8">
        <v>0</v>
      </c>
      <c r="G6" s="67">
        <v>8.4305228597631849</v>
      </c>
      <c r="H6" s="8">
        <v>0.5</v>
      </c>
      <c r="I6" s="8">
        <v>3.9615575212011662</v>
      </c>
      <c r="J6" s="8">
        <v>0.25</v>
      </c>
      <c r="K6" s="8">
        <f t="shared" si="0"/>
        <v>4.4689653385620183</v>
      </c>
      <c r="L6" s="8">
        <f t="shared" si="1"/>
        <v>0.25</v>
      </c>
      <c r="M6" s="82">
        <f t="shared" si="2"/>
        <v>2.3594826692810091</v>
      </c>
    </row>
    <row r="7" spans="1:13" x14ac:dyDescent="0.3">
      <c r="A7" s="28">
        <v>52</v>
      </c>
      <c r="B7" s="62">
        <v>1</v>
      </c>
      <c r="C7" s="62">
        <v>0</v>
      </c>
      <c r="D7" s="62">
        <v>0</v>
      </c>
      <c r="E7" s="43">
        <v>3</v>
      </c>
      <c r="F7" s="8">
        <v>56</v>
      </c>
      <c r="G7" s="70">
        <v>19.469521458493006</v>
      </c>
      <c r="H7" s="8">
        <v>1.75</v>
      </c>
      <c r="I7" s="8">
        <v>12.897258952003561</v>
      </c>
      <c r="J7" s="8">
        <v>1.25</v>
      </c>
      <c r="K7" s="8">
        <f t="shared" si="0"/>
        <v>6.5722625064894444</v>
      </c>
      <c r="L7" s="8">
        <f>IF(H7&gt;0, H7-J7,0)</f>
        <v>0.5</v>
      </c>
      <c r="M7" s="27">
        <f xml:space="preserve"> (L7+K7)*0.5+ F7*0.5</f>
        <v>31.536131253244722</v>
      </c>
    </row>
    <row r="8" spans="1:13" x14ac:dyDescent="0.3">
      <c r="A8" s="28">
        <v>53</v>
      </c>
      <c r="B8" s="62">
        <v>1</v>
      </c>
      <c r="C8" s="62">
        <v>0</v>
      </c>
      <c r="D8" s="62">
        <v>0</v>
      </c>
      <c r="E8" s="42">
        <v>3</v>
      </c>
      <c r="F8" s="8">
        <v>83</v>
      </c>
      <c r="G8" s="67">
        <v>0</v>
      </c>
      <c r="H8" s="8">
        <v>0</v>
      </c>
      <c r="I8" s="8">
        <v>5.1589035808014243</v>
      </c>
      <c r="J8" s="8">
        <v>0.5</v>
      </c>
      <c r="K8" s="8">
        <f t="shared" si="0"/>
        <v>0</v>
      </c>
      <c r="L8" s="8">
        <f t="shared" si="1"/>
        <v>0</v>
      </c>
      <c r="M8" s="27">
        <f t="shared" ref="M8:M29" si="3" xml:space="preserve"> (L8+K8)*0.5+ F8*0.5</f>
        <v>41.5</v>
      </c>
    </row>
    <row r="9" spans="1:13" x14ac:dyDescent="0.3">
      <c r="A9" s="28">
        <v>54</v>
      </c>
      <c r="B9" s="62">
        <v>0</v>
      </c>
      <c r="C9" s="62">
        <v>0</v>
      </c>
      <c r="D9" s="62">
        <v>0</v>
      </c>
      <c r="E9" s="43">
        <v>3</v>
      </c>
      <c r="F9" s="8">
        <v>160</v>
      </c>
      <c r="G9" s="70">
        <v>20.92106188364329</v>
      </c>
      <c r="H9" s="8">
        <v>1.25</v>
      </c>
      <c r="I9" s="8">
        <v>7.7875935418966398</v>
      </c>
      <c r="J9" s="8">
        <v>0.5</v>
      </c>
      <c r="K9" s="8">
        <f t="shared" si="0"/>
        <v>13.133468341746649</v>
      </c>
      <c r="L9" s="8">
        <f t="shared" si="1"/>
        <v>0.75</v>
      </c>
      <c r="M9" s="27">
        <f t="shared" si="3"/>
        <v>86.941734170873332</v>
      </c>
    </row>
    <row r="10" spans="1:13" hidden="1" x14ac:dyDescent="0.3">
      <c r="A10" s="28">
        <v>55</v>
      </c>
      <c r="B10" s="62">
        <v>1</v>
      </c>
      <c r="C10" s="62">
        <v>1</v>
      </c>
      <c r="D10" s="62">
        <v>0</v>
      </c>
      <c r="E10" s="81">
        <v>-1</v>
      </c>
      <c r="F10" s="8">
        <v>0</v>
      </c>
      <c r="G10" s="67">
        <v>10.88821779963382</v>
      </c>
      <c r="H10" s="8">
        <v>1</v>
      </c>
      <c r="I10" s="8">
        <v>5.0748730273112157</v>
      </c>
      <c r="J10" s="8">
        <v>0.5</v>
      </c>
      <c r="K10" s="8">
        <f t="shared" si="0"/>
        <v>5.8133447723226039</v>
      </c>
      <c r="L10" s="8">
        <f t="shared" si="1"/>
        <v>0.5</v>
      </c>
      <c r="M10" s="27">
        <f t="shared" si="3"/>
        <v>3.156672386161302</v>
      </c>
    </row>
    <row r="11" spans="1:13" hidden="1" x14ac:dyDescent="0.3">
      <c r="A11" s="28">
        <v>56</v>
      </c>
      <c r="B11" s="62">
        <v>1</v>
      </c>
      <c r="C11" s="62">
        <v>0</v>
      </c>
      <c r="D11" s="62">
        <v>0</v>
      </c>
      <c r="E11" s="81">
        <v>-1</v>
      </c>
      <c r="F11" s="8">
        <v>0</v>
      </c>
      <c r="G11" s="70">
        <v>7.5437554791239014</v>
      </c>
      <c r="H11" s="8">
        <v>0.5</v>
      </c>
      <c r="I11" s="8">
        <v>7.1480872451210997</v>
      </c>
      <c r="J11" s="8">
        <v>0.5</v>
      </c>
      <c r="K11" s="8">
        <f t="shared" si="0"/>
        <v>0.39566823400280171</v>
      </c>
      <c r="L11" s="8">
        <f t="shared" si="1"/>
        <v>0</v>
      </c>
      <c r="M11" s="27">
        <f t="shared" si="3"/>
        <v>0.19783411700140086</v>
      </c>
    </row>
    <row r="12" spans="1:13" hidden="1" x14ac:dyDescent="0.3">
      <c r="A12" s="28">
        <v>57</v>
      </c>
      <c r="B12" s="62">
        <v>1</v>
      </c>
      <c r="C12" s="62">
        <v>0</v>
      </c>
      <c r="D12" s="62">
        <v>0</v>
      </c>
      <c r="E12" s="81">
        <v>-1</v>
      </c>
      <c r="F12" s="8">
        <v>0</v>
      </c>
      <c r="G12" s="67">
        <v>11.315633218685852</v>
      </c>
      <c r="H12" s="8">
        <v>0.75</v>
      </c>
      <c r="I12" s="8">
        <v>7.1480872451210997</v>
      </c>
      <c r="J12" s="8">
        <v>0.5</v>
      </c>
      <c r="K12" s="8">
        <f t="shared" si="0"/>
        <v>4.167545973564752</v>
      </c>
      <c r="L12" s="8">
        <f t="shared" si="1"/>
        <v>0.25</v>
      </c>
      <c r="M12" s="27">
        <f t="shared" si="3"/>
        <v>2.208772986782376</v>
      </c>
    </row>
    <row r="13" spans="1:13" x14ac:dyDescent="0.3">
      <c r="A13" s="28">
        <v>58</v>
      </c>
      <c r="B13" s="62">
        <v>1</v>
      </c>
      <c r="C13" s="62">
        <v>0</v>
      </c>
      <c r="D13" s="62">
        <v>0</v>
      </c>
      <c r="E13" s="43">
        <v>2</v>
      </c>
      <c r="F13" s="8">
        <v>230</v>
      </c>
      <c r="G13" s="70">
        <v>3.1757538560836958</v>
      </c>
      <c r="H13" s="8">
        <v>0.25</v>
      </c>
      <c r="I13" s="8">
        <v>0</v>
      </c>
      <c r="J13" s="8">
        <v>0</v>
      </c>
      <c r="K13" s="8">
        <f t="shared" si="0"/>
        <v>3.1757538560836958</v>
      </c>
      <c r="L13" s="8">
        <f t="shared" si="1"/>
        <v>0.25</v>
      </c>
      <c r="M13" s="27">
        <f t="shared" si="3"/>
        <v>116.71287692804185</v>
      </c>
    </row>
    <row r="14" spans="1:13" x14ac:dyDescent="0.3">
      <c r="A14" s="28">
        <v>59</v>
      </c>
      <c r="B14" s="62">
        <v>0</v>
      </c>
      <c r="C14" s="62">
        <v>0</v>
      </c>
      <c r="D14" s="62">
        <v>1</v>
      </c>
      <c r="E14" s="42">
        <v>2</v>
      </c>
      <c r="F14" s="8">
        <v>30</v>
      </c>
      <c r="G14" s="67">
        <v>0</v>
      </c>
      <c r="H14" s="8">
        <v>0</v>
      </c>
      <c r="I14" s="8">
        <v>0</v>
      </c>
      <c r="J14" s="8">
        <v>0</v>
      </c>
      <c r="K14" s="8">
        <f t="shared" si="0"/>
        <v>0</v>
      </c>
      <c r="L14" s="8">
        <f t="shared" si="1"/>
        <v>0</v>
      </c>
      <c r="M14" s="27">
        <f t="shared" si="3"/>
        <v>15</v>
      </c>
    </row>
    <row r="15" spans="1:13" x14ac:dyDescent="0.3">
      <c r="A15" s="28">
        <v>60</v>
      </c>
      <c r="B15" s="62">
        <v>1</v>
      </c>
      <c r="C15" s="62">
        <v>1</v>
      </c>
      <c r="D15" s="62">
        <v>1</v>
      </c>
      <c r="E15" s="43">
        <v>2</v>
      </c>
      <c r="F15" s="8">
        <v>51</v>
      </c>
      <c r="G15" s="70">
        <v>5.5229953501349849</v>
      </c>
      <c r="H15" s="8">
        <v>0.25</v>
      </c>
      <c r="I15" s="8">
        <v>0</v>
      </c>
      <c r="J15" s="8">
        <v>0</v>
      </c>
      <c r="K15" s="8">
        <f t="shared" si="0"/>
        <v>5.5229953501349849</v>
      </c>
      <c r="L15" s="8">
        <f t="shared" si="1"/>
        <v>0.25</v>
      </c>
      <c r="M15" s="27">
        <f t="shared" si="3"/>
        <v>28.386497675067492</v>
      </c>
    </row>
    <row r="16" spans="1:13" x14ac:dyDescent="0.3">
      <c r="A16" s="28">
        <v>61</v>
      </c>
      <c r="B16" s="62">
        <v>0</v>
      </c>
      <c r="C16" s="62">
        <v>0</v>
      </c>
      <c r="D16" s="62">
        <v>1</v>
      </c>
      <c r="E16" s="42">
        <v>2</v>
      </c>
      <c r="F16" s="8">
        <v>3</v>
      </c>
      <c r="G16" s="67">
        <v>0</v>
      </c>
      <c r="H16" s="8">
        <v>0</v>
      </c>
      <c r="I16" s="8">
        <v>0</v>
      </c>
      <c r="J16" s="8">
        <v>0</v>
      </c>
      <c r="K16" s="8">
        <f t="shared" si="0"/>
        <v>0</v>
      </c>
      <c r="L16" s="8">
        <f t="shared" si="1"/>
        <v>0</v>
      </c>
      <c r="M16" s="27">
        <f t="shared" si="3"/>
        <v>1.5</v>
      </c>
    </row>
    <row r="17" spans="1:13" x14ac:dyDescent="0.3">
      <c r="A17" s="28">
        <v>62</v>
      </c>
      <c r="B17" s="62">
        <v>0</v>
      </c>
      <c r="C17" s="62">
        <v>0</v>
      </c>
      <c r="D17" s="62">
        <v>1</v>
      </c>
      <c r="E17" s="43">
        <v>2</v>
      </c>
      <c r="F17" s="8">
        <v>8</v>
      </c>
      <c r="G17" s="70">
        <v>0</v>
      </c>
      <c r="H17" s="8">
        <v>0</v>
      </c>
      <c r="I17" s="8">
        <v>0</v>
      </c>
      <c r="J17" s="8">
        <v>0</v>
      </c>
      <c r="K17" s="8">
        <f t="shared" si="0"/>
        <v>0</v>
      </c>
      <c r="L17" s="8">
        <f t="shared" si="1"/>
        <v>0</v>
      </c>
      <c r="M17" s="27">
        <f t="shared" si="3"/>
        <v>4</v>
      </c>
    </row>
    <row r="18" spans="1:13" x14ac:dyDescent="0.3">
      <c r="A18" s="28">
        <v>63</v>
      </c>
      <c r="B18" s="62">
        <v>0</v>
      </c>
      <c r="C18" s="62">
        <v>0</v>
      </c>
      <c r="D18" s="62">
        <v>0</v>
      </c>
      <c r="E18" s="42">
        <v>2</v>
      </c>
      <c r="F18" s="8">
        <v>23</v>
      </c>
      <c r="G18" s="67">
        <v>7.6686102120198179</v>
      </c>
      <c r="H18" s="8">
        <v>0.25</v>
      </c>
      <c r="I18" s="8">
        <v>7.2625351629257162</v>
      </c>
      <c r="J18" s="8">
        <v>0.25</v>
      </c>
      <c r="K18" s="8">
        <f t="shared" si="0"/>
        <v>0.40607504909410164</v>
      </c>
      <c r="L18" s="8">
        <f t="shared" si="1"/>
        <v>0</v>
      </c>
      <c r="M18" s="27">
        <f t="shared" si="3"/>
        <v>11.703037524547051</v>
      </c>
    </row>
    <row r="19" spans="1:13" hidden="1" x14ac:dyDescent="0.3">
      <c r="A19" s="28">
        <v>64</v>
      </c>
      <c r="B19" s="62">
        <v>0</v>
      </c>
      <c r="C19" s="62">
        <v>0</v>
      </c>
      <c r="D19" s="62">
        <v>0</v>
      </c>
      <c r="E19" s="81">
        <v>-1</v>
      </c>
      <c r="F19" s="8">
        <v>0</v>
      </c>
      <c r="G19" s="70">
        <v>53.680271484138729</v>
      </c>
      <c r="H19" s="8">
        <v>1.75</v>
      </c>
      <c r="I19" s="8">
        <v>14.525070325851432</v>
      </c>
      <c r="J19" s="8">
        <v>0.5</v>
      </c>
      <c r="K19" s="8">
        <f t="shared" si="0"/>
        <v>39.155201158287298</v>
      </c>
      <c r="L19" s="8">
        <f t="shared" si="1"/>
        <v>1.25</v>
      </c>
      <c r="M19" s="27">
        <f t="shared" si="3"/>
        <v>20.202600579143649</v>
      </c>
    </row>
    <row r="20" spans="1:13" x14ac:dyDescent="0.3">
      <c r="A20" s="28">
        <v>65</v>
      </c>
      <c r="B20" s="62">
        <v>1</v>
      </c>
      <c r="C20" s="62">
        <v>0</v>
      </c>
      <c r="D20" s="62">
        <v>0</v>
      </c>
      <c r="E20" s="42">
        <v>2</v>
      </c>
      <c r="F20" s="8">
        <v>9</v>
      </c>
      <c r="G20" s="67">
        <v>0</v>
      </c>
      <c r="H20" s="8">
        <v>0</v>
      </c>
      <c r="I20" s="8">
        <v>7.2625351629257162</v>
      </c>
      <c r="J20" s="8">
        <v>0.25</v>
      </c>
      <c r="K20" s="8">
        <f t="shared" si="0"/>
        <v>0</v>
      </c>
      <c r="L20" s="8">
        <f t="shared" si="1"/>
        <v>0</v>
      </c>
      <c r="M20" s="27">
        <f t="shared" si="3"/>
        <v>4.5</v>
      </c>
    </row>
    <row r="21" spans="1:13" x14ac:dyDescent="0.3">
      <c r="A21" s="28">
        <v>66</v>
      </c>
      <c r="B21" s="62">
        <v>1</v>
      </c>
      <c r="C21" s="62">
        <v>1</v>
      </c>
      <c r="D21" s="62">
        <v>1</v>
      </c>
      <c r="E21" s="43">
        <v>2</v>
      </c>
      <c r="F21" s="8">
        <v>22</v>
      </c>
      <c r="G21" s="70">
        <v>34.798125633760861</v>
      </c>
      <c r="H21" s="8">
        <v>0.75</v>
      </c>
      <c r="I21" s="8">
        <v>11.095646861510293</v>
      </c>
      <c r="J21" s="8">
        <v>0.25</v>
      </c>
      <c r="K21" s="8">
        <f t="shared" si="0"/>
        <v>23.702478772250569</v>
      </c>
      <c r="L21" s="8">
        <f t="shared" si="1"/>
        <v>0.5</v>
      </c>
      <c r="M21" s="27">
        <f t="shared" si="3"/>
        <v>23.101239386125286</v>
      </c>
    </row>
    <row r="22" spans="1:13" x14ac:dyDescent="0.3">
      <c r="A22" s="28">
        <v>67</v>
      </c>
      <c r="B22" s="62">
        <v>1</v>
      </c>
      <c r="C22" s="62">
        <v>0</v>
      </c>
      <c r="D22" s="62">
        <v>1</v>
      </c>
      <c r="E22" s="42">
        <v>2</v>
      </c>
      <c r="F22" s="8">
        <v>0</v>
      </c>
      <c r="G22" s="67">
        <v>0</v>
      </c>
      <c r="H22" s="8">
        <v>0</v>
      </c>
      <c r="I22" s="8">
        <v>0</v>
      </c>
      <c r="J22" s="8">
        <v>0</v>
      </c>
      <c r="K22" s="8">
        <f t="shared" si="0"/>
        <v>0</v>
      </c>
      <c r="L22" s="8">
        <f t="shared" si="1"/>
        <v>0</v>
      </c>
      <c r="M22" s="27">
        <f t="shared" si="3"/>
        <v>0</v>
      </c>
    </row>
    <row r="23" spans="1:13" x14ac:dyDescent="0.3">
      <c r="A23" s="28">
        <v>68</v>
      </c>
      <c r="B23" s="62">
        <v>1</v>
      </c>
      <c r="C23" s="62">
        <v>0</v>
      </c>
      <c r="D23" s="62">
        <v>1</v>
      </c>
      <c r="E23" s="43">
        <v>2</v>
      </c>
      <c r="F23" s="8">
        <v>0</v>
      </c>
      <c r="G23" s="70">
        <v>0</v>
      </c>
      <c r="H23" s="8">
        <v>0</v>
      </c>
      <c r="I23" s="8">
        <v>0</v>
      </c>
      <c r="J23" s="8">
        <v>0</v>
      </c>
      <c r="K23" s="8">
        <f t="shared" si="0"/>
        <v>0</v>
      </c>
      <c r="L23" s="8">
        <f t="shared" si="1"/>
        <v>0</v>
      </c>
      <c r="M23" s="27">
        <f t="shared" si="3"/>
        <v>0</v>
      </c>
    </row>
    <row r="24" spans="1:13" x14ac:dyDescent="0.3">
      <c r="A24" s="28">
        <v>69</v>
      </c>
      <c r="B24" s="62">
        <v>0</v>
      </c>
      <c r="C24" s="62">
        <v>0</v>
      </c>
      <c r="D24" s="62">
        <v>1</v>
      </c>
      <c r="E24" s="42">
        <v>2</v>
      </c>
      <c r="F24" s="8">
        <v>39</v>
      </c>
      <c r="G24" s="67">
        <v>25.121887209760555</v>
      </c>
      <c r="H24" s="8">
        <v>0.75</v>
      </c>
      <c r="I24" s="8">
        <v>0</v>
      </c>
      <c r="J24" s="8">
        <v>0</v>
      </c>
      <c r="K24" s="8">
        <f t="shared" si="0"/>
        <v>25.121887209760555</v>
      </c>
      <c r="L24" s="8">
        <f t="shared" si="1"/>
        <v>0.75</v>
      </c>
      <c r="M24" s="27">
        <f t="shared" si="3"/>
        <v>32.435943604880279</v>
      </c>
    </row>
    <row r="25" spans="1:13" x14ac:dyDescent="0.3">
      <c r="A25" s="8">
        <v>70</v>
      </c>
      <c r="B25" s="62">
        <v>1</v>
      </c>
      <c r="C25" s="62">
        <v>0</v>
      </c>
      <c r="D25" s="62">
        <v>0</v>
      </c>
      <c r="E25" s="43">
        <v>2</v>
      </c>
      <c r="F25" s="8">
        <v>-28</v>
      </c>
      <c r="G25" s="70">
        <v>0</v>
      </c>
      <c r="H25" s="8">
        <v>0</v>
      </c>
      <c r="I25" s="8">
        <v>0</v>
      </c>
      <c r="J25" s="8">
        <v>0</v>
      </c>
      <c r="K25" s="8">
        <f t="shared" si="0"/>
        <v>0</v>
      </c>
      <c r="L25" s="8">
        <f t="shared" si="1"/>
        <v>0</v>
      </c>
      <c r="M25" s="27">
        <f t="shared" si="3"/>
        <v>-14</v>
      </c>
    </row>
    <row r="26" spans="1:13" x14ac:dyDescent="0.3">
      <c r="A26" s="8">
        <v>71</v>
      </c>
      <c r="B26" s="62">
        <v>1</v>
      </c>
      <c r="C26" s="62">
        <v>0</v>
      </c>
      <c r="D26" s="62">
        <v>0</v>
      </c>
      <c r="E26" s="42">
        <v>2</v>
      </c>
      <c r="F26" s="8">
        <v>-8</v>
      </c>
      <c r="G26" s="67">
        <v>0</v>
      </c>
      <c r="H26" s="8">
        <v>0</v>
      </c>
      <c r="I26" s="8">
        <v>0</v>
      </c>
      <c r="J26" s="8">
        <v>0</v>
      </c>
      <c r="K26" s="8">
        <f t="shared" si="0"/>
        <v>0</v>
      </c>
      <c r="L26" s="8">
        <f t="shared" si="1"/>
        <v>0</v>
      </c>
      <c r="M26" s="27">
        <f t="shared" si="3"/>
        <v>-4</v>
      </c>
    </row>
    <row r="27" spans="1:13" x14ac:dyDescent="0.3">
      <c r="A27" s="8">
        <v>72</v>
      </c>
      <c r="B27" s="62">
        <v>1</v>
      </c>
      <c r="C27" s="62">
        <v>0</v>
      </c>
      <c r="D27" s="62">
        <v>1</v>
      </c>
      <c r="E27" s="43">
        <v>2</v>
      </c>
      <c r="F27" s="8">
        <v>4</v>
      </c>
      <c r="G27" s="70">
        <v>29.60873682762815</v>
      </c>
      <c r="H27" s="8">
        <v>0.25</v>
      </c>
      <c r="I27" s="8">
        <v>27.888090669760384</v>
      </c>
      <c r="J27" s="8">
        <v>0.25</v>
      </c>
      <c r="K27" s="8">
        <f t="shared" si="0"/>
        <v>1.7206461578677654</v>
      </c>
      <c r="L27" s="8">
        <f t="shared" si="1"/>
        <v>0</v>
      </c>
      <c r="M27" s="27">
        <f t="shared" si="3"/>
        <v>2.8603230789338827</v>
      </c>
    </row>
    <row r="28" spans="1:13" x14ac:dyDescent="0.3">
      <c r="A28" s="8">
        <v>73</v>
      </c>
      <c r="B28" s="62">
        <v>1</v>
      </c>
      <c r="C28" s="62">
        <v>0</v>
      </c>
      <c r="D28" s="62">
        <v>1</v>
      </c>
      <c r="E28" s="42">
        <v>2</v>
      </c>
      <c r="F28" s="8">
        <v>-8</v>
      </c>
      <c r="G28" s="67">
        <v>0</v>
      </c>
      <c r="H28" s="8">
        <v>0</v>
      </c>
      <c r="I28" s="8">
        <v>6.7238150603909537</v>
      </c>
      <c r="J28" s="8">
        <v>0.25</v>
      </c>
      <c r="K28" s="8">
        <f t="shared" si="0"/>
        <v>0</v>
      </c>
      <c r="L28" s="8">
        <f t="shared" si="1"/>
        <v>0</v>
      </c>
      <c r="M28" s="27">
        <f t="shared" si="3"/>
        <v>-4</v>
      </c>
    </row>
    <row r="29" spans="1:13" x14ac:dyDescent="0.3">
      <c r="A29" s="8">
        <v>74</v>
      </c>
      <c r="B29" s="62">
        <v>0</v>
      </c>
      <c r="C29" s="62">
        <v>0</v>
      </c>
      <c r="D29" s="62">
        <v>1</v>
      </c>
      <c r="E29" s="43">
        <v>2</v>
      </c>
      <c r="F29" s="8">
        <v>18</v>
      </c>
      <c r="G29" s="70">
        <v>21.822661415406909</v>
      </c>
      <c r="H29" s="8">
        <v>0.5</v>
      </c>
      <c r="I29" s="8">
        <v>30.981511318398077</v>
      </c>
      <c r="J29" s="8">
        <v>0.75</v>
      </c>
      <c r="K29" s="8">
        <f t="shared" si="0"/>
        <v>-9.1588499029911681</v>
      </c>
      <c r="L29" s="8">
        <f t="shared" si="1"/>
        <v>-0.25</v>
      </c>
      <c r="M29" s="27">
        <f t="shared" si="3"/>
        <v>4.295575048504416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C1" workbookViewId="0">
      <selection activeCell="E26" sqref="E26"/>
    </sheetView>
  </sheetViews>
  <sheetFormatPr baseColWidth="10" defaultRowHeight="14.4" x14ac:dyDescent="0.3"/>
  <cols>
    <col min="2" max="2" width="34.21875" customWidth="1"/>
    <col min="3" max="3" width="10.109375" bestFit="1" customWidth="1"/>
    <col min="7" max="7" width="17.21875" customWidth="1"/>
    <col min="8" max="9" width="12.77734375" customWidth="1"/>
    <col min="10" max="10" width="15.33203125" customWidth="1"/>
    <col min="11" max="11" width="15" customWidth="1"/>
    <col min="12" max="12" width="11.44140625" customWidth="1"/>
    <col min="13" max="13" width="12" customWidth="1"/>
  </cols>
  <sheetData>
    <row r="1" spans="1:16" ht="57.6" x14ac:dyDescent="0.3">
      <c r="A1" t="s">
        <v>128</v>
      </c>
      <c r="B1" t="s">
        <v>129</v>
      </c>
      <c r="C1" t="s">
        <v>130</v>
      </c>
      <c r="D1" t="s">
        <v>131</v>
      </c>
      <c r="E1" t="s">
        <v>0</v>
      </c>
      <c r="F1" t="s">
        <v>1</v>
      </c>
      <c r="G1" t="s">
        <v>2</v>
      </c>
      <c r="H1" s="2" t="s">
        <v>150</v>
      </c>
      <c r="I1" s="2" t="s">
        <v>174</v>
      </c>
      <c r="J1" s="2" t="s">
        <v>170</v>
      </c>
      <c r="K1" s="2" t="s">
        <v>138</v>
      </c>
      <c r="L1" s="2" t="s">
        <v>3</v>
      </c>
      <c r="M1" s="2" t="s">
        <v>4</v>
      </c>
      <c r="N1" s="2" t="s">
        <v>5</v>
      </c>
      <c r="O1" s="2" t="s">
        <v>172</v>
      </c>
      <c r="P1" s="2" t="s">
        <v>171</v>
      </c>
    </row>
    <row r="2" spans="1:16" x14ac:dyDescent="0.3">
      <c r="A2" t="s">
        <v>121</v>
      </c>
      <c r="B2" t="s">
        <v>75</v>
      </c>
      <c r="C2" t="s">
        <v>76</v>
      </c>
      <c r="D2" t="s">
        <v>77</v>
      </c>
      <c r="E2">
        <v>700.2</v>
      </c>
      <c r="F2" t="s">
        <v>134</v>
      </c>
      <c r="G2">
        <v>3797</v>
      </c>
      <c r="H2" s="2" t="s">
        <v>143</v>
      </c>
      <c r="I2" s="2">
        <f xml:space="preserve"> VLOOKUP(H2,REFERENTIEL!A$2:B$5,2,FALSE)</f>
        <v>1</v>
      </c>
      <c r="J2" t="s">
        <v>143</v>
      </c>
      <c r="K2" s="7">
        <v>53.299973663418491</v>
      </c>
      <c r="L2">
        <v>1</v>
      </c>
      <c r="M2">
        <v>1</v>
      </c>
      <c r="N2">
        <v>60</v>
      </c>
      <c r="O2" t="s">
        <v>144</v>
      </c>
      <c r="P2" t="s">
        <v>147</v>
      </c>
    </row>
    <row r="3" spans="1:16" x14ac:dyDescent="0.3">
      <c r="A3" t="s">
        <v>115</v>
      </c>
      <c r="B3" t="s">
        <v>57</v>
      </c>
      <c r="C3" t="s">
        <v>58</v>
      </c>
      <c r="D3" t="s">
        <v>59</v>
      </c>
      <c r="E3">
        <v>453.1</v>
      </c>
      <c r="F3" t="s">
        <v>134</v>
      </c>
      <c r="G3">
        <v>10551</v>
      </c>
      <c r="H3" s="2" t="s">
        <v>146</v>
      </c>
      <c r="I3" s="2">
        <f xml:space="preserve"> VLOOKUP(H3,REFERENTIEL!A$2:B$5,2,FALSE)</f>
        <v>3</v>
      </c>
      <c r="J3" t="s">
        <v>144</v>
      </c>
      <c r="K3" s="7">
        <v>25</v>
      </c>
      <c r="L3">
        <v>1</v>
      </c>
      <c r="M3">
        <v>1</v>
      </c>
      <c r="N3">
        <v>60</v>
      </c>
      <c r="O3" t="s">
        <v>144</v>
      </c>
      <c r="P3" t="s">
        <v>144</v>
      </c>
    </row>
    <row r="4" spans="1:16" x14ac:dyDescent="0.3">
      <c r="A4" t="s">
        <v>116</v>
      </c>
      <c r="B4" t="s">
        <v>60</v>
      </c>
      <c r="C4" t="s">
        <v>61</v>
      </c>
      <c r="D4" t="s">
        <v>62</v>
      </c>
      <c r="E4">
        <v>453.2</v>
      </c>
      <c r="F4" t="s">
        <v>134</v>
      </c>
      <c r="G4">
        <v>10551</v>
      </c>
      <c r="H4" s="2" t="s">
        <v>146</v>
      </c>
      <c r="I4" s="2">
        <f xml:space="preserve"> VLOOKUP(H4,REFERENTIEL!A$2:B$5,2,FALSE)</f>
        <v>3</v>
      </c>
      <c r="J4" t="s">
        <v>144</v>
      </c>
      <c r="K4" s="7">
        <v>25</v>
      </c>
      <c r="L4">
        <v>1</v>
      </c>
      <c r="M4">
        <v>1</v>
      </c>
      <c r="N4">
        <v>80</v>
      </c>
      <c r="O4" t="s">
        <v>144</v>
      </c>
      <c r="P4" t="s">
        <v>144</v>
      </c>
    </row>
    <row r="5" spans="1:16" x14ac:dyDescent="0.3">
      <c r="A5" t="s">
        <v>102</v>
      </c>
      <c r="B5" t="s">
        <v>26</v>
      </c>
      <c r="C5" t="s">
        <v>27</v>
      </c>
      <c r="D5" t="s">
        <v>28</v>
      </c>
      <c r="E5">
        <v>15</v>
      </c>
      <c r="F5" t="s">
        <v>134</v>
      </c>
      <c r="G5">
        <v>10447</v>
      </c>
      <c r="H5" s="2" t="s">
        <v>146</v>
      </c>
      <c r="I5" s="2">
        <f xml:space="preserve"> VLOOKUP(H5,REFERENTIEL!A$2:B$5,2,FALSE)</f>
        <v>3</v>
      </c>
      <c r="J5" t="s">
        <v>144</v>
      </c>
      <c r="K5" s="7">
        <v>19</v>
      </c>
      <c r="L5">
        <v>1</v>
      </c>
      <c r="M5">
        <v>2</v>
      </c>
      <c r="N5">
        <v>60</v>
      </c>
      <c r="O5" t="s">
        <v>146</v>
      </c>
      <c r="P5" t="s">
        <v>167</v>
      </c>
    </row>
    <row r="6" spans="1:16" x14ac:dyDescent="0.3">
      <c r="A6" t="s">
        <v>103</v>
      </c>
      <c r="B6" t="s">
        <v>29</v>
      </c>
      <c r="C6" t="s">
        <v>27</v>
      </c>
      <c r="D6" t="s">
        <v>30</v>
      </c>
      <c r="E6">
        <v>15.1</v>
      </c>
      <c r="F6" t="s">
        <v>134</v>
      </c>
      <c r="G6">
        <v>10447</v>
      </c>
      <c r="H6" s="2" t="s">
        <v>146</v>
      </c>
      <c r="I6" s="2">
        <f xml:space="preserve"> VLOOKUP(H6,REFERENTIEL!A$2:B$5,2,FALSE)</f>
        <v>3</v>
      </c>
      <c r="J6" t="s">
        <v>144</v>
      </c>
      <c r="K6" s="7">
        <v>19</v>
      </c>
      <c r="L6">
        <v>1</v>
      </c>
      <c r="M6">
        <v>2</v>
      </c>
      <c r="N6">
        <v>60</v>
      </c>
      <c r="O6" t="s">
        <v>146</v>
      </c>
      <c r="P6" t="s">
        <v>167</v>
      </c>
    </row>
    <row r="7" spans="1:16" x14ac:dyDescent="0.3">
      <c r="A7" t="s">
        <v>111</v>
      </c>
      <c r="B7" t="s">
        <v>49</v>
      </c>
      <c r="C7" t="s">
        <v>47</v>
      </c>
      <c r="D7" t="s">
        <v>48</v>
      </c>
      <c r="E7">
        <v>98.8</v>
      </c>
      <c r="F7" t="s">
        <v>134</v>
      </c>
      <c r="G7">
        <v>9899</v>
      </c>
      <c r="H7" s="2" t="s">
        <v>146</v>
      </c>
      <c r="I7" s="2">
        <f xml:space="preserve"> VLOOKUP(H7,REFERENTIEL!A$2:B$5,2,FALSE)</f>
        <v>3</v>
      </c>
      <c r="J7" t="s">
        <v>144</v>
      </c>
      <c r="K7" s="7">
        <v>29.799979795938984</v>
      </c>
      <c r="L7">
        <v>1</v>
      </c>
      <c r="M7">
        <v>1</v>
      </c>
      <c r="N7">
        <v>60</v>
      </c>
      <c r="O7" t="s">
        <v>144</v>
      </c>
      <c r="P7" t="s">
        <v>144</v>
      </c>
    </row>
    <row r="8" spans="1:16" x14ac:dyDescent="0.3">
      <c r="A8" t="s">
        <v>112</v>
      </c>
      <c r="B8" t="s">
        <v>50</v>
      </c>
      <c r="C8" t="s">
        <v>47</v>
      </c>
      <c r="D8" t="s">
        <v>51</v>
      </c>
      <c r="E8">
        <v>98.7</v>
      </c>
      <c r="F8" t="s">
        <v>134</v>
      </c>
      <c r="G8">
        <v>9899</v>
      </c>
      <c r="H8" s="2" t="s">
        <v>146</v>
      </c>
      <c r="I8" s="2">
        <f xml:space="preserve"> VLOOKUP(H8,REFERENTIEL!A$2:B$5,2,FALSE)</f>
        <v>3</v>
      </c>
      <c r="J8" t="s">
        <v>144</v>
      </c>
      <c r="K8" s="7">
        <v>29.799979795938984</v>
      </c>
      <c r="L8">
        <v>1</v>
      </c>
      <c r="M8">
        <v>1</v>
      </c>
      <c r="N8">
        <v>60</v>
      </c>
      <c r="O8" t="s">
        <v>144</v>
      </c>
      <c r="P8" t="s">
        <v>144</v>
      </c>
    </row>
    <row r="9" spans="1:16" x14ac:dyDescent="0.3">
      <c r="A9" t="s">
        <v>104</v>
      </c>
      <c r="B9" t="s">
        <v>31</v>
      </c>
      <c r="E9">
        <v>384.95</v>
      </c>
      <c r="F9" t="s">
        <v>134</v>
      </c>
      <c r="G9">
        <v>15361</v>
      </c>
      <c r="H9" s="2" t="s">
        <v>144</v>
      </c>
      <c r="I9" s="2">
        <f xml:space="preserve"> VLOOKUP(H9,REFERENTIEL!A$2:B$5,2,FALSE)</f>
        <v>4</v>
      </c>
      <c r="J9" t="s">
        <v>144</v>
      </c>
      <c r="K9" s="7">
        <v>2.7000195299785172</v>
      </c>
      <c r="L9">
        <v>1</v>
      </c>
      <c r="N9">
        <v>60</v>
      </c>
      <c r="O9" t="s">
        <v>144</v>
      </c>
      <c r="P9" t="s">
        <v>144</v>
      </c>
    </row>
    <row r="10" spans="1:16" x14ac:dyDescent="0.3">
      <c r="A10" t="s">
        <v>105</v>
      </c>
      <c r="B10" t="s">
        <v>32</v>
      </c>
      <c r="C10" t="s">
        <v>33</v>
      </c>
      <c r="D10" t="s">
        <v>34</v>
      </c>
      <c r="E10">
        <v>384.96</v>
      </c>
      <c r="F10" t="s">
        <v>134</v>
      </c>
      <c r="G10">
        <v>15361</v>
      </c>
      <c r="H10" s="2" t="s">
        <v>144</v>
      </c>
      <c r="I10" s="2">
        <f xml:space="preserve"> VLOOKUP(H10,REFERENTIEL!A$2:B$5,2,FALSE)</f>
        <v>4</v>
      </c>
      <c r="J10" t="s">
        <v>144</v>
      </c>
      <c r="K10" s="7">
        <v>2.7000195299785172</v>
      </c>
      <c r="L10">
        <v>1</v>
      </c>
      <c r="M10">
        <v>1</v>
      </c>
      <c r="N10">
        <v>80</v>
      </c>
      <c r="O10" t="s">
        <v>144</v>
      </c>
      <c r="P10" t="s">
        <v>144</v>
      </c>
    </row>
    <row r="11" spans="1:16" x14ac:dyDescent="0.3">
      <c r="A11" t="s">
        <v>99</v>
      </c>
      <c r="B11" t="s">
        <v>17</v>
      </c>
      <c r="C11" t="s">
        <v>18</v>
      </c>
      <c r="D11" t="s">
        <v>19</v>
      </c>
      <c r="E11">
        <v>424.15</v>
      </c>
      <c r="F11" t="s">
        <v>134</v>
      </c>
      <c r="G11">
        <v>7266</v>
      </c>
      <c r="H11" s="2" t="s">
        <v>144</v>
      </c>
      <c r="I11" s="2">
        <f xml:space="preserve"> VLOOKUP(H11,REFERENTIEL!A$2:B$5,2,FALSE)</f>
        <v>4</v>
      </c>
      <c r="J11" t="s">
        <v>144</v>
      </c>
      <c r="K11" s="7">
        <v>34</v>
      </c>
      <c r="L11">
        <v>1</v>
      </c>
      <c r="M11">
        <v>1</v>
      </c>
      <c r="N11">
        <v>60</v>
      </c>
      <c r="O11" t="s">
        <v>144</v>
      </c>
      <c r="P11" t="s">
        <v>144</v>
      </c>
    </row>
    <row r="12" spans="1:16" x14ac:dyDescent="0.3">
      <c r="A12" t="s">
        <v>101</v>
      </c>
      <c r="B12" t="s">
        <v>23</v>
      </c>
      <c r="C12" t="s">
        <v>24</v>
      </c>
      <c r="D12" t="s">
        <v>25</v>
      </c>
      <c r="E12">
        <v>424.5</v>
      </c>
      <c r="F12" t="s">
        <v>134</v>
      </c>
      <c r="G12">
        <v>7266</v>
      </c>
      <c r="H12" s="2" t="s">
        <v>144</v>
      </c>
      <c r="I12" s="2">
        <f xml:space="preserve"> VLOOKUP(H12,REFERENTIEL!A$2:B$5,2,FALSE)</f>
        <v>4</v>
      </c>
      <c r="J12" t="s">
        <v>144</v>
      </c>
      <c r="K12" s="7">
        <v>34</v>
      </c>
      <c r="L12">
        <v>1</v>
      </c>
      <c r="M12">
        <v>1</v>
      </c>
      <c r="N12">
        <v>60</v>
      </c>
      <c r="O12" t="s">
        <v>144</v>
      </c>
      <c r="P12" t="s">
        <v>144</v>
      </c>
    </row>
    <row r="13" spans="1:16" x14ac:dyDescent="0.3">
      <c r="A13" t="s">
        <v>110</v>
      </c>
      <c r="B13" t="s">
        <v>46</v>
      </c>
      <c r="C13" t="s">
        <v>47</v>
      </c>
      <c r="D13" t="s">
        <v>48</v>
      </c>
      <c r="E13">
        <v>70.2</v>
      </c>
      <c r="F13" t="s">
        <v>134</v>
      </c>
      <c r="G13">
        <v>4722</v>
      </c>
      <c r="H13" s="2" t="s">
        <v>144</v>
      </c>
      <c r="I13" s="2">
        <f xml:space="preserve"> VLOOKUP(H13,REFERENTIEL!A$2:B$5,2,FALSE)</f>
        <v>4</v>
      </c>
      <c r="J13" t="s">
        <v>144</v>
      </c>
      <c r="K13" s="7">
        <v>22.400042354934349</v>
      </c>
      <c r="L13">
        <v>1</v>
      </c>
      <c r="M13">
        <v>1</v>
      </c>
      <c r="N13">
        <v>60</v>
      </c>
      <c r="O13" t="s">
        <v>144</v>
      </c>
      <c r="P13" t="s">
        <v>144</v>
      </c>
    </row>
    <row r="14" spans="1:16" x14ac:dyDescent="0.3">
      <c r="A14" t="s">
        <v>107</v>
      </c>
      <c r="B14" t="s">
        <v>38</v>
      </c>
      <c r="C14" t="s">
        <v>39</v>
      </c>
      <c r="D14" t="s">
        <v>40</v>
      </c>
      <c r="E14">
        <v>103.2</v>
      </c>
      <c r="F14" t="s">
        <v>134</v>
      </c>
      <c r="G14">
        <v>9899</v>
      </c>
      <c r="H14" s="2" t="s">
        <v>144</v>
      </c>
      <c r="I14" s="2">
        <f xml:space="preserve"> VLOOKUP(H14,REFERENTIEL!A$2:B$5,2,FALSE)</f>
        <v>4</v>
      </c>
      <c r="J14" t="s">
        <v>144</v>
      </c>
      <c r="K14" s="7">
        <v>29.799979795938984</v>
      </c>
      <c r="L14">
        <v>1</v>
      </c>
      <c r="M14">
        <v>1</v>
      </c>
      <c r="N14">
        <v>60</v>
      </c>
      <c r="O14" t="s">
        <v>144</v>
      </c>
      <c r="P14" t="s">
        <v>144</v>
      </c>
    </row>
    <row r="15" spans="1:16" x14ac:dyDescent="0.3">
      <c r="A15" t="s">
        <v>108</v>
      </c>
      <c r="B15" t="s">
        <v>41</v>
      </c>
      <c r="C15" t="s">
        <v>42</v>
      </c>
      <c r="D15" t="s">
        <v>43</v>
      </c>
      <c r="E15">
        <v>190.7</v>
      </c>
      <c r="F15" t="s">
        <v>135</v>
      </c>
      <c r="G15">
        <v>13656</v>
      </c>
      <c r="H15" s="2" t="s">
        <v>143</v>
      </c>
      <c r="I15" s="2">
        <f xml:space="preserve"> VLOOKUP(H15,REFERENTIEL!A$2:B$5,2,FALSE)</f>
        <v>1</v>
      </c>
      <c r="J15" t="s">
        <v>143</v>
      </c>
      <c r="K15" s="7">
        <v>7.3999707088459283</v>
      </c>
      <c r="L15">
        <v>1</v>
      </c>
      <c r="M15">
        <v>1</v>
      </c>
      <c r="N15">
        <v>80</v>
      </c>
      <c r="O15" t="s">
        <v>144</v>
      </c>
      <c r="P15" t="s">
        <v>144</v>
      </c>
    </row>
    <row r="16" spans="1:16" x14ac:dyDescent="0.3">
      <c r="A16" t="s">
        <v>109</v>
      </c>
      <c r="B16" t="s">
        <v>44</v>
      </c>
      <c r="C16" t="s">
        <v>42</v>
      </c>
      <c r="D16" t="s">
        <v>45</v>
      </c>
      <c r="E16">
        <v>190.8</v>
      </c>
      <c r="F16" t="s">
        <v>135</v>
      </c>
      <c r="G16">
        <v>13656</v>
      </c>
      <c r="H16" s="2" t="s">
        <v>143</v>
      </c>
      <c r="I16" s="2">
        <f xml:space="preserve"> VLOOKUP(H16,REFERENTIEL!A$2:B$5,2,FALSE)</f>
        <v>1</v>
      </c>
      <c r="J16" t="s">
        <v>143</v>
      </c>
      <c r="K16" s="7">
        <v>7.3999707088459283</v>
      </c>
      <c r="L16">
        <v>1</v>
      </c>
      <c r="M16">
        <v>1</v>
      </c>
      <c r="N16">
        <v>80</v>
      </c>
      <c r="O16" t="s">
        <v>144</v>
      </c>
      <c r="P16" t="s">
        <v>144</v>
      </c>
    </row>
    <row r="17" spans="1:16" x14ac:dyDescent="0.3">
      <c r="A17" t="s">
        <v>122</v>
      </c>
      <c r="B17" t="s">
        <v>78</v>
      </c>
      <c r="C17" t="s">
        <v>79</v>
      </c>
      <c r="D17" t="s">
        <v>80</v>
      </c>
      <c r="E17">
        <v>434</v>
      </c>
      <c r="F17" t="s">
        <v>135</v>
      </c>
      <c r="G17">
        <v>2985</v>
      </c>
      <c r="H17" s="2" t="s">
        <v>143</v>
      </c>
      <c r="I17" s="2">
        <f xml:space="preserve"> VLOOKUP(H17,REFERENTIEL!A$2:B$5,2,FALSE)</f>
        <v>1</v>
      </c>
      <c r="J17" t="s">
        <v>143</v>
      </c>
      <c r="K17" s="7">
        <v>30.729983249581238</v>
      </c>
      <c r="L17">
        <v>1</v>
      </c>
      <c r="M17">
        <v>1</v>
      </c>
      <c r="N17">
        <v>60</v>
      </c>
      <c r="O17" t="s">
        <v>144</v>
      </c>
      <c r="P17" t="s">
        <v>167</v>
      </c>
    </row>
    <row r="18" spans="1:16" x14ac:dyDescent="0.3">
      <c r="A18" t="s">
        <v>123</v>
      </c>
      <c r="B18" t="s">
        <v>81</v>
      </c>
      <c r="C18" t="s">
        <v>82</v>
      </c>
      <c r="D18" t="s">
        <v>83</v>
      </c>
      <c r="E18">
        <v>434.1</v>
      </c>
      <c r="F18" t="s">
        <v>135</v>
      </c>
      <c r="G18">
        <v>2985</v>
      </c>
      <c r="H18" s="2" t="s">
        <v>143</v>
      </c>
      <c r="I18" s="2">
        <f xml:space="preserve"> VLOOKUP(H18,REFERENTIEL!A$2:B$5,2,FALSE)</f>
        <v>1</v>
      </c>
      <c r="J18" t="s">
        <v>143</v>
      </c>
      <c r="K18" s="7">
        <v>30.729983249581238</v>
      </c>
      <c r="L18">
        <v>1</v>
      </c>
      <c r="M18">
        <v>1</v>
      </c>
      <c r="N18">
        <v>80</v>
      </c>
      <c r="O18" t="s">
        <v>144</v>
      </c>
      <c r="P18" t="s">
        <v>167</v>
      </c>
    </row>
    <row r="19" spans="1:16" x14ac:dyDescent="0.3">
      <c r="A19" t="s">
        <v>100</v>
      </c>
      <c r="B19" t="s">
        <v>20</v>
      </c>
      <c r="C19" t="s">
        <v>21</v>
      </c>
      <c r="D19" t="s">
        <v>22</v>
      </c>
      <c r="E19">
        <v>212.9</v>
      </c>
      <c r="F19" t="s">
        <v>135</v>
      </c>
      <c r="G19">
        <v>6297</v>
      </c>
      <c r="H19" s="2" t="s">
        <v>144</v>
      </c>
      <c r="I19" s="2">
        <f xml:space="preserve"> VLOOKUP(H19,REFERENTIEL!A$2:B$5,2,FALSE)</f>
        <v>4</v>
      </c>
      <c r="J19" t="s">
        <v>144</v>
      </c>
      <c r="K19" s="7">
        <v>23</v>
      </c>
      <c r="L19">
        <v>1</v>
      </c>
      <c r="M19">
        <v>1</v>
      </c>
      <c r="N19">
        <v>60</v>
      </c>
      <c r="O19" t="s">
        <v>144</v>
      </c>
      <c r="P19" t="s">
        <v>144</v>
      </c>
    </row>
    <row r="20" spans="1:16" x14ac:dyDescent="0.3">
      <c r="A20" t="s">
        <v>118</v>
      </c>
      <c r="B20" t="s">
        <v>66</v>
      </c>
      <c r="C20" t="s">
        <v>67</v>
      </c>
      <c r="D20" t="s">
        <v>68</v>
      </c>
      <c r="E20">
        <v>322.5</v>
      </c>
      <c r="F20" t="s">
        <v>135</v>
      </c>
      <c r="G20">
        <v>2903</v>
      </c>
      <c r="H20" s="2" t="s">
        <v>146</v>
      </c>
      <c r="I20" s="2">
        <f xml:space="preserve"> VLOOKUP(H20,REFERENTIEL!A$2:B$5,2,FALSE)</f>
        <v>3</v>
      </c>
      <c r="J20" t="s">
        <v>144</v>
      </c>
      <c r="K20" s="7">
        <v>67</v>
      </c>
      <c r="L20">
        <v>1</v>
      </c>
      <c r="M20">
        <v>1</v>
      </c>
      <c r="N20">
        <v>60</v>
      </c>
      <c r="O20" t="s">
        <v>144</v>
      </c>
      <c r="P20" t="s">
        <v>147</v>
      </c>
    </row>
    <row r="21" spans="1:16" x14ac:dyDescent="0.3">
      <c r="A21" t="s">
        <v>117</v>
      </c>
      <c r="B21" t="s">
        <v>63</v>
      </c>
      <c r="C21" t="s">
        <v>64</v>
      </c>
      <c r="D21" t="s">
        <v>65</v>
      </c>
      <c r="E21">
        <v>385.5</v>
      </c>
      <c r="F21" t="s">
        <v>135</v>
      </c>
      <c r="G21">
        <v>2152</v>
      </c>
      <c r="H21" s="2" t="s">
        <v>144</v>
      </c>
      <c r="I21" s="2">
        <f xml:space="preserve"> VLOOKUP(H21,REFERENTIEL!A$2:B$5,2,FALSE)</f>
        <v>4</v>
      </c>
      <c r="J21" t="s">
        <v>144</v>
      </c>
      <c r="K21" s="7">
        <v>43.840148698884761</v>
      </c>
      <c r="L21">
        <v>1</v>
      </c>
      <c r="M21">
        <v>1</v>
      </c>
      <c r="N21">
        <v>60</v>
      </c>
      <c r="O21" t="s">
        <v>144</v>
      </c>
      <c r="P21" t="s">
        <v>147</v>
      </c>
    </row>
    <row r="22" spans="1:16" x14ac:dyDescent="0.3">
      <c r="A22" t="s">
        <v>106</v>
      </c>
      <c r="B22" t="s">
        <v>35</v>
      </c>
      <c r="C22" t="s">
        <v>36</v>
      </c>
      <c r="D22" t="s">
        <v>37</v>
      </c>
      <c r="E22">
        <v>286.5</v>
      </c>
      <c r="F22" t="s">
        <v>135</v>
      </c>
      <c r="G22">
        <v>3446</v>
      </c>
      <c r="H22" s="2" t="s">
        <v>144</v>
      </c>
      <c r="I22" s="2">
        <f xml:space="preserve"> VLOOKUP(H22,REFERENTIEL!A$2:B$5,2,FALSE)</f>
        <v>4</v>
      </c>
      <c r="J22" t="s">
        <v>144</v>
      </c>
      <c r="K22" s="7">
        <v>39</v>
      </c>
      <c r="L22">
        <v>0</v>
      </c>
      <c r="M22">
        <v>1</v>
      </c>
      <c r="N22">
        <v>80</v>
      </c>
      <c r="O22" t="s">
        <v>144</v>
      </c>
      <c r="P22" t="s">
        <v>144</v>
      </c>
    </row>
    <row r="23" spans="1:16" x14ac:dyDescent="0.3">
      <c r="A23" t="s">
        <v>124</v>
      </c>
      <c r="B23" t="s">
        <v>84</v>
      </c>
      <c r="C23" t="s">
        <v>85</v>
      </c>
      <c r="D23" t="s">
        <v>86</v>
      </c>
      <c r="E23">
        <v>87.9</v>
      </c>
      <c r="F23" t="s">
        <v>133</v>
      </c>
      <c r="G23">
        <v>1325</v>
      </c>
      <c r="H23" s="2" t="s">
        <v>143</v>
      </c>
      <c r="I23" s="2">
        <f xml:space="preserve"> VLOOKUP(H23,REFERENTIEL!A$2:B$5,2,FALSE)</f>
        <v>1</v>
      </c>
      <c r="J23" t="s">
        <v>143</v>
      </c>
      <c r="K23" s="7">
        <v>37.500377358490567</v>
      </c>
      <c r="L23">
        <v>1</v>
      </c>
      <c r="M23">
        <v>1</v>
      </c>
      <c r="N23">
        <v>60</v>
      </c>
      <c r="O23" t="s">
        <v>144</v>
      </c>
      <c r="P23" t="s">
        <v>143</v>
      </c>
    </row>
    <row r="24" spans="1:16" x14ac:dyDescent="0.3">
      <c r="A24" t="s">
        <v>125</v>
      </c>
      <c r="B24" t="s">
        <v>87</v>
      </c>
      <c r="C24" t="s">
        <v>88</v>
      </c>
      <c r="D24" t="s">
        <v>89</v>
      </c>
      <c r="E24">
        <v>129.69999999999999</v>
      </c>
      <c r="F24" t="s">
        <v>133</v>
      </c>
      <c r="G24">
        <v>1711</v>
      </c>
      <c r="H24" s="2" t="s">
        <v>143</v>
      </c>
      <c r="I24" s="2">
        <f xml:space="preserve"> VLOOKUP(H24,REFERENTIEL!A$2:B$5,2,FALSE)</f>
        <v>1</v>
      </c>
      <c r="J24" t="s">
        <v>143</v>
      </c>
      <c r="K24" s="7">
        <v>43.500292226767975</v>
      </c>
      <c r="L24">
        <v>1</v>
      </c>
      <c r="M24">
        <v>1</v>
      </c>
      <c r="N24">
        <v>60</v>
      </c>
      <c r="O24" t="s">
        <v>144</v>
      </c>
      <c r="P24" t="s">
        <v>147</v>
      </c>
    </row>
    <row r="25" spans="1:16" x14ac:dyDescent="0.3">
      <c r="A25" t="s">
        <v>98</v>
      </c>
      <c r="B25" t="s">
        <v>14</v>
      </c>
      <c r="C25" t="s">
        <v>15</v>
      </c>
      <c r="D25" t="s">
        <v>16</v>
      </c>
      <c r="E25">
        <v>262.60000000000002</v>
      </c>
      <c r="F25" t="s">
        <v>133</v>
      </c>
      <c r="G25">
        <v>14163</v>
      </c>
      <c r="H25" s="2" t="s">
        <v>147</v>
      </c>
      <c r="I25" s="2">
        <f xml:space="preserve"> VLOOKUP(H25,REFERENTIEL!A$2:B$5,2,FALSE)</f>
        <v>2</v>
      </c>
      <c r="J25" t="s">
        <v>144</v>
      </c>
      <c r="K25" s="7">
        <v>47.90002118195298</v>
      </c>
      <c r="L25">
        <v>1</v>
      </c>
      <c r="M25">
        <v>2</v>
      </c>
      <c r="N25">
        <v>60</v>
      </c>
      <c r="O25" t="s">
        <v>144</v>
      </c>
      <c r="P25" t="s">
        <v>144</v>
      </c>
    </row>
    <row r="26" spans="1:16" x14ac:dyDescent="0.3">
      <c r="A26" t="s">
        <v>119</v>
      </c>
      <c r="B26" t="s">
        <v>69</v>
      </c>
      <c r="C26" t="s">
        <v>70</v>
      </c>
      <c r="D26" t="s">
        <v>71</v>
      </c>
      <c r="E26">
        <v>173.1</v>
      </c>
      <c r="F26" t="s">
        <v>133</v>
      </c>
      <c r="G26">
        <v>4236</v>
      </c>
      <c r="H26" s="2" t="s">
        <v>144</v>
      </c>
      <c r="I26" s="2">
        <f xml:space="preserve"> VLOOKUP(H26,REFERENTIEL!A$2:B$5,2,FALSE)</f>
        <v>4</v>
      </c>
      <c r="J26" t="s">
        <v>144</v>
      </c>
      <c r="K26" s="7">
        <v>18.5</v>
      </c>
      <c r="L26">
        <v>1</v>
      </c>
      <c r="M26">
        <v>1</v>
      </c>
      <c r="N26">
        <v>80</v>
      </c>
      <c r="O26" t="s">
        <v>144</v>
      </c>
      <c r="P26" t="s">
        <v>147</v>
      </c>
    </row>
    <row r="27" spans="1:16" x14ac:dyDescent="0.3">
      <c r="A27" t="s">
        <v>113</v>
      </c>
      <c r="B27" t="s">
        <v>52</v>
      </c>
      <c r="C27" t="s">
        <v>53</v>
      </c>
      <c r="D27" t="s">
        <v>54</v>
      </c>
      <c r="E27">
        <v>29.1</v>
      </c>
      <c r="F27" t="s">
        <v>133</v>
      </c>
      <c r="G27">
        <v>2791</v>
      </c>
      <c r="H27" s="2" t="s">
        <v>144</v>
      </c>
      <c r="I27" s="2">
        <f xml:space="preserve"> VLOOKUP(H27,REFERENTIEL!A$2:B$5,2,FALSE)</f>
        <v>4</v>
      </c>
      <c r="J27" t="s">
        <v>144</v>
      </c>
      <c r="K27" s="7">
        <v>36.399856682192762</v>
      </c>
      <c r="L27">
        <v>1</v>
      </c>
      <c r="M27">
        <v>1</v>
      </c>
      <c r="N27">
        <v>80</v>
      </c>
      <c r="O27" t="s">
        <v>144</v>
      </c>
      <c r="P27" t="s">
        <v>144</v>
      </c>
    </row>
    <row r="28" spans="1:16" x14ac:dyDescent="0.3">
      <c r="A28" t="s">
        <v>114</v>
      </c>
      <c r="B28" t="s">
        <v>55</v>
      </c>
      <c r="C28" t="s">
        <v>53</v>
      </c>
      <c r="D28" t="s">
        <v>56</v>
      </c>
      <c r="E28">
        <v>29.2</v>
      </c>
      <c r="F28" t="s">
        <v>133</v>
      </c>
      <c r="G28">
        <v>2791</v>
      </c>
      <c r="H28" s="2" t="s">
        <v>144</v>
      </c>
      <c r="I28" s="2">
        <f xml:space="preserve"> VLOOKUP(H28,REFERENTIEL!A$2:B$5,2,FALSE)</f>
        <v>4</v>
      </c>
      <c r="J28" t="s">
        <v>144</v>
      </c>
      <c r="K28" s="7">
        <v>36.399856682192762</v>
      </c>
      <c r="L28">
        <v>1</v>
      </c>
      <c r="M28">
        <v>1</v>
      </c>
      <c r="N28">
        <v>60</v>
      </c>
      <c r="O28" t="s">
        <v>144</v>
      </c>
      <c r="P28" t="s">
        <v>144</v>
      </c>
    </row>
    <row r="29" spans="1:16" x14ac:dyDescent="0.3">
      <c r="A29" t="s">
        <v>97</v>
      </c>
      <c r="B29" t="s">
        <v>11</v>
      </c>
      <c r="C29" t="s">
        <v>12</v>
      </c>
      <c r="D29" t="s">
        <v>13</v>
      </c>
      <c r="E29">
        <v>224.2</v>
      </c>
      <c r="F29" t="s">
        <v>133</v>
      </c>
      <c r="G29">
        <v>11017</v>
      </c>
      <c r="H29" s="2" t="s">
        <v>144</v>
      </c>
      <c r="I29" s="2">
        <f xml:space="preserve"> VLOOKUP(H29,REFERENTIEL!A$2:B$5,2,FALSE)</f>
        <v>4</v>
      </c>
      <c r="J29" t="s">
        <v>144</v>
      </c>
      <c r="K29" s="7">
        <v>11.500045384405919</v>
      </c>
      <c r="L29">
        <v>1</v>
      </c>
      <c r="M29">
        <v>1</v>
      </c>
      <c r="N29">
        <v>80</v>
      </c>
      <c r="O29" t="s">
        <v>144</v>
      </c>
      <c r="P29" t="s">
        <v>144</v>
      </c>
    </row>
    <row r="30" spans="1:16" x14ac:dyDescent="0.3">
      <c r="A30" t="s">
        <v>126</v>
      </c>
      <c r="B30" t="s">
        <v>90</v>
      </c>
      <c r="C30" t="s">
        <v>91</v>
      </c>
      <c r="D30" t="s">
        <v>92</v>
      </c>
      <c r="E30">
        <v>83.2</v>
      </c>
      <c r="F30" t="s">
        <v>132</v>
      </c>
      <c r="G30">
        <v>6285</v>
      </c>
      <c r="H30" s="2" t="s">
        <v>143</v>
      </c>
      <c r="I30" s="2">
        <f xml:space="preserve"> VLOOKUP(H30,REFERENTIEL!A$2:B$5,2,FALSE)</f>
        <v>1</v>
      </c>
      <c r="J30" t="s">
        <v>143</v>
      </c>
      <c r="K30" s="7">
        <v>37.700079554494828</v>
      </c>
      <c r="L30">
        <v>1</v>
      </c>
      <c r="M30">
        <v>1</v>
      </c>
      <c r="N30">
        <v>100</v>
      </c>
      <c r="O30" t="s">
        <v>144</v>
      </c>
      <c r="P30" t="s">
        <v>168</v>
      </c>
    </row>
    <row r="31" spans="1:16" x14ac:dyDescent="0.3">
      <c r="A31" t="s">
        <v>127</v>
      </c>
      <c r="B31" t="s">
        <v>93</v>
      </c>
      <c r="C31" t="s">
        <v>91</v>
      </c>
      <c r="D31" t="s">
        <v>94</v>
      </c>
      <c r="E31">
        <v>83.26</v>
      </c>
      <c r="F31" t="s">
        <v>132</v>
      </c>
      <c r="G31">
        <v>6285</v>
      </c>
      <c r="H31" s="2" t="s">
        <v>143</v>
      </c>
      <c r="I31" s="2">
        <f xml:space="preserve"> VLOOKUP(H31,REFERENTIEL!A$2:B$5,2,FALSE)</f>
        <v>1</v>
      </c>
      <c r="J31" t="s">
        <v>143</v>
      </c>
      <c r="K31" s="7">
        <v>37.700079554494828</v>
      </c>
      <c r="L31">
        <v>1</v>
      </c>
      <c r="M31">
        <v>1</v>
      </c>
      <c r="N31">
        <v>100</v>
      </c>
      <c r="O31" t="s">
        <v>144</v>
      </c>
      <c r="P31" t="s">
        <v>168</v>
      </c>
    </row>
    <row r="32" spans="1:16" x14ac:dyDescent="0.3">
      <c r="A32" t="s">
        <v>120</v>
      </c>
      <c r="B32" t="s">
        <v>72</v>
      </c>
      <c r="C32" t="s">
        <v>73</v>
      </c>
      <c r="D32" t="s">
        <v>74</v>
      </c>
      <c r="E32">
        <v>189</v>
      </c>
      <c r="F32" t="s">
        <v>132</v>
      </c>
      <c r="G32">
        <v>5246</v>
      </c>
      <c r="H32" s="2" t="s">
        <v>146</v>
      </c>
      <c r="I32" s="2">
        <f xml:space="preserve"> VLOOKUP(H32,REFERENTIEL!A$2:B$5,2,FALSE)</f>
        <v>3</v>
      </c>
      <c r="J32" t="s">
        <v>144</v>
      </c>
      <c r="K32" s="7">
        <v>38</v>
      </c>
      <c r="L32">
        <v>1</v>
      </c>
      <c r="M32">
        <v>1</v>
      </c>
      <c r="N32">
        <v>100</v>
      </c>
      <c r="O32" t="s">
        <v>144</v>
      </c>
      <c r="P32" t="s">
        <v>168</v>
      </c>
    </row>
    <row r="33" spans="1:16" x14ac:dyDescent="0.3">
      <c r="A33" t="s">
        <v>95</v>
      </c>
      <c r="B33" t="s">
        <v>6</v>
      </c>
      <c r="C33" t="s">
        <v>7</v>
      </c>
      <c r="D33" t="s">
        <v>8</v>
      </c>
      <c r="E33">
        <v>34</v>
      </c>
      <c r="F33" t="s">
        <v>132</v>
      </c>
      <c r="G33">
        <v>18701</v>
      </c>
      <c r="H33" s="2" t="s">
        <v>144</v>
      </c>
      <c r="I33" s="2">
        <f xml:space="preserve"> VLOOKUP(H33,REFERENTIEL!A$2:B$5,2,FALSE)</f>
        <v>4</v>
      </c>
      <c r="J33" t="s">
        <v>144</v>
      </c>
      <c r="K33" s="7">
        <v>12</v>
      </c>
      <c r="L33">
        <v>0</v>
      </c>
      <c r="M33">
        <v>1</v>
      </c>
      <c r="N33">
        <v>60</v>
      </c>
      <c r="O33" t="s">
        <v>144</v>
      </c>
      <c r="P33" t="s">
        <v>144</v>
      </c>
    </row>
    <row r="34" spans="1:16" x14ac:dyDescent="0.3">
      <c r="A34" t="s">
        <v>96</v>
      </c>
      <c r="B34" t="s">
        <v>9</v>
      </c>
      <c r="C34" t="s">
        <v>7</v>
      </c>
      <c r="D34" t="s">
        <v>10</v>
      </c>
      <c r="E34">
        <v>34.4</v>
      </c>
      <c r="F34" t="s">
        <v>132</v>
      </c>
      <c r="G34">
        <v>18701</v>
      </c>
      <c r="H34" s="2" t="s">
        <v>144</v>
      </c>
      <c r="I34" s="2">
        <f xml:space="preserve"> VLOOKUP(H34,REFERENTIEL!A$2:B$5,2,FALSE)</f>
        <v>4</v>
      </c>
      <c r="J34" t="s">
        <v>144</v>
      </c>
      <c r="K34" s="7">
        <v>12</v>
      </c>
      <c r="L34">
        <v>0</v>
      </c>
      <c r="M34">
        <v>1</v>
      </c>
      <c r="N34">
        <v>60</v>
      </c>
      <c r="O34" t="s">
        <v>144</v>
      </c>
      <c r="P34" t="s">
        <v>144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5"/>
    </sheetView>
  </sheetViews>
  <sheetFormatPr baseColWidth="10" defaultRowHeight="14.4" x14ac:dyDescent="0.3"/>
  <cols>
    <col min="2" max="2" width="11.77734375" customWidth="1"/>
  </cols>
  <sheetData>
    <row r="1" spans="1:2" ht="28.8" x14ac:dyDescent="0.3">
      <c r="A1" s="3" t="s">
        <v>150</v>
      </c>
      <c r="B1" s="3" t="s">
        <v>173</v>
      </c>
    </row>
    <row r="2" spans="1:2" x14ac:dyDescent="0.3">
      <c r="A2" s="4" t="s">
        <v>143</v>
      </c>
      <c r="B2" s="4">
        <v>1</v>
      </c>
    </row>
    <row r="3" spans="1:2" x14ac:dyDescent="0.3">
      <c r="A3" s="5" t="s">
        <v>147</v>
      </c>
      <c r="B3" s="5">
        <v>2</v>
      </c>
    </row>
    <row r="4" spans="1:2" ht="28.8" x14ac:dyDescent="0.3">
      <c r="A4" s="4" t="s">
        <v>146</v>
      </c>
      <c r="B4" s="4">
        <v>3</v>
      </c>
    </row>
    <row r="5" spans="1:2" x14ac:dyDescent="0.3">
      <c r="A5" s="5" t="s">
        <v>144</v>
      </c>
      <c r="B5" s="5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0" sqref="N10"/>
    </sheetView>
  </sheetViews>
  <sheetFormatPr baseColWidth="10" defaultRowHeight="14.4" x14ac:dyDescent="0.3"/>
  <cols>
    <col min="2" max="2" width="19.44140625" customWidth="1"/>
    <col min="8" max="8" width="16.109375" bestFit="1" customWidth="1"/>
    <col min="9" max="9" width="13" bestFit="1" customWidth="1"/>
    <col min="11" max="11" width="11.109375" bestFit="1" customWidth="1"/>
    <col min="14" max="14" width="15" customWidth="1"/>
  </cols>
  <sheetData>
    <row r="1" spans="1:14" ht="43.2" x14ac:dyDescent="0.3">
      <c r="A1" t="s">
        <v>128</v>
      </c>
      <c r="B1" s="2" t="s">
        <v>129</v>
      </c>
      <c r="C1" t="s">
        <v>130</v>
      </c>
      <c r="D1" t="s">
        <v>131</v>
      </c>
      <c r="E1" t="s">
        <v>0</v>
      </c>
      <c r="F1" t="s">
        <v>1</v>
      </c>
      <c r="G1" s="2" t="s">
        <v>152</v>
      </c>
      <c r="H1" s="2" t="s">
        <v>142</v>
      </c>
      <c r="I1" s="2" t="s">
        <v>156</v>
      </c>
      <c r="J1" s="2" t="s">
        <v>151</v>
      </c>
      <c r="K1" s="2" t="s">
        <v>153</v>
      </c>
      <c r="L1" s="2" t="s">
        <v>154</v>
      </c>
      <c r="M1" s="2" t="s">
        <v>155</v>
      </c>
      <c r="N1" s="2" t="s">
        <v>138</v>
      </c>
    </row>
    <row r="2" spans="1:14" ht="28.8" x14ac:dyDescent="0.3">
      <c r="A2" t="s">
        <v>121</v>
      </c>
      <c r="B2" s="2" t="s">
        <v>75</v>
      </c>
      <c r="C2" t="s">
        <v>76</v>
      </c>
      <c r="D2" t="s">
        <v>77</v>
      </c>
      <c r="E2">
        <v>700.2</v>
      </c>
      <c r="F2" t="s">
        <v>134</v>
      </c>
      <c r="G2">
        <v>202380</v>
      </c>
      <c r="H2">
        <f>(Tableau13[[#This Row],[VEHIC_KM_JOUR]]*365)/1000000000</f>
        <v>7.3868699999999995E-2</v>
      </c>
      <c r="I2" s="2" t="s">
        <v>143</v>
      </c>
      <c r="J2" s="2" t="s">
        <v>143</v>
      </c>
      <c r="K2">
        <v>1</v>
      </c>
      <c r="L2">
        <v>1</v>
      </c>
      <c r="M2">
        <v>60</v>
      </c>
      <c r="N2" s="6">
        <v>53.299973663418491</v>
      </c>
    </row>
    <row r="3" spans="1:14" ht="28.8" x14ac:dyDescent="0.3">
      <c r="A3" t="s">
        <v>115</v>
      </c>
      <c r="B3" s="2" t="s">
        <v>57</v>
      </c>
      <c r="C3" t="s">
        <v>58</v>
      </c>
      <c r="D3" t="s">
        <v>59</v>
      </c>
      <c r="E3">
        <v>453.1</v>
      </c>
      <c r="F3" t="s">
        <v>134</v>
      </c>
      <c r="G3">
        <v>263775</v>
      </c>
      <c r="H3">
        <f>(Tableau13[[#This Row],[VEHIC_KM_JOUR]]*365)/1000000000</f>
        <v>9.6277874999999999E-2</v>
      </c>
      <c r="I3" s="2" t="s">
        <v>146</v>
      </c>
      <c r="J3" t="s">
        <v>144</v>
      </c>
      <c r="K3">
        <v>1</v>
      </c>
      <c r="L3">
        <v>1</v>
      </c>
      <c r="M3">
        <v>60</v>
      </c>
      <c r="N3" s="1">
        <v>25</v>
      </c>
    </row>
    <row r="4" spans="1:14" ht="28.8" x14ac:dyDescent="0.3">
      <c r="A4" t="s">
        <v>116</v>
      </c>
      <c r="B4" s="2" t="s">
        <v>60</v>
      </c>
      <c r="C4" t="s">
        <v>61</v>
      </c>
      <c r="D4" t="s">
        <v>62</v>
      </c>
      <c r="E4">
        <v>453.2</v>
      </c>
      <c r="F4" t="s">
        <v>134</v>
      </c>
      <c r="G4">
        <v>263775</v>
      </c>
      <c r="H4">
        <f>(Tableau13[[#This Row],[VEHIC_KM_JOUR]]*365)/1000000000</f>
        <v>9.6277874999999999E-2</v>
      </c>
      <c r="I4" s="2" t="s">
        <v>146</v>
      </c>
      <c r="J4" t="s">
        <v>144</v>
      </c>
      <c r="K4">
        <v>1</v>
      </c>
      <c r="L4">
        <v>1</v>
      </c>
      <c r="M4">
        <v>80</v>
      </c>
      <c r="N4" s="1">
        <v>25</v>
      </c>
    </row>
    <row r="5" spans="1:14" x14ac:dyDescent="0.3">
      <c r="A5" t="s">
        <v>102</v>
      </c>
      <c r="B5" s="2" t="s">
        <v>26</v>
      </c>
      <c r="C5" t="s">
        <v>27</v>
      </c>
      <c r="D5" t="s">
        <v>28</v>
      </c>
      <c r="E5">
        <v>15</v>
      </c>
      <c r="F5" t="s">
        <v>134</v>
      </c>
      <c r="G5">
        <v>198493</v>
      </c>
      <c r="H5">
        <f>(Tableau13[[#This Row],[VEHIC_KM_JOUR]]*365)/1000000000</f>
        <v>7.2449945000000002E-2</v>
      </c>
      <c r="I5" s="2" t="s">
        <v>146</v>
      </c>
      <c r="J5" t="s">
        <v>144</v>
      </c>
      <c r="K5">
        <v>1</v>
      </c>
      <c r="L5">
        <v>2</v>
      </c>
      <c r="M5">
        <v>60</v>
      </c>
      <c r="N5" s="1">
        <v>19</v>
      </c>
    </row>
    <row r="6" spans="1:14" ht="28.8" x14ac:dyDescent="0.3">
      <c r="A6" t="s">
        <v>103</v>
      </c>
      <c r="B6" s="2" t="s">
        <v>29</v>
      </c>
      <c r="C6" t="s">
        <v>27</v>
      </c>
      <c r="D6" t="s">
        <v>30</v>
      </c>
      <c r="E6">
        <v>15.1</v>
      </c>
      <c r="F6" t="s">
        <v>134</v>
      </c>
      <c r="G6">
        <v>198493</v>
      </c>
      <c r="H6">
        <f>(Tableau13[[#This Row],[VEHIC_KM_JOUR]]*365)/1000000000</f>
        <v>7.2449945000000002E-2</v>
      </c>
      <c r="I6" s="2" t="s">
        <v>146</v>
      </c>
      <c r="J6" t="s">
        <v>144</v>
      </c>
      <c r="K6">
        <v>1</v>
      </c>
      <c r="L6">
        <v>2</v>
      </c>
      <c r="M6">
        <v>60</v>
      </c>
      <c r="N6" s="1">
        <v>19</v>
      </c>
    </row>
    <row r="7" spans="1:14" ht="28.8" x14ac:dyDescent="0.3">
      <c r="A7" t="s">
        <v>111</v>
      </c>
      <c r="B7" s="2" t="s">
        <v>49</v>
      </c>
      <c r="C7" t="s">
        <v>47</v>
      </c>
      <c r="D7" t="s">
        <v>48</v>
      </c>
      <c r="E7">
        <v>98.8</v>
      </c>
      <c r="F7" t="s">
        <v>134</v>
      </c>
      <c r="G7">
        <v>294990</v>
      </c>
      <c r="H7">
        <f>(Tableau13[[#This Row],[VEHIC_KM_JOUR]]*365)/1000000000</f>
        <v>0.10767135</v>
      </c>
      <c r="I7" s="2" t="s">
        <v>146</v>
      </c>
      <c r="J7" t="s">
        <v>144</v>
      </c>
      <c r="K7">
        <v>1</v>
      </c>
      <c r="L7">
        <v>1</v>
      </c>
      <c r="M7">
        <v>60</v>
      </c>
      <c r="N7" s="1">
        <v>29.799979795938984</v>
      </c>
    </row>
    <row r="8" spans="1:14" ht="28.8" x14ac:dyDescent="0.3">
      <c r="A8" t="s">
        <v>112</v>
      </c>
      <c r="B8" s="2" t="s">
        <v>50</v>
      </c>
      <c r="C8" t="s">
        <v>47</v>
      </c>
      <c r="D8" t="s">
        <v>51</v>
      </c>
      <c r="E8">
        <v>98.7</v>
      </c>
      <c r="F8" t="s">
        <v>134</v>
      </c>
      <c r="G8">
        <v>294990</v>
      </c>
      <c r="H8">
        <f>(Tableau13[[#This Row],[VEHIC_KM_JOUR]]*365)/1000000000</f>
        <v>0.10767135</v>
      </c>
      <c r="I8" s="2" t="s">
        <v>146</v>
      </c>
      <c r="J8" t="s">
        <v>144</v>
      </c>
      <c r="K8">
        <v>1</v>
      </c>
      <c r="L8">
        <v>1</v>
      </c>
      <c r="M8">
        <v>60</v>
      </c>
      <c r="N8" s="1">
        <v>29.799979795938984</v>
      </c>
    </row>
    <row r="9" spans="1:14" ht="28.8" x14ac:dyDescent="0.3">
      <c r="A9" t="s">
        <v>104</v>
      </c>
      <c r="B9" s="2" t="s">
        <v>31</v>
      </c>
      <c r="E9">
        <v>384.95</v>
      </c>
      <c r="F9" t="s">
        <v>134</v>
      </c>
      <c r="G9">
        <v>41475</v>
      </c>
      <c r="H9">
        <f>(Tableau13[[#This Row],[VEHIC_KM_JOUR]]*365)/1000000000</f>
        <v>1.5138375000000001E-2</v>
      </c>
      <c r="I9" s="2" t="s">
        <v>144</v>
      </c>
      <c r="J9" t="s">
        <v>144</v>
      </c>
      <c r="K9">
        <v>1</v>
      </c>
      <c r="M9">
        <v>60</v>
      </c>
      <c r="N9" s="1">
        <v>2.7000195299785172</v>
      </c>
    </row>
    <row r="10" spans="1:14" ht="28.8" x14ac:dyDescent="0.3">
      <c r="A10" t="s">
        <v>105</v>
      </c>
      <c r="B10" s="2" t="s">
        <v>32</v>
      </c>
      <c r="C10" t="s">
        <v>33</v>
      </c>
      <c r="D10" t="s">
        <v>34</v>
      </c>
      <c r="E10">
        <v>384.96</v>
      </c>
      <c r="F10" t="s">
        <v>134</v>
      </c>
      <c r="G10">
        <v>41475</v>
      </c>
      <c r="H10">
        <f>(Tableau13[[#This Row],[VEHIC_KM_JOUR]]*365)/1000000000</f>
        <v>1.5138375000000001E-2</v>
      </c>
      <c r="I10" s="2" t="s">
        <v>144</v>
      </c>
      <c r="J10" t="s">
        <v>144</v>
      </c>
      <c r="K10">
        <v>1</v>
      </c>
      <c r="L10">
        <v>1</v>
      </c>
      <c r="M10">
        <v>80</v>
      </c>
      <c r="N10" s="1">
        <v>2.7000195299785172</v>
      </c>
    </row>
    <row r="11" spans="1:14" ht="28.8" x14ac:dyDescent="0.3">
      <c r="A11" t="s">
        <v>99</v>
      </c>
      <c r="B11" s="2" t="s">
        <v>17</v>
      </c>
      <c r="C11" t="s">
        <v>18</v>
      </c>
      <c r="D11" t="s">
        <v>19</v>
      </c>
      <c r="E11">
        <v>424.15</v>
      </c>
      <c r="F11" t="s">
        <v>134</v>
      </c>
      <c r="G11">
        <v>247044</v>
      </c>
      <c r="H11">
        <f>(Tableau13[[#This Row],[VEHIC_KM_JOUR]]*365)/1000000000</f>
        <v>9.0171059999999997E-2</v>
      </c>
      <c r="I11" s="2" t="s">
        <v>144</v>
      </c>
      <c r="J11" t="s">
        <v>144</v>
      </c>
      <c r="K11">
        <v>1</v>
      </c>
      <c r="L11">
        <v>1</v>
      </c>
      <c r="M11">
        <v>60</v>
      </c>
      <c r="N11" s="1">
        <v>34</v>
      </c>
    </row>
    <row r="12" spans="1:14" ht="28.8" x14ac:dyDescent="0.3">
      <c r="A12" t="s">
        <v>101</v>
      </c>
      <c r="B12" s="2" t="s">
        <v>23</v>
      </c>
      <c r="C12" t="s">
        <v>24</v>
      </c>
      <c r="D12" t="s">
        <v>25</v>
      </c>
      <c r="E12">
        <v>424.5</v>
      </c>
      <c r="F12" t="s">
        <v>134</v>
      </c>
      <c r="G12">
        <v>247044</v>
      </c>
      <c r="H12">
        <f>(Tableau13[[#This Row],[VEHIC_KM_JOUR]]*365)/1000000000</f>
        <v>9.0171059999999997E-2</v>
      </c>
      <c r="I12" s="2" t="s">
        <v>144</v>
      </c>
      <c r="J12" t="s">
        <v>144</v>
      </c>
      <c r="K12">
        <v>1</v>
      </c>
      <c r="L12">
        <v>1</v>
      </c>
      <c r="M12">
        <v>60</v>
      </c>
      <c r="N12" s="1">
        <v>34</v>
      </c>
    </row>
    <row r="13" spans="1:14" ht="28.8" x14ac:dyDescent="0.3">
      <c r="A13" t="s">
        <v>110</v>
      </c>
      <c r="B13" s="2" t="s">
        <v>46</v>
      </c>
      <c r="C13" t="s">
        <v>47</v>
      </c>
      <c r="D13" t="s">
        <v>48</v>
      </c>
      <c r="E13">
        <v>70.2</v>
      </c>
      <c r="F13" t="s">
        <v>134</v>
      </c>
      <c r="G13">
        <v>105773</v>
      </c>
      <c r="H13">
        <f>(Tableau13[[#This Row],[VEHIC_KM_JOUR]]*365)/1000000000</f>
        <v>3.8607145000000002E-2</v>
      </c>
      <c r="I13" s="2" t="s">
        <v>144</v>
      </c>
      <c r="J13" t="s">
        <v>144</v>
      </c>
      <c r="K13">
        <v>1</v>
      </c>
      <c r="L13">
        <v>1</v>
      </c>
      <c r="M13">
        <v>60</v>
      </c>
      <c r="N13" s="1">
        <v>22.400042354934349</v>
      </c>
    </row>
    <row r="14" spans="1:14" ht="28.8" x14ac:dyDescent="0.3">
      <c r="A14" t="s">
        <v>107</v>
      </c>
      <c r="B14" s="2" t="s">
        <v>38</v>
      </c>
      <c r="C14" t="s">
        <v>39</v>
      </c>
      <c r="D14" t="s">
        <v>40</v>
      </c>
      <c r="E14">
        <v>103.2</v>
      </c>
      <c r="F14" t="s">
        <v>134</v>
      </c>
      <c r="G14">
        <v>294990</v>
      </c>
      <c r="H14">
        <f>(Tableau13[[#This Row],[VEHIC_KM_JOUR]]*365)/1000000000</f>
        <v>0.10767135</v>
      </c>
      <c r="I14" s="2" t="s">
        <v>144</v>
      </c>
      <c r="J14" t="s">
        <v>144</v>
      </c>
      <c r="K14">
        <v>1</v>
      </c>
      <c r="L14">
        <v>1</v>
      </c>
      <c r="M14">
        <v>60</v>
      </c>
      <c r="N14" s="1">
        <v>29.799979795938984</v>
      </c>
    </row>
    <row r="15" spans="1:14" x14ac:dyDescent="0.3">
      <c r="A15" t="s">
        <v>108</v>
      </c>
      <c r="B15" s="2" t="s">
        <v>41</v>
      </c>
      <c r="C15" t="s">
        <v>42</v>
      </c>
      <c r="D15" t="s">
        <v>43</v>
      </c>
      <c r="E15">
        <v>190.7</v>
      </c>
      <c r="F15" t="s">
        <v>135</v>
      </c>
      <c r="G15">
        <v>101054</v>
      </c>
      <c r="H15">
        <f>(Tableau13[[#This Row],[VEHIC_KM_JOUR]]*365)/1000000000</f>
        <v>3.6884710000000001E-2</v>
      </c>
      <c r="I15" s="2" t="s">
        <v>143</v>
      </c>
      <c r="J15" s="2" t="s">
        <v>143</v>
      </c>
      <c r="K15">
        <v>1</v>
      </c>
      <c r="L15">
        <v>1</v>
      </c>
      <c r="M15">
        <v>80</v>
      </c>
      <c r="N15" s="1">
        <v>7.3999707088459283</v>
      </c>
    </row>
    <row r="16" spans="1:14" ht="28.8" x14ac:dyDescent="0.3">
      <c r="A16" t="s">
        <v>109</v>
      </c>
      <c r="B16" s="2" t="s">
        <v>44</v>
      </c>
      <c r="C16" t="s">
        <v>42</v>
      </c>
      <c r="D16" t="s">
        <v>45</v>
      </c>
      <c r="E16">
        <v>190.8</v>
      </c>
      <c r="F16" t="s">
        <v>135</v>
      </c>
      <c r="G16">
        <v>101054</v>
      </c>
      <c r="H16">
        <f>(Tableau13[[#This Row],[VEHIC_KM_JOUR]]*365)/1000000000</f>
        <v>3.6884710000000001E-2</v>
      </c>
      <c r="I16" s="2" t="s">
        <v>143</v>
      </c>
      <c r="J16" s="2" t="s">
        <v>143</v>
      </c>
      <c r="K16">
        <v>1</v>
      </c>
      <c r="L16">
        <v>1</v>
      </c>
      <c r="M16">
        <v>80</v>
      </c>
      <c r="N16" s="1">
        <v>7.3999707088459283</v>
      </c>
    </row>
    <row r="17" spans="1:14" x14ac:dyDescent="0.3">
      <c r="A17" t="s">
        <v>122</v>
      </c>
      <c r="B17" s="2" t="s">
        <v>78</v>
      </c>
      <c r="C17" t="s">
        <v>79</v>
      </c>
      <c r="D17" t="s">
        <v>80</v>
      </c>
      <c r="E17">
        <v>434</v>
      </c>
      <c r="F17" t="s">
        <v>135</v>
      </c>
      <c r="G17">
        <v>91729</v>
      </c>
      <c r="H17">
        <f>(Tableau13[[#This Row],[VEHIC_KM_JOUR]]*365)/1000000000</f>
        <v>3.3481085000000001E-2</v>
      </c>
      <c r="I17" s="2" t="s">
        <v>143</v>
      </c>
      <c r="J17" s="2" t="s">
        <v>143</v>
      </c>
      <c r="K17">
        <v>1</v>
      </c>
      <c r="L17">
        <v>1</v>
      </c>
      <c r="M17">
        <v>60</v>
      </c>
      <c r="N17" s="1">
        <v>30.729983249581238</v>
      </c>
    </row>
    <row r="18" spans="1:14" ht="28.8" x14ac:dyDescent="0.3">
      <c r="A18" t="s">
        <v>123</v>
      </c>
      <c r="B18" s="2" t="s">
        <v>81</v>
      </c>
      <c r="C18" t="s">
        <v>82</v>
      </c>
      <c r="D18" t="s">
        <v>83</v>
      </c>
      <c r="E18">
        <v>434.1</v>
      </c>
      <c r="F18" t="s">
        <v>135</v>
      </c>
      <c r="G18">
        <v>91729</v>
      </c>
      <c r="H18">
        <f>(Tableau13[[#This Row],[VEHIC_KM_JOUR]]*365)/1000000000</f>
        <v>3.3481085000000001E-2</v>
      </c>
      <c r="I18" s="2" t="s">
        <v>143</v>
      </c>
      <c r="J18" s="2" t="s">
        <v>143</v>
      </c>
      <c r="K18">
        <v>1</v>
      </c>
      <c r="L18">
        <v>1</v>
      </c>
      <c r="M18">
        <v>80</v>
      </c>
      <c r="N18" s="1">
        <v>30.729983249581238</v>
      </c>
    </row>
    <row r="19" spans="1:14" ht="28.8" x14ac:dyDescent="0.3">
      <c r="A19" t="s">
        <v>100</v>
      </c>
      <c r="B19" s="2" t="s">
        <v>20</v>
      </c>
      <c r="C19" t="s">
        <v>21</v>
      </c>
      <c r="D19" t="s">
        <v>22</v>
      </c>
      <c r="E19">
        <v>212.9</v>
      </c>
      <c r="F19" t="s">
        <v>135</v>
      </c>
      <c r="G19">
        <v>144831</v>
      </c>
      <c r="H19">
        <f>(Tableau13[[#This Row],[VEHIC_KM_JOUR]]*365)/1000000000</f>
        <v>5.2863315000000001E-2</v>
      </c>
      <c r="I19" s="2" t="s">
        <v>144</v>
      </c>
      <c r="J19" t="s">
        <v>144</v>
      </c>
      <c r="K19">
        <v>1</v>
      </c>
      <c r="L19">
        <v>1</v>
      </c>
      <c r="M19">
        <v>60</v>
      </c>
      <c r="N19" s="1">
        <v>23</v>
      </c>
    </row>
    <row r="20" spans="1:14" x14ac:dyDescent="0.3">
      <c r="A20" t="s">
        <v>118</v>
      </c>
      <c r="B20" s="2" t="s">
        <v>66</v>
      </c>
      <c r="C20" t="s">
        <v>67</v>
      </c>
      <c r="D20" t="s">
        <v>68</v>
      </c>
      <c r="E20">
        <v>322.5</v>
      </c>
      <c r="F20" t="s">
        <v>135</v>
      </c>
      <c r="G20">
        <v>194501</v>
      </c>
      <c r="H20">
        <f>(Tableau13[[#This Row],[VEHIC_KM_JOUR]]*365)/1000000000</f>
        <v>7.0992865000000002E-2</v>
      </c>
      <c r="I20" s="2" t="s">
        <v>146</v>
      </c>
      <c r="J20" t="s">
        <v>144</v>
      </c>
      <c r="K20">
        <v>1</v>
      </c>
      <c r="L20">
        <v>1</v>
      </c>
      <c r="M20">
        <v>60</v>
      </c>
      <c r="N20" s="1">
        <v>67</v>
      </c>
    </row>
    <row r="21" spans="1:14" ht="28.8" x14ac:dyDescent="0.3">
      <c r="A21" t="s">
        <v>117</v>
      </c>
      <c r="B21" s="2" t="s">
        <v>63</v>
      </c>
      <c r="C21" t="s">
        <v>64</v>
      </c>
      <c r="D21" t="s">
        <v>65</v>
      </c>
      <c r="E21">
        <v>385.5</v>
      </c>
      <c r="F21" t="s">
        <v>135</v>
      </c>
      <c r="G21">
        <v>94344</v>
      </c>
      <c r="H21">
        <f>(Tableau13[[#This Row],[VEHIC_KM_JOUR]]*365)/1000000000</f>
        <v>3.4435559999999997E-2</v>
      </c>
      <c r="I21" s="2" t="s">
        <v>144</v>
      </c>
      <c r="J21" t="s">
        <v>144</v>
      </c>
      <c r="K21">
        <v>1</v>
      </c>
      <c r="L21">
        <v>1</v>
      </c>
      <c r="M21">
        <v>60</v>
      </c>
      <c r="N21" s="1">
        <v>43.840148698884761</v>
      </c>
    </row>
    <row r="22" spans="1:14" ht="28.8" x14ac:dyDescent="0.3">
      <c r="A22" t="s">
        <v>106</v>
      </c>
      <c r="B22" s="2" t="s">
        <v>35</v>
      </c>
      <c r="C22" t="s">
        <v>36</v>
      </c>
      <c r="D22" t="s">
        <v>37</v>
      </c>
      <c r="E22">
        <v>286.5</v>
      </c>
      <c r="F22" t="s">
        <v>135</v>
      </c>
      <c r="G22">
        <v>134394</v>
      </c>
      <c r="H22">
        <f>(Tableau13[[#This Row],[VEHIC_KM_JOUR]]*365)/1000000000</f>
        <v>4.9053810000000003E-2</v>
      </c>
      <c r="I22" s="2" t="s">
        <v>144</v>
      </c>
      <c r="J22" t="s">
        <v>144</v>
      </c>
      <c r="K22">
        <v>0</v>
      </c>
      <c r="L22">
        <v>1</v>
      </c>
      <c r="M22">
        <v>80</v>
      </c>
      <c r="N22" s="1">
        <v>39</v>
      </c>
    </row>
    <row r="23" spans="1:14" ht="28.8" x14ac:dyDescent="0.3">
      <c r="A23" t="s">
        <v>124</v>
      </c>
      <c r="B23" s="2" t="s">
        <v>84</v>
      </c>
      <c r="C23" t="s">
        <v>85</v>
      </c>
      <c r="D23" t="s">
        <v>86</v>
      </c>
      <c r="E23">
        <v>87.9</v>
      </c>
      <c r="F23" t="s">
        <v>133</v>
      </c>
      <c r="G23">
        <v>49688</v>
      </c>
      <c r="H23">
        <f>(Tableau13[[#This Row],[VEHIC_KM_JOUR]]*365)/1000000000</f>
        <v>1.8136119999999999E-2</v>
      </c>
      <c r="I23" s="2" t="s">
        <v>143</v>
      </c>
      <c r="J23" s="2" t="s">
        <v>143</v>
      </c>
      <c r="K23">
        <v>1</v>
      </c>
      <c r="L23">
        <v>1</v>
      </c>
      <c r="M23">
        <v>60</v>
      </c>
      <c r="N23" s="1">
        <v>37.500377358490567</v>
      </c>
    </row>
    <row r="24" spans="1:14" ht="28.8" x14ac:dyDescent="0.3">
      <c r="A24" t="s">
        <v>125</v>
      </c>
      <c r="B24" s="2" t="s">
        <v>87</v>
      </c>
      <c r="C24" t="s">
        <v>88</v>
      </c>
      <c r="D24" t="s">
        <v>89</v>
      </c>
      <c r="E24">
        <v>129.69999999999999</v>
      </c>
      <c r="F24" t="s">
        <v>133</v>
      </c>
      <c r="G24">
        <v>74429</v>
      </c>
      <c r="H24">
        <f>(Tableau13[[#This Row],[VEHIC_KM_JOUR]]*365)/1000000000</f>
        <v>2.7166585E-2</v>
      </c>
      <c r="I24" s="2" t="s">
        <v>143</v>
      </c>
      <c r="J24" s="2" t="s">
        <v>143</v>
      </c>
      <c r="K24">
        <v>1</v>
      </c>
      <c r="L24">
        <v>1</v>
      </c>
      <c r="M24">
        <v>60</v>
      </c>
      <c r="N24" s="1">
        <v>43.500292226767975</v>
      </c>
    </row>
    <row r="25" spans="1:14" ht="43.2" x14ac:dyDescent="0.3">
      <c r="A25" t="s">
        <v>98</v>
      </c>
      <c r="B25" s="2" t="s">
        <v>14</v>
      </c>
      <c r="C25" t="s">
        <v>15</v>
      </c>
      <c r="D25" t="s">
        <v>16</v>
      </c>
      <c r="E25">
        <v>262.60000000000002</v>
      </c>
      <c r="F25" t="s">
        <v>133</v>
      </c>
      <c r="G25">
        <v>678408</v>
      </c>
      <c r="H25">
        <f>(Tableau13[[#This Row],[VEHIC_KM_JOUR]]*365)/1000000000</f>
        <v>0.24761891999999999</v>
      </c>
      <c r="I25" s="2" t="s">
        <v>147</v>
      </c>
      <c r="J25" t="s">
        <v>144</v>
      </c>
      <c r="K25">
        <v>1</v>
      </c>
      <c r="L25">
        <v>2</v>
      </c>
      <c r="M25">
        <v>60</v>
      </c>
      <c r="N25" s="1">
        <v>47.90002118195298</v>
      </c>
    </row>
    <row r="26" spans="1:14" ht="28.8" x14ac:dyDescent="0.3">
      <c r="A26" t="s">
        <v>119</v>
      </c>
      <c r="B26" s="2" t="s">
        <v>69</v>
      </c>
      <c r="C26" t="s">
        <v>70</v>
      </c>
      <c r="D26" t="s">
        <v>71</v>
      </c>
      <c r="E26">
        <v>173.1</v>
      </c>
      <c r="F26" t="s">
        <v>133</v>
      </c>
      <c r="G26">
        <v>78366</v>
      </c>
      <c r="H26">
        <f>(Tableau13[[#This Row],[VEHIC_KM_JOUR]]*365)/1000000000</f>
        <v>2.8603590000000002E-2</v>
      </c>
      <c r="I26" s="2" t="s">
        <v>144</v>
      </c>
      <c r="J26" t="s">
        <v>144</v>
      </c>
      <c r="K26">
        <v>1</v>
      </c>
      <c r="L26">
        <v>1</v>
      </c>
      <c r="M26">
        <v>80</v>
      </c>
      <c r="N26" s="1">
        <v>18.5</v>
      </c>
    </row>
    <row r="27" spans="1:14" ht="28.8" x14ac:dyDescent="0.3">
      <c r="A27" t="s">
        <v>113</v>
      </c>
      <c r="B27" s="2" t="s">
        <v>52</v>
      </c>
      <c r="C27" t="s">
        <v>53</v>
      </c>
      <c r="D27" t="s">
        <v>54</v>
      </c>
      <c r="E27">
        <v>29.1</v>
      </c>
      <c r="F27" t="s">
        <v>133</v>
      </c>
      <c r="G27">
        <v>101592</v>
      </c>
      <c r="H27">
        <f>(Tableau13[[#This Row],[VEHIC_KM_JOUR]]*365)/1000000000</f>
        <v>3.7081080000000002E-2</v>
      </c>
      <c r="I27" s="2" t="s">
        <v>144</v>
      </c>
      <c r="J27" t="s">
        <v>144</v>
      </c>
      <c r="K27">
        <v>1</v>
      </c>
      <c r="L27">
        <v>1</v>
      </c>
      <c r="M27">
        <v>80</v>
      </c>
      <c r="N27" s="1">
        <v>36.399856682192762</v>
      </c>
    </row>
    <row r="28" spans="1:14" ht="28.8" x14ac:dyDescent="0.3">
      <c r="A28" t="s">
        <v>114</v>
      </c>
      <c r="B28" s="2" t="s">
        <v>55</v>
      </c>
      <c r="C28" t="s">
        <v>53</v>
      </c>
      <c r="D28" t="s">
        <v>56</v>
      </c>
      <c r="E28">
        <v>29.2</v>
      </c>
      <c r="F28" t="s">
        <v>133</v>
      </c>
      <c r="G28">
        <v>101592</v>
      </c>
      <c r="H28">
        <f>(Tableau13[[#This Row],[VEHIC_KM_JOUR]]*365)/1000000000</f>
        <v>3.7081080000000002E-2</v>
      </c>
      <c r="I28" s="2" t="s">
        <v>144</v>
      </c>
      <c r="J28" t="s">
        <v>144</v>
      </c>
      <c r="K28">
        <v>1</v>
      </c>
      <c r="L28">
        <v>1</v>
      </c>
      <c r="M28">
        <v>60</v>
      </c>
      <c r="N28" s="1">
        <v>36.399856682192762</v>
      </c>
    </row>
    <row r="29" spans="1:14" ht="28.8" x14ac:dyDescent="0.3">
      <c r="A29" t="s">
        <v>97</v>
      </c>
      <c r="B29" s="2" t="s">
        <v>11</v>
      </c>
      <c r="C29" t="s">
        <v>12</v>
      </c>
      <c r="D29" t="s">
        <v>13</v>
      </c>
      <c r="E29">
        <v>224.2</v>
      </c>
      <c r="F29" t="s">
        <v>133</v>
      </c>
      <c r="G29">
        <v>126696</v>
      </c>
      <c r="H29">
        <f>(Tableau13[[#This Row],[VEHIC_KM_JOUR]]*365)/1000000000</f>
        <v>4.624404E-2</v>
      </c>
      <c r="I29" s="2" t="s">
        <v>144</v>
      </c>
      <c r="J29" t="s">
        <v>144</v>
      </c>
      <c r="K29">
        <v>1</v>
      </c>
      <c r="L29">
        <v>1</v>
      </c>
      <c r="M29">
        <v>80</v>
      </c>
      <c r="N29" s="1">
        <v>11.500045384405919</v>
      </c>
    </row>
    <row r="30" spans="1:14" x14ac:dyDescent="0.3">
      <c r="A30" t="s">
        <v>126</v>
      </c>
      <c r="B30" s="2" t="s">
        <v>90</v>
      </c>
      <c r="C30" t="s">
        <v>91</v>
      </c>
      <c r="D30" t="s">
        <v>92</v>
      </c>
      <c r="E30">
        <v>83.2</v>
      </c>
      <c r="F30" t="s">
        <v>132</v>
      </c>
      <c r="G30">
        <v>236945</v>
      </c>
      <c r="H30">
        <f>(Tableau13[[#This Row],[VEHIC_KM_JOUR]]*365)/1000000000</f>
        <v>8.6484925000000004E-2</v>
      </c>
      <c r="I30" s="2" t="s">
        <v>143</v>
      </c>
      <c r="J30" s="2" t="s">
        <v>143</v>
      </c>
      <c r="K30">
        <v>1</v>
      </c>
      <c r="L30">
        <v>1</v>
      </c>
      <c r="M30">
        <v>100</v>
      </c>
      <c r="N30" s="1">
        <v>37.700079554494828</v>
      </c>
    </row>
    <row r="31" spans="1:14" x14ac:dyDescent="0.3">
      <c r="A31" t="s">
        <v>127</v>
      </c>
      <c r="B31" s="2" t="s">
        <v>93</v>
      </c>
      <c r="C31" t="s">
        <v>91</v>
      </c>
      <c r="D31" t="s">
        <v>94</v>
      </c>
      <c r="E31">
        <v>83.26</v>
      </c>
      <c r="F31" t="s">
        <v>132</v>
      </c>
      <c r="G31">
        <v>236945</v>
      </c>
      <c r="H31">
        <f>(Tableau13[[#This Row],[VEHIC_KM_JOUR]]*365)/1000000000</f>
        <v>8.6484925000000004E-2</v>
      </c>
      <c r="I31" s="2" t="s">
        <v>143</v>
      </c>
      <c r="J31" s="2" t="s">
        <v>143</v>
      </c>
      <c r="K31">
        <v>1</v>
      </c>
      <c r="L31">
        <v>1</v>
      </c>
      <c r="M31">
        <v>100</v>
      </c>
      <c r="N31" s="1">
        <v>37.700079554494828</v>
      </c>
    </row>
    <row r="32" spans="1:14" ht="28.8" x14ac:dyDescent="0.3">
      <c r="A32" t="s">
        <v>120</v>
      </c>
      <c r="B32" s="2" t="s">
        <v>72</v>
      </c>
      <c r="C32" t="s">
        <v>73</v>
      </c>
      <c r="D32" t="s">
        <v>74</v>
      </c>
      <c r="E32">
        <v>189</v>
      </c>
      <c r="F32" t="s">
        <v>132</v>
      </c>
      <c r="G32">
        <v>199348</v>
      </c>
      <c r="H32">
        <f>(Tableau13[[#This Row],[VEHIC_KM_JOUR]]*365)/1000000000</f>
        <v>7.2762019999999997E-2</v>
      </c>
      <c r="I32" s="2" t="s">
        <v>146</v>
      </c>
      <c r="J32" t="s">
        <v>144</v>
      </c>
      <c r="K32">
        <v>1</v>
      </c>
      <c r="L32">
        <v>1</v>
      </c>
      <c r="M32">
        <v>100</v>
      </c>
      <c r="N32" s="1">
        <v>38</v>
      </c>
    </row>
    <row r="33" spans="1:14" ht="28.8" x14ac:dyDescent="0.3">
      <c r="A33" t="s">
        <v>95</v>
      </c>
      <c r="B33" s="2" t="s">
        <v>6</v>
      </c>
      <c r="C33" t="s">
        <v>7</v>
      </c>
      <c r="D33" t="s">
        <v>8</v>
      </c>
      <c r="E33">
        <v>34</v>
      </c>
      <c r="F33" t="s">
        <v>132</v>
      </c>
      <c r="G33">
        <v>224412</v>
      </c>
      <c r="H33">
        <f>(Tableau13[[#This Row],[VEHIC_KM_JOUR]]*365)/1000000000</f>
        <v>8.1910380000000005E-2</v>
      </c>
      <c r="I33" s="2" t="s">
        <v>144</v>
      </c>
      <c r="J33" t="s">
        <v>144</v>
      </c>
      <c r="K33">
        <v>0</v>
      </c>
      <c r="L33">
        <v>1</v>
      </c>
      <c r="M33">
        <v>60</v>
      </c>
      <c r="N33" s="1">
        <v>12</v>
      </c>
    </row>
    <row r="34" spans="1:14" ht="28.8" x14ac:dyDescent="0.3">
      <c r="A34" t="s">
        <v>96</v>
      </c>
      <c r="B34" s="2" t="s">
        <v>9</v>
      </c>
      <c r="C34" t="s">
        <v>7</v>
      </c>
      <c r="D34" t="s">
        <v>10</v>
      </c>
      <c r="E34">
        <v>34.4</v>
      </c>
      <c r="F34" t="s">
        <v>132</v>
      </c>
      <c r="G34">
        <v>224412</v>
      </c>
      <c r="H34">
        <f>(Tableau13[[#This Row],[VEHIC_KM_JOUR]]*365)/1000000000</f>
        <v>8.1910380000000005E-2</v>
      </c>
      <c r="I34" s="2" t="s">
        <v>144</v>
      </c>
      <c r="J34" t="s">
        <v>144</v>
      </c>
      <c r="K34">
        <v>0</v>
      </c>
      <c r="L34">
        <v>1</v>
      </c>
      <c r="M34">
        <v>60</v>
      </c>
      <c r="N34" s="1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5"/>
  <sheetViews>
    <sheetView topLeftCell="AY40" workbookViewId="0">
      <selection activeCell="BE1" sqref="BE1:BE75"/>
    </sheetView>
  </sheetViews>
  <sheetFormatPr baseColWidth="10" defaultRowHeight="14.4" x14ac:dyDescent="0.3"/>
  <cols>
    <col min="1" max="1" width="13" bestFit="1" customWidth="1"/>
    <col min="2" max="2" width="17.6640625" customWidth="1"/>
    <col min="3" max="3" width="27.33203125" style="2" customWidth="1"/>
    <col min="4" max="7" width="11.5546875" customWidth="1"/>
    <col min="8" max="8" width="14.77734375" customWidth="1"/>
    <col min="9" max="9" width="14.88671875" customWidth="1"/>
    <col min="10" max="10" width="18.109375" customWidth="1"/>
    <col min="11" max="11" width="12.88671875" customWidth="1"/>
    <col min="12" max="12" width="13.88671875" customWidth="1"/>
    <col min="13" max="13" width="10.109375" customWidth="1"/>
    <col min="14" max="14" width="16.6640625" customWidth="1"/>
    <col min="15" max="15" width="12.5546875" customWidth="1"/>
    <col min="16" max="16" width="13" style="2" customWidth="1"/>
    <col min="17" max="17" width="14.33203125" style="2" bestFit="1" customWidth="1"/>
    <col min="18" max="18" width="10.33203125" style="2" customWidth="1"/>
    <col min="19" max="19" width="8.44140625" customWidth="1"/>
    <col min="20" max="21" width="11.109375" customWidth="1"/>
    <col min="22" max="24" width="10" customWidth="1"/>
    <col min="25" max="25" width="10.88671875" customWidth="1"/>
    <col min="26" max="28" width="11.5546875" customWidth="1"/>
    <col min="29" max="29" width="14.109375" customWidth="1"/>
    <col min="30" max="30" width="10" customWidth="1"/>
    <col min="31" max="31" width="11.33203125" customWidth="1"/>
    <col min="32" max="33" width="11.5546875" customWidth="1"/>
    <col min="34" max="34" width="19.21875" customWidth="1"/>
    <col min="35" max="36" width="12.44140625" customWidth="1"/>
    <col min="37" max="37" width="9" customWidth="1"/>
    <col min="38" max="43" width="11.5546875" customWidth="1"/>
    <col min="44" max="44" width="20.6640625" customWidth="1"/>
    <col min="45" max="45" width="11.5546875" customWidth="1"/>
    <col min="46" max="46" width="21.21875" customWidth="1"/>
    <col min="47" max="47" width="11.5546875" customWidth="1"/>
    <col min="48" max="48" width="17.6640625" customWidth="1"/>
    <col min="49" max="50" width="11.5546875" customWidth="1"/>
    <col min="51" max="51" width="12.6640625" customWidth="1"/>
    <col min="52" max="52" width="16.21875" customWidth="1"/>
    <col min="53" max="53" width="21.6640625" customWidth="1"/>
    <col min="54" max="54" width="15.77734375" customWidth="1"/>
    <col min="55" max="55" width="14.88671875" customWidth="1"/>
    <col min="56" max="58" width="11.5546875" customWidth="1"/>
    <col min="63" max="63" width="14.88671875" customWidth="1"/>
  </cols>
  <sheetData>
    <row r="1" spans="1:65" ht="57.6" x14ac:dyDescent="0.3">
      <c r="A1" s="20" t="s">
        <v>226</v>
      </c>
      <c r="B1" s="8" t="s">
        <v>128</v>
      </c>
      <c r="C1" s="11" t="s">
        <v>129</v>
      </c>
      <c r="D1" s="8" t="s">
        <v>130</v>
      </c>
      <c r="E1" s="8" t="s">
        <v>131</v>
      </c>
      <c r="F1" s="8" t="s">
        <v>0</v>
      </c>
      <c r="G1" s="8" t="s">
        <v>1</v>
      </c>
      <c r="H1" s="8" t="s">
        <v>441</v>
      </c>
      <c r="I1" s="8" t="s">
        <v>442</v>
      </c>
      <c r="J1" s="8" t="s">
        <v>443</v>
      </c>
      <c r="K1" s="11" t="s">
        <v>444</v>
      </c>
      <c r="L1" s="11" t="s">
        <v>445</v>
      </c>
      <c r="M1" s="11" t="s">
        <v>446</v>
      </c>
      <c r="N1" s="11" t="s">
        <v>448</v>
      </c>
      <c r="O1" s="11" t="s">
        <v>447</v>
      </c>
      <c r="P1" s="11" t="s">
        <v>469</v>
      </c>
      <c r="Q1" s="11" t="s">
        <v>449</v>
      </c>
      <c r="R1" s="11" t="s">
        <v>169</v>
      </c>
      <c r="S1" s="11" t="s">
        <v>138</v>
      </c>
      <c r="T1" s="11" t="s">
        <v>3</v>
      </c>
      <c r="U1" s="11" t="s">
        <v>4</v>
      </c>
      <c r="V1" s="11" t="s">
        <v>5</v>
      </c>
      <c r="W1" s="11" t="s">
        <v>158</v>
      </c>
      <c r="X1" s="11" t="s">
        <v>159</v>
      </c>
      <c r="Y1" s="11" t="s">
        <v>157</v>
      </c>
      <c r="Z1" s="11" t="s">
        <v>160</v>
      </c>
      <c r="AA1" s="11" t="s">
        <v>161</v>
      </c>
      <c r="AB1" s="11" t="s">
        <v>162</v>
      </c>
      <c r="AC1" s="11" t="s">
        <v>165</v>
      </c>
      <c r="AD1" s="11" t="s">
        <v>163</v>
      </c>
      <c r="AE1" s="11" t="s">
        <v>164</v>
      </c>
      <c r="AF1" s="11" t="s">
        <v>166</v>
      </c>
      <c r="AG1" s="11" t="s">
        <v>210</v>
      </c>
      <c r="AH1" s="11" t="s">
        <v>214</v>
      </c>
      <c r="AI1" s="11" t="s">
        <v>213</v>
      </c>
      <c r="AJ1" s="11" t="s">
        <v>225</v>
      </c>
      <c r="AK1" s="11" t="s">
        <v>215</v>
      </c>
      <c r="AL1" s="11" t="s">
        <v>216</v>
      </c>
      <c r="AM1" s="46" t="s">
        <v>287</v>
      </c>
      <c r="AN1" s="46" t="s">
        <v>288</v>
      </c>
      <c r="AO1" s="46" t="s">
        <v>289</v>
      </c>
      <c r="AP1" s="46" t="s">
        <v>290</v>
      </c>
      <c r="AQ1" s="46" t="s">
        <v>291</v>
      </c>
      <c r="AR1" s="46" t="s">
        <v>292</v>
      </c>
      <c r="AS1" s="46" t="s">
        <v>293</v>
      </c>
      <c r="AT1" s="46" t="s">
        <v>294</v>
      </c>
      <c r="AU1" s="46" t="s">
        <v>295</v>
      </c>
      <c r="AV1" s="46" t="s">
        <v>296</v>
      </c>
      <c r="AW1" s="46" t="s">
        <v>297</v>
      </c>
      <c r="AX1" s="58" t="s">
        <v>366</v>
      </c>
      <c r="AY1" s="58" t="s">
        <v>367</v>
      </c>
      <c r="AZ1" s="58" t="s">
        <v>437</v>
      </c>
      <c r="BA1" s="46" t="s">
        <v>438</v>
      </c>
      <c r="BB1" s="58" t="s">
        <v>452</v>
      </c>
      <c r="BC1" s="58" t="s">
        <v>453</v>
      </c>
      <c r="BD1" s="46" t="s">
        <v>454</v>
      </c>
      <c r="BE1" s="46" t="s">
        <v>455</v>
      </c>
      <c r="BF1" s="46" t="s">
        <v>456</v>
      </c>
      <c r="BG1" s="46" t="s">
        <v>457</v>
      </c>
      <c r="BH1" s="46" t="s">
        <v>458</v>
      </c>
      <c r="BI1" s="46" t="s">
        <v>459</v>
      </c>
      <c r="BJ1" s="46" t="s">
        <v>470</v>
      </c>
      <c r="BK1" s="46" t="s">
        <v>460</v>
      </c>
      <c r="BL1" s="58" t="s">
        <v>461</v>
      </c>
      <c r="BM1" s="58" t="s">
        <v>462</v>
      </c>
    </row>
    <row r="2" spans="1:65" ht="28.8" x14ac:dyDescent="0.3">
      <c r="A2" s="21">
        <v>1</v>
      </c>
      <c r="B2" s="8" t="s">
        <v>102</v>
      </c>
      <c r="C2" s="11" t="s">
        <v>26</v>
      </c>
      <c r="D2" s="8" t="s">
        <v>27</v>
      </c>
      <c r="E2" s="8" t="s">
        <v>28</v>
      </c>
      <c r="F2" s="8">
        <v>15</v>
      </c>
      <c r="G2" s="22" t="s">
        <v>134</v>
      </c>
      <c r="H2" s="8">
        <v>0</v>
      </c>
      <c r="I2" s="8">
        <v>3</v>
      </c>
      <c r="J2" s="8">
        <f>Tableau14[[#This Row],[F crashes2015]]+Tableau14[[#This Row],[S crashes2015]]</f>
        <v>3</v>
      </c>
      <c r="K2" s="12">
        <f>IF(Tableau14[[#This Row],[F crashes2015]] &lt;&gt; 0, Tableau14[[#This Row],[F &amp; S crashes2015]]/Tableau14[[#This Row],[F crashes2015]], 1)</f>
        <v>1</v>
      </c>
      <c r="L2" s="8">
        <v>10447</v>
      </c>
      <c r="M2" s="8">
        <v>198493</v>
      </c>
      <c r="N2" s="8">
        <f>(Tableau14[[#This Row],[VEHIC KM / JOUR2015]]*365)/1000000000</f>
        <v>7.2449945000000002E-2</v>
      </c>
      <c r="O2" s="23">
        <f>(Tableau14[[#This Row],[F &amp; S crashes2015]]/Tableau14[[#This Row],[BILLION VEH KM TRAVELLED2015]])</f>
        <v>41.40789892939187</v>
      </c>
      <c r="P2" s="11" t="s">
        <v>144</v>
      </c>
      <c r="Q2" s="11">
        <f>Tableau14[[#This Row],[F &amp; S crashes2015]]/4</f>
        <v>0.75</v>
      </c>
      <c r="R2" s="8" t="s">
        <v>144</v>
      </c>
      <c r="S2" s="23">
        <f>Tableau14[[#This Row],[VEHIC KM / JOUR2015]]/Tableau14[[#This Row],[TMJA2015 (vehi/jour)]]</f>
        <v>19</v>
      </c>
      <c r="T2" s="8">
        <v>1</v>
      </c>
      <c r="U2" s="8">
        <v>2</v>
      </c>
      <c r="V2" s="8">
        <v>60</v>
      </c>
      <c r="W2" s="8">
        <v>0</v>
      </c>
      <c r="X2" s="8">
        <v>19</v>
      </c>
      <c r="Y2" s="8">
        <v>1</v>
      </c>
      <c r="Z2" s="8">
        <v>4</v>
      </c>
      <c r="AA2" s="8">
        <f>Tableau14[[#This Row],[F Crashes trancon]]+Tableau14[[#This Row],[S crashes trancon]]</f>
        <v>5</v>
      </c>
      <c r="AB2" s="24">
        <f>IF(Tableau14[[#This Row],[F Crashes trancon]]&lt;&gt; 0, Tableau14[[#This Row],[F&amp;S crashes tronçon ]]/Tableau14[[#This Row],[F Crashes trancon]], 1)</f>
        <v>5</v>
      </c>
      <c r="AC2" s="23">
        <f>(Tableau14[[#This Row],[F&amp;S crashes tronçon ]]/Tableau14[[#This Row],[BILLION VEH KM TRAVELLED2015]])</f>
        <v>69.013164882319785</v>
      </c>
      <c r="AD2" s="11" t="s">
        <v>146</v>
      </c>
      <c r="AE2" s="27">
        <f>Tableau14[[#This Row],[F&amp;S crashes tronçon ]]/Tableau14[[#This Row],[LENTGH SECTION(KM)]]</f>
        <v>0.26315789473684209</v>
      </c>
      <c r="AF2" s="8" t="s">
        <v>167</v>
      </c>
      <c r="AG2" s="8">
        <v>0.34</v>
      </c>
      <c r="AH2" s="8" t="s">
        <v>212</v>
      </c>
      <c r="AI2" s="8" t="s">
        <v>212</v>
      </c>
      <c r="AJ2" s="8" t="s">
        <v>212</v>
      </c>
      <c r="AK2" s="8" t="s">
        <v>212</v>
      </c>
      <c r="AL2" s="8">
        <v>13.8</v>
      </c>
      <c r="AM2" s="44">
        <v>0</v>
      </c>
      <c r="AN2" s="44">
        <v>93095</v>
      </c>
      <c r="AO2" s="44">
        <v>104315</v>
      </c>
      <c r="AP2" s="44">
        <v>0</v>
      </c>
      <c r="AQ2" s="44">
        <v>0</v>
      </c>
      <c r="AR2" s="44">
        <v>1605</v>
      </c>
      <c r="AS2" s="44">
        <v>58</v>
      </c>
      <c r="AT2" s="44">
        <v>399</v>
      </c>
      <c r="AU2" s="44">
        <v>261</v>
      </c>
      <c r="AV2" s="44">
        <f>IF(Tableau14[[#This Row],[Moyenne Journalière Infrations 2016]]&gt;0, Tableau14[[#This Row],[Moyenne Journalière Infrations 2016]]-Tableau14[[#This Row],[Moyenne Journalière Infrations 2017]],0)</f>
        <v>1206</v>
      </c>
      <c r="AW2" s="44">
        <f>IF(Tableau14[[#This Row],[Moyenne Journalière Infrations 2015]]&gt;0, Tableau14[[#This Row],[Moyenne Journalière Infrations 2015]]-Tableau14[[#This Row],[Moyenne Journalière Infrations 2016]],0)</f>
        <v>0</v>
      </c>
      <c r="AX2" s="8">
        <v>6</v>
      </c>
      <c r="AY2" s="8" t="s">
        <v>384</v>
      </c>
      <c r="AZ2" s="8" t="s">
        <v>371</v>
      </c>
      <c r="BA2" s="8" t="s">
        <v>372</v>
      </c>
      <c r="BB2" s="8">
        <v>0</v>
      </c>
      <c r="BC2" s="8">
        <v>4</v>
      </c>
      <c r="BD2" s="44">
        <f>Tableau14[[#This Row],[S crashes2016]]+Tableau14[[#This Row],[F crashes2016]]</f>
        <v>4</v>
      </c>
      <c r="BE2" s="83">
        <f>IF(Tableau14[[#This Row],[F crashes2016]] &lt;&gt; 0, Tableau14[[#This Row],[F &amp; S crashes2016]]/Tableau14[[#This Row],[F crashes2016]], 1)</f>
        <v>1</v>
      </c>
      <c r="BF2" s="8">
        <v>10729</v>
      </c>
      <c r="BG2" s="8">
        <v>203851</v>
      </c>
      <c r="BH2" s="44">
        <f>(Tableau14[[#This Row],[VEHIC KM / JOUR2016]]*365)/1000000000</f>
        <v>7.4405614999999994E-2</v>
      </c>
      <c r="BI2" s="44">
        <f>(Tableau14[[#This Row],[F &amp; S crashes2016]]/Tableau14[[#This Row],[BILLION VEH KM TRAVELLED2016]])</f>
        <v>53.759383616411213</v>
      </c>
      <c r="BJ2" s="44" t="s">
        <v>144</v>
      </c>
      <c r="BK2" s="44">
        <f>Tableau14[[#This Row],[F &amp; S crashes2016]]/4</f>
        <v>1</v>
      </c>
      <c r="BL2" s="80">
        <f>Tableau14[[#This Row],[CRASH RISK2016]]-Tableau14[[#This Row],[CRASH RISK2015]]</f>
        <v>12.351484687019344</v>
      </c>
      <c r="BM2" s="80">
        <f>Tableau14[[#This Row],[CRASH DENSITY2016]]-Tableau14[[#This Row],[CRASH DENSITY2015]]</f>
        <v>0.25</v>
      </c>
    </row>
    <row r="3" spans="1:65" ht="37.200000000000003" customHeight="1" x14ac:dyDescent="0.3">
      <c r="A3" s="28">
        <f>A2+1</f>
        <v>2</v>
      </c>
      <c r="B3" s="8" t="s">
        <v>103</v>
      </c>
      <c r="C3" s="11" t="s">
        <v>29</v>
      </c>
      <c r="D3" s="8" t="s">
        <v>27</v>
      </c>
      <c r="E3" s="8" t="s">
        <v>30</v>
      </c>
      <c r="F3" s="8">
        <v>15.1</v>
      </c>
      <c r="G3" s="22" t="s">
        <v>134</v>
      </c>
      <c r="H3" s="8">
        <v>0</v>
      </c>
      <c r="I3" s="8">
        <v>3</v>
      </c>
      <c r="J3" s="8">
        <f>Tableau14[[#This Row],[F crashes2015]]+Tableau14[[#This Row],[S crashes2015]]</f>
        <v>3</v>
      </c>
      <c r="K3" s="12">
        <f>IF(Tableau14[[#This Row],[F crashes2015]] &lt;&gt; 0, Tableau14[[#This Row],[F &amp; S crashes2015]]/Tableau14[[#This Row],[F crashes2015]], 1)</f>
        <v>1</v>
      </c>
      <c r="L3" s="8">
        <v>10447</v>
      </c>
      <c r="M3" s="8">
        <v>198493</v>
      </c>
      <c r="N3" s="8">
        <f>(Tableau14[[#This Row],[VEHIC KM / JOUR2015]]*365)/1000000000</f>
        <v>7.2449945000000002E-2</v>
      </c>
      <c r="O3" s="23">
        <f>(Tableau14[[#This Row],[F &amp; S crashes2015]]/Tableau14[[#This Row],[BILLION VEH KM TRAVELLED2015]])</f>
        <v>41.40789892939187</v>
      </c>
      <c r="P3" s="11" t="s">
        <v>144</v>
      </c>
      <c r="Q3" s="11">
        <f>Tableau14[[#This Row],[F &amp; S crashes2015]]/4</f>
        <v>0.75</v>
      </c>
      <c r="R3" s="8" t="s">
        <v>144</v>
      </c>
      <c r="S3" s="23">
        <f>Tableau14[[#This Row],[VEHIC KM / JOUR2015]]/Tableau14[[#This Row],[TMJA2015 (vehi/jour)]]</f>
        <v>19</v>
      </c>
      <c r="T3" s="8">
        <v>1</v>
      </c>
      <c r="U3" s="8">
        <v>2</v>
      </c>
      <c r="V3" s="8">
        <v>60</v>
      </c>
      <c r="W3" s="8">
        <v>0</v>
      </c>
      <c r="X3" s="8">
        <v>19</v>
      </c>
      <c r="Y3" s="8">
        <v>1</v>
      </c>
      <c r="Z3" s="8">
        <v>4</v>
      </c>
      <c r="AA3" s="8">
        <f>Tableau14[[#This Row],[F Crashes trancon]]+Tableau14[[#This Row],[S crashes trancon]]</f>
        <v>5</v>
      </c>
      <c r="AB3" s="24">
        <f>IF(Tableau14[[#This Row],[F Crashes trancon]]&lt;&gt; 0, Tableau14[[#This Row],[F&amp;S crashes tronçon ]]/Tableau14[[#This Row],[F Crashes trancon]], 1)</f>
        <v>5</v>
      </c>
      <c r="AC3" s="23">
        <f>(Tableau14[[#This Row],[F&amp;S crashes tronçon ]]/Tableau14[[#This Row],[BILLION VEH KM TRAVELLED2015]])</f>
        <v>69.013164882319785</v>
      </c>
      <c r="AD3" s="11" t="s">
        <v>146</v>
      </c>
      <c r="AE3" s="27">
        <f>Tableau14[[#This Row],[F&amp;S crashes tronçon ]]/Tableau14[[#This Row],[LENTGH SECTION(KM)]]</f>
        <v>0.26315789473684209</v>
      </c>
      <c r="AF3" s="8" t="s">
        <v>167</v>
      </c>
      <c r="AG3" s="8">
        <v>0.34</v>
      </c>
      <c r="AH3" s="8" t="s">
        <v>212</v>
      </c>
      <c r="AI3" s="8" t="s">
        <v>212</v>
      </c>
      <c r="AJ3" s="8" t="s">
        <v>212</v>
      </c>
      <c r="AK3" s="8" t="s">
        <v>212</v>
      </c>
      <c r="AL3" s="8">
        <v>13.8</v>
      </c>
      <c r="AM3" s="8">
        <v>0</v>
      </c>
      <c r="AN3" s="8">
        <v>34360</v>
      </c>
      <c r="AO3" s="8">
        <v>20867</v>
      </c>
      <c r="AP3" s="44">
        <v>0</v>
      </c>
      <c r="AQ3" s="44">
        <v>0</v>
      </c>
      <c r="AR3" s="8">
        <v>818</v>
      </c>
      <c r="AS3" s="8">
        <v>42</v>
      </c>
      <c r="AT3" s="8">
        <v>169</v>
      </c>
      <c r="AU3" s="8">
        <v>123</v>
      </c>
      <c r="AV3" s="44">
        <f>IF(Tableau14[[#This Row],[Moyenne Journalière Infrations 2016]]&gt;0, Tableau14[[#This Row],[Moyenne Journalière Infrations 2016]]-Tableau14[[#This Row],[Moyenne Journalière Infrations 2017]],0)</f>
        <v>649</v>
      </c>
      <c r="AW3" s="44">
        <f>IF(Tableau14[[#This Row],[Moyenne Journalière Infrations 2015]]&gt;0, Tableau14[[#This Row],[Moyenne Journalière Infrations 2015]]-Tableau14[[#This Row],[Moyenne Journalière Infrations 2016]],0)</f>
        <v>0</v>
      </c>
      <c r="AX3" s="8">
        <v>6</v>
      </c>
      <c r="AY3" s="8" t="s">
        <v>384</v>
      </c>
      <c r="AZ3" s="8" t="s">
        <v>371</v>
      </c>
      <c r="BA3" s="8" t="s">
        <v>373</v>
      </c>
      <c r="BB3" s="8">
        <v>0</v>
      </c>
      <c r="BC3" s="8">
        <v>4</v>
      </c>
      <c r="BD3" s="8">
        <f>Tableau14[[#This Row],[S crashes2016]]+Tableau14[[#This Row],[F crashes2016]]</f>
        <v>4</v>
      </c>
      <c r="BE3" s="12">
        <f>IF(Tableau14[[#This Row],[F crashes2016]] &lt;&gt; 0, Tableau14[[#This Row],[F &amp; S crashes2016]]/Tableau14[[#This Row],[F crashes2016]], 1)</f>
        <v>1</v>
      </c>
      <c r="BF3" s="8">
        <v>10729</v>
      </c>
      <c r="BG3" s="8">
        <v>203851</v>
      </c>
      <c r="BH3" s="8">
        <f>(Tableau14[[#This Row],[VEHIC KM / JOUR2016]]*365)/1000000000</f>
        <v>7.4405614999999994E-2</v>
      </c>
      <c r="BI3" s="8">
        <f>(Tableau14[[#This Row],[F &amp; S crashes2016]]/Tableau14[[#This Row],[BILLION VEH KM TRAVELLED2016]])</f>
        <v>53.759383616411213</v>
      </c>
      <c r="BJ3" s="44" t="s">
        <v>144</v>
      </c>
      <c r="BK3" s="8">
        <f>Tableau14[[#This Row],[F &amp; S crashes2016]]/4</f>
        <v>1</v>
      </c>
      <c r="BL3" s="27">
        <f>Tableau14[[#This Row],[CRASH RISK2016]]-Tableau14[[#This Row],[CRASH RISK2015]]</f>
        <v>12.351484687019344</v>
      </c>
      <c r="BM3" s="27">
        <f>Tableau14[[#This Row],[CRASH DENSITY2016]]-Tableau14[[#This Row],[CRASH DENSITY2015]]</f>
        <v>0.25</v>
      </c>
    </row>
    <row r="4" spans="1:65" ht="28.8" x14ac:dyDescent="0.3">
      <c r="A4" s="28">
        <f t="shared" ref="A4:A67" si="0">A3+1</f>
        <v>3</v>
      </c>
      <c r="B4" s="8" t="s">
        <v>298</v>
      </c>
      <c r="C4" s="11" t="s">
        <v>316</v>
      </c>
      <c r="D4" s="49" t="s">
        <v>333</v>
      </c>
      <c r="E4" s="50" t="s">
        <v>334</v>
      </c>
      <c r="F4" s="8">
        <v>40</v>
      </c>
      <c r="G4" s="8" t="s">
        <v>134</v>
      </c>
      <c r="H4" s="8">
        <v>0</v>
      </c>
      <c r="I4" s="8">
        <v>0</v>
      </c>
      <c r="J4" s="8">
        <f>Tableau14[[#This Row],[F crashes2015]]+Tableau14[[#This Row],[S crashes2015]]</f>
        <v>0</v>
      </c>
      <c r="K4" s="33">
        <f>IF(Tableau14[[#This Row],[F crashes2015]] &lt;&gt; 0, Tableau14[[#This Row],[F &amp; S crashes2015]]/Tableau14[[#This Row],[F crashes2015]], 1)</f>
        <v>1</v>
      </c>
      <c r="L4" s="8">
        <v>10856</v>
      </c>
      <c r="M4" s="8">
        <v>273571</v>
      </c>
      <c r="N4" s="26">
        <f>(Tableau14[[#This Row],[VEHIC KM / JOUR2015]]*365)/1000000000</f>
        <v>9.9853415000000001E-2</v>
      </c>
      <c r="O4" s="26">
        <f>(Tableau14[[#This Row],[F &amp; S crashes2015]]/Tableau14[[#This Row],[BILLION VEH KM TRAVELLED2015]])</f>
        <v>0</v>
      </c>
      <c r="P4" s="11" t="s">
        <v>143</v>
      </c>
      <c r="Q4" s="34">
        <f>Tableau14[[#This Row],[F &amp; S crashes2015]]/4</f>
        <v>0</v>
      </c>
      <c r="R4" s="11"/>
      <c r="S4" s="23">
        <f>Tableau14[[#This Row],[VEHIC KM / JOUR2015]]/Tableau14[[#This Row],[TMJA2015 (vehi/jour)]]</f>
        <v>25.199981577008106</v>
      </c>
      <c r="T4" s="8"/>
      <c r="U4" s="8"/>
      <c r="V4" s="8">
        <v>80</v>
      </c>
      <c r="W4" s="8"/>
      <c r="X4" s="8"/>
      <c r="Y4" s="8"/>
      <c r="Z4" s="8"/>
      <c r="AA4" s="26">
        <f>Tableau14[[#This Row],[F Crashes trancon]]+Tableau14[[#This Row],[S crashes trancon]]</f>
        <v>0</v>
      </c>
      <c r="AB4" s="23">
        <f>IF(Tableau14[[#This Row],[F Crashes trancon]]&lt;&gt; 0, Tableau14[[#This Row],[F&amp;S crashes tronçon ]]/Tableau14[[#This Row],[F Crashes trancon]], 1)</f>
        <v>1</v>
      </c>
      <c r="AC4" s="23">
        <f>(Tableau14[[#This Row],[F&amp;S crashes tronçon ]]/Tableau14[[#This Row],[BILLION VEH KM TRAVELLED2015]])</f>
        <v>0</v>
      </c>
      <c r="AD4" s="26"/>
      <c r="AE4" s="27">
        <f>Tableau14[[#This Row],[F&amp;S crashes tronçon ]]/Tableau14[[#This Row],[LENTGH SECTION(KM)]]</f>
        <v>0</v>
      </c>
      <c r="AF4" s="8"/>
      <c r="AG4" s="8">
        <v>1.55</v>
      </c>
      <c r="AH4" s="8" t="s">
        <v>212</v>
      </c>
      <c r="AI4" s="8" t="s">
        <v>212</v>
      </c>
      <c r="AJ4" s="8" t="s">
        <v>212</v>
      </c>
      <c r="AK4" s="8" t="s">
        <v>211</v>
      </c>
      <c r="AL4" s="8">
        <v>2</v>
      </c>
      <c r="AM4" s="8"/>
      <c r="AN4" s="8"/>
      <c r="AO4" s="8"/>
      <c r="AP4" s="44">
        <v>0</v>
      </c>
      <c r="AQ4" s="44">
        <v>0</v>
      </c>
      <c r="AR4" s="8">
        <v>44</v>
      </c>
      <c r="AS4" s="8">
        <v>66</v>
      </c>
      <c r="AT4" s="8">
        <v>18</v>
      </c>
      <c r="AU4" s="8">
        <v>306</v>
      </c>
      <c r="AV4" s="44">
        <f>IF(Tableau14[[#This Row],[Moyenne Journalière Infrations 2016]]&gt;0, Tableau14[[#This Row],[Moyenne Journalière Infrations 2016]]-Tableau14[[#This Row],[Moyenne Journalière Infrations 2017]],0)</f>
        <v>26</v>
      </c>
      <c r="AW4" s="44">
        <f>IF(Tableau14[[#This Row],[Moyenne Journalière Infrations 2015]]&gt;0, Tableau14[[#This Row],[Moyenne Journalière Infrations 2015]]-Tableau14[[#This Row],[Moyenne Journalière Infrations 2016]],0)</f>
        <v>0</v>
      </c>
      <c r="AX4" s="8">
        <v>3</v>
      </c>
      <c r="AY4" s="8" t="s">
        <v>385</v>
      </c>
      <c r="AZ4" s="8" t="s">
        <v>371</v>
      </c>
      <c r="BA4" s="8" t="s">
        <v>374</v>
      </c>
      <c r="BB4" s="8">
        <v>1</v>
      </c>
      <c r="BC4" s="8">
        <v>0</v>
      </c>
      <c r="BD4" s="8">
        <f>Tableau14[[#This Row],[S crashes2016]]+Tableau14[[#This Row],[F crashes2016]]</f>
        <v>1</v>
      </c>
      <c r="BE4" s="12">
        <f>IF(Tableau14[[#This Row],[F crashes2016]] &lt;&gt; 0, Tableau14[[#This Row],[F &amp; S crashes2016]]/Tableau14[[#This Row],[F crashes2016]], 1)</f>
        <v>1</v>
      </c>
      <c r="BF4" s="8">
        <v>11149</v>
      </c>
      <c r="BG4" s="8">
        <v>280955</v>
      </c>
      <c r="BH4" s="8">
        <f>(Tableau14[[#This Row],[VEHIC KM / JOUR2016]]*365)/1000000000</f>
        <v>0.102548575</v>
      </c>
      <c r="BI4" s="8">
        <f>(Tableau14[[#This Row],[F &amp; S crashes2016]]/Tableau14[[#This Row],[BILLION VEH KM TRAVELLED2016]])</f>
        <v>9.7514763125669948</v>
      </c>
      <c r="BJ4" t="s">
        <v>146</v>
      </c>
      <c r="BK4" s="8">
        <f>Tableau14[[#This Row],[F &amp; S crashes2016]]/4</f>
        <v>0.25</v>
      </c>
      <c r="BL4" s="27">
        <f>Tableau14[[#This Row],[CRASH RISK2016]]-Tableau14[[#This Row],[CRASH RISK2015]]</f>
        <v>9.7514763125669948</v>
      </c>
      <c r="BM4" s="27">
        <f>Tableau14[[#This Row],[CRASH DENSITY2016]]-Tableau14[[#This Row],[CRASH DENSITY2015]]</f>
        <v>0.25</v>
      </c>
    </row>
    <row r="5" spans="1:65" ht="28.8" x14ac:dyDescent="0.3">
      <c r="A5" s="28">
        <f t="shared" si="0"/>
        <v>4</v>
      </c>
      <c r="B5" s="8" t="s">
        <v>299</v>
      </c>
      <c r="C5" s="11" t="s">
        <v>317</v>
      </c>
      <c r="D5" s="49" t="s">
        <v>333</v>
      </c>
      <c r="E5" s="50" t="s">
        <v>335</v>
      </c>
      <c r="F5" s="8">
        <v>40.1</v>
      </c>
      <c r="G5" s="8" t="s">
        <v>134</v>
      </c>
      <c r="H5" s="8">
        <v>0</v>
      </c>
      <c r="I5" s="8">
        <v>0</v>
      </c>
      <c r="J5" s="8">
        <f>Tableau14[[#This Row],[F crashes2015]]+Tableau14[[#This Row],[S crashes2015]]</f>
        <v>0</v>
      </c>
      <c r="K5" s="33">
        <f>IF(Tableau14[[#This Row],[F crashes2015]] &lt;&gt; 0, Tableau14[[#This Row],[F &amp; S crashes2015]]/Tableau14[[#This Row],[F crashes2015]], 1)</f>
        <v>1</v>
      </c>
      <c r="L5" s="8">
        <v>10856</v>
      </c>
      <c r="M5" s="8">
        <v>273571</v>
      </c>
      <c r="N5" s="26">
        <f>(Tableau14[[#This Row],[VEHIC KM / JOUR2015]]*365)/1000000000</f>
        <v>9.9853415000000001E-2</v>
      </c>
      <c r="O5" s="26">
        <f>(Tableau14[[#This Row],[F &amp; S crashes2015]]/Tableau14[[#This Row],[BILLION VEH KM TRAVELLED2015]])</f>
        <v>0</v>
      </c>
      <c r="P5" s="11" t="s">
        <v>143</v>
      </c>
      <c r="Q5" s="34">
        <f>Tableau14[[#This Row],[F &amp; S crashes2015]]/4</f>
        <v>0</v>
      </c>
      <c r="R5" s="11"/>
      <c r="S5" s="23">
        <f>Tableau14[[#This Row],[VEHIC KM / JOUR2015]]/Tableau14[[#This Row],[TMJA2015 (vehi/jour)]]</f>
        <v>25.199981577008106</v>
      </c>
      <c r="T5" s="8"/>
      <c r="U5" s="8"/>
      <c r="V5" s="8">
        <v>80</v>
      </c>
      <c r="W5" s="8"/>
      <c r="X5" s="8"/>
      <c r="Y5" s="8"/>
      <c r="Z5" s="8"/>
      <c r="AA5" s="26">
        <f>Tableau14[[#This Row],[F Crashes trancon]]+Tableau14[[#This Row],[S crashes trancon]]</f>
        <v>0</v>
      </c>
      <c r="AB5" s="23">
        <f>IF(Tableau14[[#This Row],[F Crashes trancon]]&lt;&gt; 0, Tableau14[[#This Row],[F&amp;S crashes tronçon ]]/Tableau14[[#This Row],[F Crashes trancon]], 1)</f>
        <v>1</v>
      </c>
      <c r="AC5" s="23">
        <f>(Tableau14[[#This Row],[F&amp;S crashes tronçon ]]/Tableau14[[#This Row],[BILLION VEH KM TRAVELLED2015]])</f>
        <v>0</v>
      </c>
      <c r="AD5" s="26"/>
      <c r="AE5" s="27">
        <f>Tableau14[[#This Row],[F&amp;S crashes tronçon ]]/Tableau14[[#This Row],[LENTGH SECTION(KM)]]</f>
        <v>0</v>
      </c>
      <c r="AF5" s="8"/>
      <c r="AG5" s="8">
        <v>1.55</v>
      </c>
      <c r="AH5" s="8" t="s">
        <v>212</v>
      </c>
      <c r="AI5" s="8" t="s">
        <v>212</v>
      </c>
      <c r="AJ5" s="8" t="s">
        <v>212</v>
      </c>
      <c r="AK5" s="8" t="s">
        <v>211</v>
      </c>
      <c r="AL5" s="8">
        <v>2</v>
      </c>
      <c r="AM5" s="8"/>
      <c r="AN5" s="8"/>
      <c r="AO5" s="8"/>
      <c r="AP5" s="44">
        <v>0</v>
      </c>
      <c r="AQ5" s="44">
        <v>0</v>
      </c>
      <c r="AR5" s="8">
        <v>26</v>
      </c>
      <c r="AS5" s="8">
        <v>21</v>
      </c>
      <c r="AT5" s="8">
        <v>25</v>
      </c>
      <c r="AU5" s="8">
        <v>219</v>
      </c>
      <c r="AV5" s="44">
        <f>IF(Tableau14[[#This Row],[Moyenne Journalière Infrations 2016]]&gt;0, Tableau14[[#This Row],[Moyenne Journalière Infrations 2016]]-Tableau14[[#This Row],[Moyenne Journalière Infrations 2017]],0)</f>
        <v>1</v>
      </c>
      <c r="AW5" s="44">
        <f>IF(Tableau14[[#This Row],[Moyenne Journalière Infrations 2015]]&gt;0, Tableau14[[#This Row],[Moyenne Journalière Infrations 2015]]-Tableau14[[#This Row],[Moyenne Journalière Infrations 2016]],0)</f>
        <v>0</v>
      </c>
      <c r="AX5" s="8">
        <v>2</v>
      </c>
      <c r="AY5" s="8" t="s">
        <v>385</v>
      </c>
      <c r="AZ5" s="8" t="s">
        <v>371</v>
      </c>
      <c r="BA5" s="8" t="s">
        <v>375</v>
      </c>
      <c r="BB5" s="8">
        <v>1</v>
      </c>
      <c r="BC5" s="8">
        <v>0</v>
      </c>
      <c r="BD5" s="8">
        <f>Tableau14[[#This Row],[S crashes2016]]+Tableau14[[#This Row],[F crashes2016]]</f>
        <v>1</v>
      </c>
      <c r="BE5" s="12">
        <f>IF(Tableau14[[#This Row],[F crashes2016]] &lt;&gt; 0, Tableau14[[#This Row],[F &amp; S crashes2016]]/Tableau14[[#This Row],[F crashes2016]], 1)</f>
        <v>1</v>
      </c>
      <c r="BF5" s="8">
        <v>11149</v>
      </c>
      <c r="BG5" s="8">
        <v>280955</v>
      </c>
      <c r="BH5" s="8">
        <f>(Tableau14[[#This Row],[VEHIC KM / JOUR2016]]*365)/1000000000</f>
        <v>0.102548575</v>
      </c>
      <c r="BI5" s="8">
        <f>(Tableau14[[#This Row],[F &amp; S crashes2016]]/Tableau14[[#This Row],[BILLION VEH KM TRAVELLED2016]])</f>
        <v>9.7514763125669948</v>
      </c>
      <c r="BJ5" t="s">
        <v>146</v>
      </c>
      <c r="BK5" s="8">
        <f>Tableau14[[#This Row],[F &amp; S crashes2016]]/4</f>
        <v>0.25</v>
      </c>
      <c r="BL5" s="27">
        <f>Tableau14[[#This Row],[CRASH RISK2016]]-Tableau14[[#This Row],[CRASH RISK2015]]</f>
        <v>9.7514763125669948</v>
      </c>
      <c r="BM5" s="27">
        <f>Tableau14[[#This Row],[CRASH DENSITY2016]]-Tableau14[[#This Row],[CRASH DENSITY2015]]</f>
        <v>0.25</v>
      </c>
    </row>
    <row r="6" spans="1:65" x14ac:dyDescent="0.3">
      <c r="A6" s="28">
        <f t="shared" si="0"/>
        <v>5</v>
      </c>
      <c r="B6" s="8" t="s">
        <v>110</v>
      </c>
      <c r="C6" s="11" t="s">
        <v>46</v>
      </c>
      <c r="D6" s="8" t="s">
        <v>47</v>
      </c>
      <c r="E6" s="8" t="s">
        <v>48</v>
      </c>
      <c r="F6" s="8">
        <v>70.2</v>
      </c>
      <c r="G6" s="22" t="s">
        <v>134</v>
      </c>
      <c r="H6" s="8">
        <v>0</v>
      </c>
      <c r="I6" s="8">
        <v>2</v>
      </c>
      <c r="J6" s="8">
        <f>Tableau14[[#This Row],[F crashes2015]]+Tableau14[[#This Row],[S crashes2015]]</f>
        <v>2</v>
      </c>
      <c r="K6" s="12">
        <f>IF(Tableau14[[#This Row],[F crashes2015]] &lt;&gt; 0, Tableau14[[#This Row],[F &amp; S crashes2015]]/Tableau14[[#This Row],[F crashes2015]], 1)</f>
        <v>1</v>
      </c>
      <c r="L6" s="8">
        <v>4722</v>
      </c>
      <c r="M6" s="8">
        <v>105773</v>
      </c>
      <c r="N6" s="8">
        <f>(Tableau14[[#This Row],[VEHIC KM / JOUR2015]]*365)/1000000000</f>
        <v>3.8607145000000002E-2</v>
      </c>
      <c r="O6" s="23">
        <f>(Tableau14[[#This Row],[F &amp; S crashes2015]]/Tableau14[[#This Row],[BILLION VEH KM TRAVELLED2015]])</f>
        <v>51.803882416065726</v>
      </c>
      <c r="P6" s="11" t="s">
        <v>144</v>
      </c>
      <c r="Q6" s="11">
        <f>Tableau14[[#This Row],[F &amp; S crashes2015]]/4</f>
        <v>0.5</v>
      </c>
      <c r="R6" s="8" t="s">
        <v>144</v>
      </c>
      <c r="S6" s="23">
        <f>Tableau14[[#This Row],[VEHIC KM / JOUR2015]]/Tableau14[[#This Row],[TMJA2015 (vehi/jour)]]</f>
        <v>22.400042354934349</v>
      </c>
      <c r="T6" s="8">
        <v>1</v>
      </c>
      <c r="U6" s="8">
        <v>1</v>
      </c>
      <c r="V6" s="8">
        <v>60</v>
      </c>
      <c r="W6" s="8">
        <v>59.6</v>
      </c>
      <c r="X6" s="8">
        <v>82</v>
      </c>
      <c r="Y6" s="8">
        <v>0</v>
      </c>
      <c r="Z6" s="8">
        <v>3</v>
      </c>
      <c r="AA6" s="8">
        <f>Tableau14[[#This Row],[F Crashes trancon]]+Tableau14[[#This Row],[S crashes trancon]]</f>
        <v>3</v>
      </c>
      <c r="AB6" s="24">
        <f>IF(Tableau14[[#This Row],[F Crashes trancon]]&lt;&gt; 0, Tableau14[[#This Row],[F&amp;S crashes tronçon ]]/Tableau14[[#This Row],[F Crashes trancon]], 1)</f>
        <v>1</v>
      </c>
      <c r="AC6" s="23">
        <f>(Tableau14[[#This Row],[F&amp;S crashes tronçon ]]/Tableau14[[#This Row],[BILLION VEH KM TRAVELLED2015]])</f>
        <v>77.705823624098585</v>
      </c>
      <c r="AD6" s="26" t="s">
        <v>144</v>
      </c>
      <c r="AE6" s="27">
        <f>Tableau14[[#This Row],[F&amp;S crashes tronçon ]]/Tableau14[[#This Row],[LENTGH SECTION(KM)]]</f>
        <v>0.13392831819084267</v>
      </c>
      <c r="AF6" s="8" t="s">
        <v>144</v>
      </c>
      <c r="AG6" s="8">
        <v>1.56</v>
      </c>
      <c r="AH6" s="8" t="s">
        <v>212</v>
      </c>
      <c r="AI6" s="8" t="s">
        <v>212</v>
      </c>
      <c r="AJ6" s="8" t="s">
        <v>212</v>
      </c>
      <c r="AK6" s="8" t="s">
        <v>211</v>
      </c>
      <c r="AL6" s="8">
        <v>1</v>
      </c>
      <c r="AM6" s="8">
        <v>44607</v>
      </c>
      <c r="AN6" s="8">
        <v>64511</v>
      </c>
      <c r="AO6" s="8">
        <v>36560</v>
      </c>
      <c r="AP6" s="8">
        <v>327</v>
      </c>
      <c r="AQ6" s="8">
        <v>136</v>
      </c>
      <c r="AR6" s="8">
        <v>181</v>
      </c>
      <c r="AS6" s="8">
        <v>355</v>
      </c>
      <c r="AT6" s="8">
        <v>113</v>
      </c>
      <c r="AU6" s="8">
        <v>321</v>
      </c>
      <c r="AV6" s="44">
        <f>IF(Tableau14[[#This Row],[Moyenne Journalière Infrations 2016]]&gt;0, Tableau14[[#This Row],[Moyenne Journalière Infrations 2016]]-Tableau14[[#This Row],[Moyenne Journalière Infrations 2017]],0)</f>
        <v>68</v>
      </c>
      <c r="AW6" s="44">
        <f>IF(Tableau14[[#This Row],[Moyenne Journalière Infrations 2015]]&gt;0, Tableau14[[#This Row],[Moyenne Journalière Infrations 2015]]-Tableau14[[#This Row],[Moyenne Journalière Infrations 2016]],0)</f>
        <v>146</v>
      </c>
      <c r="AX6" s="8">
        <v>2</v>
      </c>
      <c r="AY6" s="8" t="s">
        <v>385</v>
      </c>
      <c r="AZ6" s="8" t="s">
        <v>371</v>
      </c>
      <c r="BA6" s="8" t="s">
        <v>376</v>
      </c>
      <c r="BB6" s="8">
        <v>1</v>
      </c>
      <c r="BC6" s="8">
        <v>1</v>
      </c>
      <c r="BD6" s="8">
        <f>Tableau14[[#This Row],[S crashes2016]]+Tableau14[[#This Row],[F crashes2016]]</f>
        <v>2</v>
      </c>
      <c r="BE6" s="12">
        <f>IF(Tableau14[[#This Row],[F crashes2016]] &lt;&gt; 0, Tableau14[[#This Row],[F &amp; S crashes2016]]/Tableau14[[#This Row],[F crashes2016]], 1)</f>
        <v>2</v>
      </c>
      <c r="BF6" s="8">
        <v>4849</v>
      </c>
      <c r="BG6" s="8">
        <v>108618</v>
      </c>
      <c r="BH6" s="8">
        <f>(Tableau14[[#This Row],[VEHIC KM / JOUR2016]]*365)/1000000000</f>
        <v>3.9645569999999998E-2</v>
      </c>
      <c r="BI6" s="8">
        <f>(Tableau14[[#This Row],[F &amp; S crashes2016]]/Tableau14[[#This Row],[BILLION VEH KM TRAVELLED2016]])</f>
        <v>50.446998239651997</v>
      </c>
      <c r="BJ6" s="44" t="s">
        <v>144</v>
      </c>
      <c r="BK6" s="8">
        <f>Tableau14[[#This Row],[F &amp; S crashes2016]]/4</f>
        <v>0.5</v>
      </c>
      <c r="BL6" s="27">
        <f>Tableau14[[#This Row],[CRASH RISK2016]]-Tableau14[[#This Row],[CRASH RISK2015]]</f>
        <v>-1.3568841764137289</v>
      </c>
      <c r="BM6" s="27">
        <f>Tableau14[[#This Row],[CRASH DENSITY2016]]-Tableau14[[#This Row],[CRASH DENSITY2015]]</f>
        <v>0</v>
      </c>
    </row>
    <row r="7" spans="1:65" ht="28.8" x14ac:dyDescent="0.3">
      <c r="A7" s="28">
        <f t="shared" si="0"/>
        <v>6</v>
      </c>
      <c r="B7" s="8" t="s">
        <v>121</v>
      </c>
      <c r="C7" s="11" t="s">
        <v>75</v>
      </c>
      <c r="D7" s="8" t="s">
        <v>76</v>
      </c>
      <c r="E7" s="8" t="s">
        <v>77</v>
      </c>
      <c r="F7" s="8">
        <v>700.2</v>
      </c>
      <c r="G7" s="22" t="s">
        <v>134</v>
      </c>
      <c r="H7" s="8">
        <v>0</v>
      </c>
      <c r="I7" s="8">
        <v>0</v>
      </c>
      <c r="J7" s="8">
        <f>Tableau14[[#This Row],[F crashes2015]]+Tableau14[[#This Row],[S crashes2015]]</f>
        <v>0</v>
      </c>
      <c r="K7" s="12">
        <f>IF(Tableau14[[#This Row],[F crashes2015]] &lt;&gt; 0, Tableau14[[#This Row],[F &amp; S crashes2015]]/Tableau14[[#This Row],[F crashes2015]], 1)</f>
        <v>1</v>
      </c>
      <c r="L7" s="8">
        <v>3797</v>
      </c>
      <c r="M7" s="8">
        <v>202380</v>
      </c>
      <c r="N7" s="8">
        <f>(Tableau14[[#This Row],[VEHIC KM / JOUR2015]]*365)/1000000000</f>
        <v>7.3868699999999995E-2</v>
      </c>
      <c r="O7" s="8">
        <f>(Tableau14[[#This Row],[F &amp; S crashes2015]]/Tableau14[[#This Row],[BILLION VEH KM TRAVELLED2015]])</f>
        <v>0</v>
      </c>
      <c r="P7" s="11" t="s">
        <v>143</v>
      </c>
      <c r="Q7" s="11">
        <f>Tableau14[[#This Row],[F &amp; S crashes2015]]/4</f>
        <v>0</v>
      </c>
      <c r="R7" s="11" t="s">
        <v>143</v>
      </c>
      <c r="S7" s="23">
        <f>Tableau14[[#This Row],[VEHIC KM / JOUR2015]]/Tableau14[[#This Row],[TMJA2015 (vehi/jour)]]</f>
        <v>53.299973663418491</v>
      </c>
      <c r="T7" s="8">
        <v>1</v>
      </c>
      <c r="U7" s="8">
        <v>1</v>
      </c>
      <c r="V7" s="8">
        <v>60</v>
      </c>
      <c r="W7" s="8">
        <v>686.7</v>
      </c>
      <c r="X7" s="8">
        <v>740</v>
      </c>
      <c r="Y7" s="8">
        <v>4</v>
      </c>
      <c r="Z7" s="8">
        <v>8</v>
      </c>
      <c r="AA7" s="8">
        <f>Tableau14[[#This Row],[F Crashes trancon]]+Tableau14[[#This Row],[S crashes trancon]]</f>
        <v>12</v>
      </c>
      <c r="AB7" s="24">
        <f>IF(Tableau14[[#This Row],[F Crashes trancon]]&lt;&gt; 0, Tableau14[[#This Row],[F&amp;S crashes tronçon ]]/Tableau14[[#This Row],[F Crashes trancon]], 1)</f>
        <v>3</v>
      </c>
      <c r="AC7" s="25">
        <f>(Tableau14[[#This Row],[F&amp;S crashes tronçon ]]/Tableau14[[#This Row],[BILLION VEH KM TRAVELLED2015]])</f>
        <v>162.45040186168163</v>
      </c>
      <c r="AD7" s="26" t="s">
        <v>144</v>
      </c>
      <c r="AE7" s="27">
        <f>Tableau14[[#This Row],[F&amp;S crashes tronçon ]]/Tableau14[[#This Row],[LENTGH SECTION(KM)]]</f>
        <v>0.22514082419211384</v>
      </c>
      <c r="AF7" s="8" t="s">
        <v>147</v>
      </c>
      <c r="AG7" s="8">
        <v>0.44</v>
      </c>
      <c r="AH7" s="8" t="s">
        <v>212</v>
      </c>
      <c r="AI7" s="8" t="s">
        <v>212</v>
      </c>
      <c r="AJ7" s="8" t="s">
        <v>212</v>
      </c>
      <c r="AK7" s="8" t="s">
        <v>212</v>
      </c>
      <c r="AL7" s="8">
        <v>5.68</v>
      </c>
      <c r="AM7" s="8">
        <v>41748</v>
      </c>
      <c r="AN7" s="8">
        <v>28645</v>
      </c>
      <c r="AO7" s="8">
        <v>22341</v>
      </c>
      <c r="AP7" s="8">
        <v>342</v>
      </c>
      <c r="AQ7" s="8">
        <v>122</v>
      </c>
      <c r="AR7" s="8">
        <v>130</v>
      </c>
      <c r="AS7" s="8">
        <v>220</v>
      </c>
      <c r="AT7" s="8">
        <v>61</v>
      </c>
      <c r="AU7" s="8">
        <v>364</v>
      </c>
      <c r="AV7" s="44">
        <f>IF(Tableau14[[#This Row],[Moyenne Journalière Infrations 2016]]&gt;0, Tableau14[[#This Row],[Moyenne Journalière Infrations 2016]]-Tableau14[[#This Row],[Moyenne Journalière Infrations 2017]],0)</f>
        <v>69</v>
      </c>
      <c r="AW7" s="44">
        <f>IF(Tableau14[[#This Row],[Moyenne Journalière Infrations 2015]]&gt;0, Tableau14[[#This Row],[Moyenne Journalière Infrations 2015]]-Tableau14[[#This Row],[Moyenne Journalière Infrations 2016]],0)</f>
        <v>212</v>
      </c>
      <c r="AX7" s="8">
        <v>2</v>
      </c>
      <c r="AY7" s="8" t="s">
        <v>384</v>
      </c>
      <c r="AZ7" s="8" t="s">
        <v>371</v>
      </c>
      <c r="BA7" s="8" t="s">
        <v>377</v>
      </c>
      <c r="BB7" s="8">
        <v>0</v>
      </c>
      <c r="BC7" s="8">
        <v>0</v>
      </c>
      <c r="BD7" s="8">
        <f>Tableau14[[#This Row],[S crashes2016]]+Tableau14[[#This Row],[F crashes2016]]</f>
        <v>0</v>
      </c>
      <c r="BE7" s="12">
        <f>IF(Tableau14[[#This Row],[F crashes2016]] &lt;&gt; 0, Tableau14[[#This Row],[F &amp; S crashes2016]]/Tableau14[[#This Row],[F crashes2016]], 1)</f>
        <v>1</v>
      </c>
      <c r="BF7" s="8">
        <v>3657</v>
      </c>
      <c r="BG7" s="8">
        <v>194918</v>
      </c>
      <c r="BH7" s="8">
        <f>(Tableau14[[#This Row],[VEHIC KM / JOUR2016]]*365)/1000000000</f>
        <v>7.1145070000000005E-2</v>
      </c>
      <c r="BI7" s="8">
        <f>(Tableau14[[#This Row],[F &amp; S crashes2016]]/Tableau14[[#This Row],[BILLION VEH KM TRAVELLED2016]])</f>
        <v>0</v>
      </c>
      <c r="BJ7" s="8" t="s">
        <v>143</v>
      </c>
      <c r="BK7" s="8">
        <f>Tableau14[[#This Row],[F &amp; S crashes2016]]/4</f>
        <v>0</v>
      </c>
      <c r="BL7" s="27">
        <f>Tableau14[[#This Row],[CRASH RISK2016]]-Tableau14[[#This Row],[CRASH RISK2015]]</f>
        <v>0</v>
      </c>
      <c r="BM7" s="27">
        <f>Tableau14[[#This Row],[CRASH DENSITY2016]]-Tableau14[[#This Row],[CRASH DENSITY2015]]</f>
        <v>0</v>
      </c>
    </row>
    <row r="8" spans="1:65" ht="28.8" x14ac:dyDescent="0.3">
      <c r="A8" s="28">
        <f t="shared" si="0"/>
        <v>7</v>
      </c>
      <c r="B8" s="8" t="s">
        <v>111</v>
      </c>
      <c r="C8" s="11" t="s">
        <v>49</v>
      </c>
      <c r="D8" s="8" t="s">
        <v>47</v>
      </c>
      <c r="E8" s="8" t="s">
        <v>48</v>
      </c>
      <c r="F8" s="8">
        <v>98.8</v>
      </c>
      <c r="G8" s="22" t="s">
        <v>134</v>
      </c>
      <c r="H8" s="8">
        <v>2</v>
      </c>
      <c r="I8" s="8">
        <v>0</v>
      </c>
      <c r="J8" s="8">
        <f>Tableau14[[#This Row],[F crashes2015]]+Tableau14[[#This Row],[S crashes2015]]</f>
        <v>2</v>
      </c>
      <c r="K8" s="12">
        <f>IF(Tableau14[[#This Row],[F crashes2015]] &lt;&gt; 0, Tableau14[[#This Row],[F &amp; S crashes2015]]/Tableau14[[#This Row],[F crashes2015]], 1)</f>
        <v>1</v>
      </c>
      <c r="L8" s="8">
        <v>9899</v>
      </c>
      <c r="M8" s="8">
        <v>294990</v>
      </c>
      <c r="N8" s="8">
        <f>(Tableau14[[#This Row],[VEHIC KM / JOUR2015]]*365)/1000000000</f>
        <v>0.10767135</v>
      </c>
      <c r="O8" s="23">
        <f>(Tableau14[[#This Row],[F &amp; S crashes2015]]/Tableau14[[#This Row],[BILLION VEH KM TRAVELLED2015]])</f>
        <v>18.575043407554563</v>
      </c>
      <c r="P8" s="11" t="s">
        <v>144</v>
      </c>
      <c r="Q8" s="11">
        <f>Tableau14[[#This Row],[F &amp; S crashes2015]]/4</f>
        <v>0.5</v>
      </c>
      <c r="R8" s="8" t="s">
        <v>144</v>
      </c>
      <c r="S8" s="23">
        <f>Tableau14[[#This Row],[VEHIC KM / JOUR2015]]/Tableau14[[#This Row],[TMJA2015 (vehi/jour)]]</f>
        <v>29.799979795938984</v>
      </c>
      <c r="T8" s="8">
        <v>1</v>
      </c>
      <c r="U8" s="8">
        <v>1</v>
      </c>
      <c r="V8" s="8">
        <v>60</v>
      </c>
      <c r="W8" s="8">
        <v>82</v>
      </c>
      <c r="X8" s="8">
        <v>111.8</v>
      </c>
      <c r="Y8" s="8">
        <v>11</v>
      </c>
      <c r="Z8" s="8">
        <v>11</v>
      </c>
      <c r="AA8" s="8">
        <f>Tableau14[[#This Row],[F Crashes trancon]]+Tableau14[[#This Row],[S crashes trancon]]</f>
        <v>22</v>
      </c>
      <c r="AB8" s="24">
        <f>IF(Tableau14[[#This Row],[F Crashes trancon]]&lt;&gt; 0, Tableau14[[#This Row],[F&amp;S crashes tronçon ]]/Tableau14[[#This Row],[F Crashes trancon]], 1)</f>
        <v>2</v>
      </c>
      <c r="AC8" s="23">
        <f>(Tableau14[[#This Row],[F&amp;S crashes tronçon ]]/Tableau14[[#This Row],[BILLION VEH KM TRAVELLED2015]])</f>
        <v>204.3254774831002</v>
      </c>
      <c r="AD8" s="26" t="s">
        <v>144</v>
      </c>
      <c r="AE8" s="27">
        <f>Tableau14[[#This Row],[F&amp;S crashes tronçon ]]/Tableau14[[#This Row],[LENTGH SECTION(KM)]]</f>
        <v>0.73825553408590117</v>
      </c>
      <c r="AF8" s="8" t="s">
        <v>144</v>
      </c>
      <c r="AG8" s="8">
        <v>1.56</v>
      </c>
      <c r="AH8" s="8" t="s">
        <v>212</v>
      </c>
      <c r="AI8" s="8" t="s">
        <v>212</v>
      </c>
      <c r="AJ8" s="8" t="s">
        <v>212</v>
      </c>
      <c r="AK8" s="8" t="s">
        <v>211</v>
      </c>
      <c r="AL8" s="8">
        <v>1</v>
      </c>
      <c r="AM8" s="8">
        <v>0</v>
      </c>
      <c r="AN8" s="8">
        <v>29524</v>
      </c>
      <c r="AO8" s="8">
        <v>13117</v>
      </c>
      <c r="AP8" s="44">
        <v>0</v>
      </c>
      <c r="AQ8" s="44">
        <v>0</v>
      </c>
      <c r="AR8" s="8">
        <v>125</v>
      </c>
      <c r="AS8" s="8">
        <v>235</v>
      </c>
      <c r="AT8" s="8">
        <v>39</v>
      </c>
      <c r="AU8" s="8">
        <v>332</v>
      </c>
      <c r="AV8" s="44">
        <f>IF(Tableau14[[#This Row],[Moyenne Journalière Infrations 2016]]&gt;0, Tableau14[[#This Row],[Moyenne Journalière Infrations 2016]]-Tableau14[[#This Row],[Moyenne Journalière Infrations 2017]],0)</f>
        <v>86</v>
      </c>
      <c r="AW8" s="44">
        <f>IF(Tableau14[[#This Row],[Moyenne Journalière Infrations 2015]]&gt;0, Tableau14[[#This Row],[Moyenne Journalière Infrations 2015]]-Tableau14[[#This Row],[Moyenne Journalière Infrations 2016]],0)</f>
        <v>0</v>
      </c>
      <c r="AX8" s="8">
        <v>2</v>
      </c>
      <c r="AY8" s="8" t="s">
        <v>385</v>
      </c>
      <c r="AZ8" s="8" t="s">
        <v>371</v>
      </c>
      <c r="BA8" s="8" t="s">
        <v>378</v>
      </c>
      <c r="BB8" s="8">
        <v>0</v>
      </c>
      <c r="BC8" s="8">
        <v>1</v>
      </c>
      <c r="BD8" s="8">
        <f>Tableau14[[#This Row],[S crashes2016]]+Tableau14[[#This Row],[F crashes2016]]</f>
        <v>1</v>
      </c>
      <c r="BE8" s="12">
        <f>IF(Tableau14[[#This Row],[F crashes2016]] &lt;&gt; 0, Tableau14[[#This Row],[F &amp; S crashes2016]]/Tableau14[[#This Row],[F crashes2016]], 1)</f>
        <v>1</v>
      </c>
      <c r="BF8" s="8">
        <v>10166</v>
      </c>
      <c r="BG8" s="8">
        <v>302947</v>
      </c>
      <c r="BH8" s="8">
        <f>(Tableau14[[#This Row],[VEHIC KM / JOUR2016]]*365)/1000000000</f>
        <v>0.11057565499999999</v>
      </c>
      <c r="BI8" s="8">
        <f>(Tableau14[[#This Row],[F &amp; S crashes2016]]/Tableau14[[#This Row],[BILLION VEH KM TRAVELLED2016]])</f>
        <v>9.0435819710948131</v>
      </c>
      <c r="BJ8" t="s">
        <v>146</v>
      </c>
      <c r="BK8" s="8">
        <f>Tableau14[[#This Row],[F &amp; S crashes2016]]/4</f>
        <v>0.25</v>
      </c>
      <c r="BL8" s="27">
        <f>Tableau14[[#This Row],[CRASH RISK2016]]-Tableau14[[#This Row],[CRASH RISK2015]]</f>
        <v>-9.5314614364597503</v>
      </c>
      <c r="BM8" s="27">
        <f>Tableau14[[#This Row],[CRASH DENSITY2016]]-Tableau14[[#This Row],[CRASH DENSITY2015]]</f>
        <v>-0.25</v>
      </c>
    </row>
    <row r="9" spans="1:65" ht="28.8" x14ac:dyDescent="0.3">
      <c r="A9" s="28">
        <f t="shared" si="0"/>
        <v>8</v>
      </c>
      <c r="B9" s="8" t="s">
        <v>112</v>
      </c>
      <c r="C9" s="11" t="s">
        <v>50</v>
      </c>
      <c r="D9" s="8" t="s">
        <v>47</v>
      </c>
      <c r="E9" s="8" t="s">
        <v>51</v>
      </c>
      <c r="F9" s="8">
        <v>98.7</v>
      </c>
      <c r="G9" s="22" t="s">
        <v>134</v>
      </c>
      <c r="H9" s="8">
        <v>2</v>
      </c>
      <c r="I9" s="8">
        <v>0</v>
      </c>
      <c r="J9" s="8">
        <f>Tableau14[[#This Row],[F crashes2015]]+Tableau14[[#This Row],[S crashes2015]]</f>
        <v>2</v>
      </c>
      <c r="K9" s="12">
        <f>IF(Tableau14[[#This Row],[F crashes2015]] &lt;&gt; 0, Tableau14[[#This Row],[F &amp; S crashes2015]]/Tableau14[[#This Row],[F crashes2015]], 1)</f>
        <v>1</v>
      </c>
      <c r="L9" s="8">
        <v>9899</v>
      </c>
      <c r="M9" s="8">
        <v>294990</v>
      </c>
      <c r="N9" s="8">
        <f>(Tableau14[[#This Row],[VEHIC KM / JOUR2015]]*365)/1000000000</f>
        <v>0.10767135</v>
      </c>
      <c r="O9" s="23">
        <f>(Tableau14[[#This Row],[F &amp; S crashes2015]]/Tableau14[[#This Row],[BILLION VEH KM TRAVELLED2015]])</f>
        <v>18.575043407554563</v>
      </c>
      <c r="P9" s="11" t="s">
        <v>144</v>
      </c>
      <c r="Q9" s="11">
        <f>Tableau14[[#This Row],[F &amp; S crashes2015]]/4</f>
        <v>0.5</v>
      </c>
      <c r="R9" s="8" t="s">
        <v>144</v>
      </c>
      <c r="S9" s="23">
        <f>Tableau14[[#This Row],[VEHIC KM / JOUR2015]]/Tableau14[[#This Row],[TMJA2015 (vehi/jour)]]</f>
        <v>29.799979795938984</v>
      </c>
      <c r="T9" s="8">
        <v>1</v>
      </c>
      <c r="U9" s="8">
        <v>1</v>
      </c>
      <c r="V9" s="8">
        <v>60</v>
      </c>
      <c r="W9" s="8">
        <v>82</v>
      </c>
      <c r="X9" s="8">
        <v>111.8</v>
      </c>
      <c r="Y9" s="8">
        <v>11</v>
      </c>
      <c r="Z9" s="8">
        <v>11</v>
      </c>
      <c r="AA9" s="8">
        <f>Tableau14[[#This Row],[F Crashes trancon]]+Tableau14[[#This Row],[S crashes trancon]]</f>
        <v>22</v>
      </c>
      <c r="AB9" s="24">
        <f>IF(Tableau14[[#This Row],[F Crashes trancon]]&lt;&gt; 0, Tableau14[[#This Row],[F&amp;S crashes tronçon ]]/Tableau14[[#This Row],[F Crashes trancon]], 1)</f>
        <v>2</v>
      </c>
      <c r="AC9" s="23">
        <f>(Tableau14[[#This Row],[F&amp;S crashes tronçon ]]/Tableau14[[#This Row],[BILLION VEH KM TRAVELLED2015]])</f>
        <v>204.3254774831002</v>
      </c>
      <c r="AD9" s="26" t="s">
        <v>144</v>
      </c>
      <c r="AE9" s="27">
        <f>Tableau14[[#This Row],[F&amp;S crashes tronçon ]]/Tableau14[[#This Row],[LENTGH SECTION(KM)]]</f>
        <v>0.73825553408590117</v>
      </c>
      <c r="AF9" s="8" t="s">
        <v>144</v>
      </c>
      <c r="AG9" s="8">
        <v>1.56</v>
      </c>
      <c r="AH9" s="8" t="s">
        <v>212</v>
      </c>
      <c r="AI9" s="8" t="s">
        <v>212</v>
      </c>
      <c r="AJ9" s="8" t="s">
        <v>212</v>
      </c>
      <c r="AK9" s="8" t="s">
        <v>211</v>
      </c>
      <c r="AL9" s="8">
        <v>1</v>
      </c>
      <c r="AM9" s="8">
        <v>48006</v>
      </c>
      <c r="AN9" s="8">
        <v>54953</v>
      </c>
      <c r="AO9" s="8">
        <v>24954</v>
      </c>
      <c r="AP9" s="8">
        <v>135</v>
      </c>
      <c r="AQ9" s="8">
        <v>354</v>
      </c>
      <c r="AR9" s="8">
        <v>174</v>
      </c>
      <c r="AS9" s="8">
        <v>315</v>
      </c>
      <c r="AT9" s="8">
        <v>96</v>
      </c>
      <c r="AU9" s="8">
        <v>259</v>
      </c>
      <c r="AV9" s="44">
        <f>IF(Tableau14[[#This Row],[Moyenne Journalière Infrations 2016]]&gt;0, Tableau14[[#This Row],[Moyenne Journalière Infrations 2016]]-Tableau14[[#This Row],[Moyenne Journalière Infrations 2017]],0)</f>
        <v>78</v>
      </c>
      <c r="AW9" s="44">
        <f>IF(Tableau14[[#This Row],[Moyenne Journalière Infrations 2015]]&gt;0, Tableau14[[#This Row],[Moyenne Journalière Infrations 2015]]-Tableau14[[#This Row],[Moyenne Journalière Infrations 2016]],0)</f>
        <v>-39</v>
      </c>
      <c r="AX9" s="8">
        <v>2</v>
      </c>
      <c r="AY9" s="8" t="s">
        <v>385</v>
      </c>
      <c r="AZ9" s="8" t="s">
        <v>371</v>
      </c>
      <c r="BA9" s="8" t="s">
        <v>379</v>
      </c>
      <c r="BB9" s="8">
        <v>0</v>
      </c>
      <c r="BC9" s="8">
        <v>1</v>
      </c>
      <c r="BD9" s="8">
        <f>Tableau14[[#This Row],[S crashes2016]]+Tableau14[[#This Row],[F crashes2016]]</f>
        <v>1</v>
      </c>
      <c r="BE9" s="12">
        <f>IF(Tableau14[[#This Row],[F crashes2016]] &lt;&gt; 0, Tableau14[[#This Row],[F &amp; S crashes2016]]/Tableau14[[#This Row],[F crashes2016]], 1)</f>
        <v>1</v>
      </c>
      <c r="BF9" s="8">
        <v>10166</v>
      </c>
      <c r="BG9" s="8">
        <v>302947</v>
      </c>
      <c r="BH9" s="8">
        <f>(Tableau14[[#This Row],[VEHIC KM / JOUR2016]]*365)/1000000000</f>
        <v>0.11057565499999999</v>
      </c>
      <c r="BI9" s="8">
        <f>(Tableau14[[#This Row],[F &amp; S crashes2016]]/Tableau14[[#This Row],[BILLION VEH KM TRAVELLED2016]])</f>
        <v>9.0435819710948131</v>
      </c>
      <c r="BJ9" t="s">
        <v>146</v>
      </c>
      <c r="BK9" s="8">
        <f>Tableau14[[#This Row],[F &amp; S crashes2016]]/4</f>
        <v>0.25</v>
      </c>
      <c r="BL9" s="27">
        <f>Tableau14[[#This Row],[CRASH RISK2016]]-Tableau14[[#This Row],[CRASH RISK2015]]</f>
        <v>-9.5314614364597503</v>
      </c>
      <c r="BM9" s="27">
        <f>Tableau14[[#This Row],[CRASH DENSITY2016]]-Tableau14[[#This Row],[CRASH DENSITY2015]]</f>
        <v>-0.25</v>
      </c>
    </row>
    <row r="10" spans="1:65" ht="28.8" x14ac:dyDescent="0.3">
      <c r="A10" s="28">
        <f t="shared" si="0"/>
        <v>9</v>
      </c>
      <c r="B10" s="8" t="s">
        <v>300</v>
      </c>
      <c r="C10" s="11" t="s">
        <v>327</v>
      </c>
      <c r="D10" s="49" t="s">
        <v>336</v>
      </c>
      <c r="E10" s="50" t="s">
        <v>337</v>
      </c>
      <c r="F10" s="8">
        <v>103.1</v>
      </c>
      <c r="G10" s="8" t="s">
        <v>134</v>
      </c>
      <c r="H10" s="8">
        <v>0</v>
      </c>
      <c r="I10" s="8">
        <v>2</v>
      </c>
      <c r="J10" s="8">
        <f>Tableau14[[#This Row],[F crashes2015]]+Tableau14[[#This Row],[S crashes2015]]</f>
        <v>2</v>
      </c>
      <c r="K10" s="33">
        <f>IF(Tableau14[[#This Row],[F crashes2015]] &lt;&gt; 0, Tableau14[[#This Row],[F &amp; S crashes2015]]/Tableau14[[#This Row],[F crashes2015]], 1)</f>
        <v>1</v>
      </c>
      <c r="L10" s="8">
        <v>9899</v>
      </c>
      <c r="M10" s="8">
        <v>294990</v>
      </c>
      <c r="N10" s="26">
        <f>(Tableau14[[#This Row],[VEHIC KM / JOUR2015]]*365)/1000000000</f>
        <v>0.10767135</v>
      </c>
      <c r="O10" s="26">
        <f>(Tableau14[[#This Row],[F &amp; S crashes2015]]/Tableau14[[#This Row],[BILLION VEH KM TRAVELLED2015]])</f>
        <v>18.575043407554563</v>
      </c>
      <c r="P10" s="11" t="s">
        <v>144</v>
      </c>
      <c r="Q10" s="34">
        <f>Tableau14[[#This Row],[F &amp; S crashes2015]]/4</f>
        <v>0.5</v>
      </c>
      <c r="R10" s="11"/>
      <c r="S10" s="23">
        <f>Tableau14[[#This Row],[VEHIC KM / JOUR2015]]/Tableau14[[#This Row],[TMJA2015 (vehi/jour)]]</f>
        <v>29.799979795938984</v>
      </c>
      <c r="T10" s="8"/>
      <c r="U10" s="8"/>
      <c r="V10" s="8">
        <v>60</v>
      </c>
      <c r="W10" s="8"/>
      <c r="X10" s="8"/>
      <c r="Y10" s="8"/>
      <c r="Z10" s="8"/>
      <c r="AA10" s="26">
        <f>Tableau14[[#This Row],[F Crashes trancon]]+Tableau14[[#This Row],[S crashes trancon]]</f>
        <v>0</v>
      </c>
      <c r="AB10" s="23">
        <f>IF(Tableau14[[#This Row],[F Crashes trancon]]&lt;&gt; 0, Tableau14[[#This Row],[F&amp;S crashes tronçon ]]/Tableau14[[#This Row],[F Crashes trancon]], 1)</f>
        <v>1</v>
      </c>
      <c r="AC10" s="23">
        <f>(Tableau14[[#This Row],[F&amp;S crashes tronçon ]]/Tableau14[[#This Row],[BILLION VEH KM TRAVELLED2015]])</f>
        <v>0</v>
      </c>
      <c r="AD10" s="26"/>
      <c r="AE10" s="27">
        <f>Tableau14[[#This Row],[F&amp;S crashes tronçon ]]/Tableau14[[#This Row],[LENTGH SECTION(KM)]]</f>
        <v>0</v>
      </c>
      <c r="AF10" s="8"/>
      <c r="AG10" s="8">
        <v>14</v>
      </c>
      <c r="AH10" s="8" t="s">
        <v>212</v>
      </c>
      <c r="AI10" s="8" t="s">
        <v>212</v>
      </c>
      <c r="AJ10" s="8" t="s">
        <v>212</v>
      </c>
      <c r="AK10" s="8" t="s">
        <v>212</v>
      </c>
      <c r="AL10" s="8">
        <v>12.2</v>
      </c>
      <c r="AM10" s="8"/>
      <c r="AN10" s="8"/>
      <c r="AO10" s="8"/>
      <c r="AP10" s="44">
        <v>0</v>
      </c>
      <c r="AQ10" s="44">
        <v>0</v>
      </c>
      <c r="AR10" s="8">
        <v>0</v>
      </c>
      <c r="AS10" s="8">
        <v>0</v>
      </c>
      <c r="AT10" s="8">
        <v>0</v>
      </c>
      <c r="AU10" s="8">
        <v>0</v>
      </c>
      <c r="AV10" s="44">
        <f>IF(Tableau14[[#This Row],[Moyenne Journalière Infrations 2016]]&gt;0, Tableau14[[#This Row],[Moyenne Journalière Infrations 2016]]-Tableau14[[#This Row],[Moyenne Journalière Infrations 2017]],0)</f>
        <v>0</v>
      </c>
      <c r="AW10" s="44">
        <f>IF(Tableau14[[#This Row],[Moyenne Journalière Infrations 2015]]&gt;0, Tableau14[[#This Row],[Moyenne Journalière Infrations 2015]]-Tableau14[[#This Row],[Moyenne Journalière Infrations 2016]],0)</f>
        <v>0</v>
      </c>
      <c r="AX10" s="8" t="s">
        <v>218</v>
      </c>
      <c r="AY10" s="8" t="s">
        <v>218</v>
      </c>
      <c r="AZ10" s="8" t="s">
        <v>218</v>
      </c>
      <c r="BA10" s="8" t="s">
        <v>218</v>
      </c>
      <c r="BB10" s="8">
        <v>1</v>
      </c>
      <c r="BC10" s="8">
        <v>8</v>
      </c>
      <c r="BD10" s="8">
        <f>Tableau14[[#This Row],[S crashes2016]]+Tableau14[[#This Row],[F crashes2016]]</f>
        <v>9</v>
      </c>
      <c r="BE10" s="12">
        <f>IF(Tableau14[[#This Row],[F crashes2016]] &lt;&gt; 0, Tableau14[[#This Row],[F &amp; S crashes2016]]/Tableau14[[#This Row],[F crashes2016]], 1)</f>
        <v>9</v>
      </c>
      <c r="BF10" s="8">
        <v>10166</v>
      </c>
      <c r="BG10" s="8">
        <v>302947</v>
      </c>
      <c r="BH10" s="8">
        <f>(Tableau14[[#This Row],[VEHIC KM / JOUR2016]]*365)/1000000000</f>
        <v>0.11057565499999999</v>
      </c>
      <c r="BI10" s="8">
        <f>(Tableau14[[#This Row],[F &amp; S crashes2016]]/Tableau14[[#This Row],[BILLION VEH KM TRAVELLED2016]])</f>
        <v>81.392237739853314</v>
      </c>
      <c r="BJ10" t="s">
        <v>146</v>
      </c>
      <c r="BK10" s="8">
        <f>Tableau14[[#This Row],[F &amp; S crashes2016]]/4</f>
        <v>2.25</v>
      </c>
      <c r="BL10" s="27">
        <f>Tableau14[[#This Row],[CRASH RISK2016]]-Tableau14[[#This Row],[CRASH RISK2015]]</f>
        <v>62.817194332298754</v>
      </c>
      <c r="BM10" s="27">
        <f>Tableau14[[#This Row],[CRASH DENSITY2016]]-Tableau14[[#This Row],[CRASH DENSITY2015]]</f>
        <v>1.75</v>
      </c>
    </row>
    <row r="11" spans="1:65" ht="28.8" x14ac:dyDescent="0.3">
      <c r="A11" s="28">
        <f t="shared" si="0"/>
        <v>10</v>
      </c>
      <c r="B11" s="8" t="s">
        <v>301</v>
      </c>
      <c r="C11" s="11" t="s">
        <v>318</v>
      </c>
      <c r="D11" s="49" t="s">
        <v>338</v>
      </c>
      <c r="E11" s="50" t="s">
        <v>339</v>
      </c>
      <c r="F11" s="8">
        <v>248.5</v>
      </c>
      <c r="G11" s="8" t="s">
        <v>134</v>
      </c>
      <c r="H11" s="8">
        <v>5</v>
      </c>
      <c r="I11" s="8">
        <v>1</v>
      </c>
      <c r="J11" s="8">
        <f>Tableau14[[#This Row],[F crashes2015]]+Tableau14[[#This Row],[S crashes2015]]</f>
        <v>6</v>
      </c>
      <c r="K11" s="33">
        <f>IF(Tableau14[[#This Row],[F crashes2015]] &lt;&gt; 0, Tableau14[[#This Row],[F &amp; S crashes2015]]/Tableau14[[#This Row],[F crashes2015]], 1)</f>
        <v>1.2</v>
      </c>
      <c r="L11" s="8">
        <v>17711</v>
      </c>
      <c r="M11" s="8">
        <v>381672</v>
      </c>
      <c r="N11" s="26">
        <f>(Tableau14[[#This Row],[VEHIC KM / JOUR2015]]*365)/1000000000</f>
        <v>0.13931028000000001</v>
      </c>
      <c r="O11" s="26">
        <f>(Tableau14[[#This Row],[F &amp; S crashes2015]]/Tableau14[[#This Row],[BILLION VEH KM TRAVELLED2015]])</f>
        <v>43.069326972855123</v>
      </c>
      <c r="P11" s="11" t="s">
        <v>144</v>
      </c>
      <c r="Q11" s="34">
        <f>Tableau14[[#This Row],[F &amp; S crashes2015]]/4</f>
        <v>1.5</v>
      </c>
      <c r="R11" s="11"/>
      <c r="S11" s="23">
        <f>Tableau14[[#This Row],[VEHIC KM / JOUR2015]]/Tableau14[[#This Row],[TMJA2015 (vehi/jour)]]</f>
        <v>21.549997176895715</v>
      </c>
      <c r="T11" s="8"/>
      <c r="U11" s="8"/>
      <c r="V11" s="8">
        <v>60</v>
      </c>
      <c r="W11" s="8"/>
      <c r="X11" s="8"/>
      <c r="Y11" s="8"/>
      <c r="Z11" s="8"/>
      <c r="AA11" s="26">
        <f>Tableau14[[#This Row],[F Crashes trancon]]+Tableau14[[#This Row],[S crashes trancon]]</f>
        <v>0</v>
      </c>
      <c r="AB11" s="23">
        <f>IF(Tableau14[[#This Row],[F Crashes trancon]]&lt;&gt; 0, Tableau14[[#This Row],[F&amp;S crashes tronçon ]]/Tableau14[[#This Row],[F Crashes trancon]], 1)</f>
        <v>1</v>
      </c>
      <c r="AC11" s="23">
        <f>(Tableau14[[#This Row],[F&amp;S crashes tronçon ]]/Tableau14[[#This Row],[BILLION VEH KM TRAVELLED2015]])</f>
        <v>0</v>
      </c>
      <c r="AD11" s="26"/>
      <c r="AE11" s="27">
        <f>Tableau14[[#This Row],[F&amp;S crashes tronçon ]]/Tableau14[[#This Row],[LENTGH SECTION(KM)]]</f>
        <v>0</v>
      </c>
      <c r="AF11" s="8"/>
      <c r="AG11" s="8">
        <v>24</v>
      </c>
      <c r="AH11" s="8" t="s">
        <v>212</v>
      </c>
      <c r="AI11" s="8" t="s">
        <v>212</v>
      </c>
      <c r="AJ11" s="8" t="s">
        <v>212</v>
      </c>
      <c r="AK11" s="8" t="s">
        <v>211</v>
      </c>
      <c r="AL11" s="8">
        <v>1</v>
      </c>
      <c r="AM11" s="8"/>
      <c r="AN11" s="8"/>
      <c r="AO11" s="8"/>
      <c r="AP11" s="44">
        <v>0</v>
      </c>
      <c r="AQ11" s="44">
        <v>0</v>
      </c>
      <c r="AR11" s="8">
        <v>0</v>
      </c>
      <c r="AS11" s="8">
        <v>0</v>
      </c>
      <c r="AT11" s="8">
        <v>0</v>
      </c>
      <c r="AU11" s="8">
        <v>0</v>
      </c>
      <c r="AV11" s="44">
        <f>IF(Tableau14[[#This Row],[Moyenne Journalière Infrations 2016]]&gt;0, Tableau14[[#This Row],[Moyenne Journalière Infrations 2016]]-Tableau14[[#This Row],[Moyenne Journalière Infrations 2017]],0)</f>
        <v>0</v>
      </c>
      <c r="AW11" s="44">
        <f>IF(Tableau14[[#This Row],[Moyenne Journalière Infrations 2015]]&gt;0, Tableau14[[#This Row],[Moyenne Journalière Infrations 2015]]-Tableau14[[#This Row],[Moyenne Journalière Infrations 2016]],0)</f>
        <v>0</v>
      </c>
      <c r="AX11" s="8" t="s">
        <v>218</v>
      </c>
      <c r="AY11" s="8" t="s">
        <v>218</v>
      </c>
      <c r="AZ11" s="8" t="s">
        <v>218</v>
      </c>
      <c r="BA11" s="8" t="s">
        <v>218</v>
      </c>
      <c r="BB11" s="8">
        <v>3</v>
      </c>
      <c r="BC11" s="8">
        <v>3</v>
      </c>
      <c r="BD11" s="8">
        <f>Tableau14[[#This Row],[S crashes2016]]+Tableau14[[#This Row],[F crashes2016]]</f>
        <v>6</v>
      </c>
      <c r="BE11" s="12">
        <f>IF(Tableau14[[#This Row],[F crashes2016]] &lt;&gt; 0, Tableau14[[#This Row],[F &amp; S crashes2016]]/Tableau14[[#This Row],[F crashes2016]], 1)</f>
        <v>2</v>
      </c>
      <c r="BF11" s="8">
        <v>21361</v>
      </c>
      <c r="BG11" s="8">
        <v>460330</v>
      </c>
      <c r="BH11" s="8">
        <f>(Tableau14[[#This Row],[VEHIC KM / JOUR2016]]*365)/1000000000</f>
        <v>0.16802044999999999</v>
      </c>
      <c r="BI11" s="8">
        <f>(Tableau14[[#This Row],[F &amp; S crashes2016]]/Tableau14[[#This Row],[BILLION VEH KM TRAVELLED2016]])</f>
        <v>35.709938879463785</v>
      </c>
      <c r="BJ11" s="44" t="s">
        <v>144</v>
      </c>
      <c r="BK11" s="8">
        <f>Tableau14[[#This Row],[F &amp; S crashes2016]]/4</f>
        <v>1.5</v>
      </c>
      <c r="BL11" s="27">
        <f>Tableau14[[#This Row],[CRASH RISK2016]]-Tableau14[[#This Row],[CRASH RISK2015]]</f>
        <v>-7.3593880933913383</v>
      </c>
      <c r="BM11" s="27">
        <f>Tableau14[[#This Row],[CRASH DENSITY2016]]-Tableau14[[#This Row],[CRASH DENSITY2015]]</f>
        <v>0</v>
      </c>
    </row>
    <row r="12" spans="1:65" ht="28.8" x14ac:dyDescent="0.3">
      <c r="A12" s="28">
        <f t="shared" si="0"/>
        <v>11</v>
      </c>
      <c r="B12" s="8" t="s">
        <v>104</v>
      </c>
      <c r="C12" s="11" t="s">
        <v>31</v>
      </c>
      <c r="D12" s="8"/>
      <c r="E12" s="8"/>
      <c r="F12" s="8">
        <v>384.95</v>
      </c>
      <c r="G12" s="22" t="s">
        <v>134</v>
      </c>
      <c r="H12" s="8">
        <v>1</v>
      </c>
      <c r="I12" s="8">
        <v>6</v>
      </c>
      <c r="J12" s="8">
        <f>Tableau14[[#This Row],[F crashes2015]]+Tableau14[[#This Row],[S crashes2015]]</f>
        <v>7</v>
      </c>
      <c r="K12" s="12">
        <f>IF(Tableau14[[#This Row],[F crashes2015]] &lt;&gt; 0, Tableau14[[#This Row],[F &amp; S crashes2015]]/Tableau14[[#This Row],[F crashes2015]], 1)</f>
        <v>7</v>
      </c>
      <c r="L12" s="8">
        <v>15361</v>
      </c>
      <c r="M12" s="8">
        <v>41475</v>
      </c>
      <c r="N12" s="8">
        <f>(Tableau14[[#This Row],[VEHIC KM / JOUR2015]]*365)/1000000000</f>
        <v>1.5138375000000001E-2</v>
      </c>
      <c r="O12" s="23">
        <f>(Tableau14[[#This Row],[F &amp; S crashes2015]]/Tableau14[[#This Row],[BILLION VEH KM TRAVELLED2015]])</f>
        <v>462.401017282238</v>
      </c>
      <c r="P12" s="11" t="s">
        <v>144</v>
      </c>
      <c r="Q12" s="11">
        <f>Tableau14[[#This Row],[F &amp; S crashes2015]]/4</f>
        <v>1.75</v>
      </c>
      <c r="R12" s="8" t="s">
        <v>144</v>
      </c>
      <c r="S12" s="23">
        <f>Tableau14[[#This Row],[VEHIC KM / JOUR2015]]/Tableau14[[#This Row],[TMJA2015 (vehi/jour)]]</f>
        <v>2.7000195299785172</v>
      </c>
      <c r="T12" s="8">
        <v>1</v>
      </c>
      <c r="U12" s="8"/>
      <c r="V12" s="8">
        <v>60</v>
      </c>
      <c r="W12" s="8">
        <v>384.3</v>
      </c>
      <c r="X12" s="8">
        <v>387</v>
      </c>
      <c r="Y12" s="8">
        <v>1</v>
      </c>
      <c r="Z12" s="8">
        <v>4</v>
      </c>
      <c r="AA12" s="8">
        <f>Tableau14[[#This Row],[F Crashes trancon]]+Tableau14[[#This Row],[S crashes trancon]]</f>
        <v>5</v>
      </c>
      <c r="AB12" s="24">
        <f>IF(Tableau14[[#This Row],[F Crashes trancon]]&lt;&gt; 0, Tableau14[[#This Row],[F&amp;S crashes tronçon ]]/Tableau14[[#This Row],[F Crashes trancon]], 1)</f>
        <v>5</v>
      </c>
      <c r="AC12" s="23">
        <f>(Tableau14[[#This Row],[F&amp;S crashes tronçon ]]/Tableau14[[#This Row],[BILLION VEH KM TRAVELLED2015]])</f>
        <v>330.28644091588427</v>
      </c>
      <c r="AD12" s="26" t="s">
        <v>144</v>
      </c>
      <c r="AE12" s="27">
        <f>Tableau14[[#This Row],[F&amp;S crashes tronçon ]]/Tableau14[[#This Row],[LENTGH SECTION(KM)]]</f>
        <v>1.8518384569017479</v>
      </c>
      <c r="AF12" s="8" t="s">
        <v>144</v>
      </c>
      <c r="AG12" s="8"/>
      <c r="AH12" s="8" t="s">
        <v>212</v>
      </c>
      <c r="AI12" s="8" t="s">
        <v>212</v>
      </c>
      <c r="AJ12" s="8" t="s">
        <v>212</v>
      </c>
      <c r="AK12" s="8"/>
      <c r="AL12" s="8"/>
      <c r="AM12" s="8">
        <v>0</v>
      </c>
      <c r="AN12" s="8">
        <v>0</v>
      </c>
      <c r="AO12" s="8">
        <v>39139</v>
      </c>
      <c r="AP12" s="44">
        <v>0</v>
      </c>
      <c r="AQ12" s="44">
        <v>0</v>
      </c>
      <c r="AR12" s="8">
        <v>0</v>
      </c>
      <c r="AS12" s="8">
        <v>0</v>
      </c>
      <c r="AT12" s="8">
        <v>277</v>
      </c>
      <c r="AU12" s="8">
        <v>141</v>
      </c>
      <c r="AV12" s="44">
        <f>IF(Tableau14[[#This Row],[Moyenne Journalière Infrations 2016]]&gt;0, Tableau14[[#This Row],[Moyenne Journalière Infrations 2016]]-Tableau14[[#This Row],[Moyenne Journalière Infrations 2017]],0)</f>
        <v>0</v>
      </c>
      <c r="AW12" s="44">
        <f>IF(Tableau14[[#This Row],[Moyenne Journalière Infrations 2015]]&gt;0, Tableau14[[#This Row],[Moyenne Journalière Infrations 2015]]-Tableau14[[#This Row],[Moyenne Journalière Infrations 2016]],0)</f>
        <v>0</v>
      </c>
      <c r="AX12" s="8">
        <v>2</v>
      </c>
      <c r="AY12" s="8" t="s">
        <v>385</v>
      </c>
      <c r="AZ12" s="8" t="s">
        <v>371</v>
      </c>
      <c r="BA12" s="8" t="s">
        <v>380</v>
      </c>
      <c r="BB12" s="8">
        <v>1</v>
      </c>
      <c r="BC12" s="8">
        <v>1</v>
      </c>
      <c r="BD12" s="8">
        <f>Tableau14[[#This Row],[S crashes2016]]+Tableau14[[#This Row],[F crashes2016]]</f>
        <v>2</v>
      </c>
      <c r="BE12" s="12">
        <f>IF(Tableau14[[#This Row],[F crashes2016]] &lt;&gt; 0, Tableau14[[#This Row],[F &amp; S crashes2016]]/Tableau14[[#This Row],[F crashes2016]], 1)</f>
        <v>2</v>
      </c>
      <c r="BF12" s="8">
        <v>15894</v>
      </c>
      <c r="BG12" s="8">
        <v>42914</v>
      </c>
      <c r="BH12" s="8">
        <f>(Tableau14[[#This Row],[VEHIC KM / JOUR2016]]*365)/1000000000</f>
        <v>1.5663610000000001E-2</v>
      </c>
      <c r="BI12" s="8">
        <f>(Tableau14[[#This Row],[F &amp; S crashes2016]]/Tableau14[[#This Row],[BILLION VEH KM TRAVELLED2016]])</f>
        <v>127.68448652641376</v>
      </c>
      <c r="BJ12" s="44" t="s">
        <v>144</v>
      </c>
      <c r="BK12" s="8">
        <f>Tableau14[[#This Row],[F &amp; S crashes2016]]/4</f>
        <v>0.5</v>
      </c>
      <c r="BL12" s="27">
        <f>Tableau14[[#This Row],[CRASH RISK2016]]-Tableau14[[#This Row],[CRASH RISK2015]]</f>
        <v>-334.71653075582424</v>
      </c>
      <c r="BM12" s="27">
        <f>Tableau14[[#This Row],[CRASH DENSITY2016]]-Tableau14[[#This Row],[CRASH DENSITY2015]]</f>
        <v>-1.25</v>
      </c>
    </row>
    <row r="13" spans="1:65" ht="28.8" x14ac:dyDescent="0.3">
      <c r="A13" s="28">
        <f t="shared" si="0"/>
        <v>12</v>
      </c>
      <c r="B13" s="8" t="s">
        <v>105</v>
      </c>
      <c r="C13" s="11" t="s">
        <v>32</v>
      </c>
      <c r="D13" s="8" t="s">
        <v>33</v>
      </c>
      <c r="E13" s="8" t="s">
        <v>34</v>
      </c>
      <c r="F13" s="8">
        <v>384.96</v>
      </c>
      <c r="G13" s="22" t="s">
        <v>134</v>
      </c>
      <c r="H13" s="8">
        <v>1</v>
      </c>
      <c r="I13" s="8">
        <v>6</v>
      </c>
      <c r="J13" s="8">
        <f>Tableau14[[#This Row],[F crashes2015]]+Tableau14[[#This Row],[S crashes2015]]</f>
        <v>7</v>
      </c>
      <c r="K13" s="12">
        <f>IF(Tableau14[[#This Row],[F crashes2015]] &lt;&gt; 0, Tableau14[[#This Row],[F &amp; S crashes2015]]/Tableau14[[#This Row],[F crashes2015]], 1)</f>
        <v>7</v>
      </c>
      <c r="L13" s="8">
        <v>15361</v>
      </c>
      <c r="M13" s="8">
        <v>41475</v>
      </c>
      <c r="N13" s="8">
        <f>(Tableau14[[#This Row],[VEHIC KM / JOUR2015]]*365)/1000000000</f>
        <v>1.5138375000000001E-2</v>
      </c>
      <c r="O13" s="23">
        <f>(Tableau14[[#This Row],[F &amp; S crashes2015]]/Tableau14[[#This Row],[BILLION VEH KM TRAVELLED2015]])</f>
        <v>462.401017282238</v>
      </c>
      <c r="P13" s="11" t="s">
        <v>144</v>
      </c>
      <c r="Q13" s="11">
        <f>Tableau14[[#This Row],[F &amp; S crashes2015]]/4</f>
        <v>1.75</v>
      </c>
      <c r="R13" s="8" t="s">
        <v>144</v>
      </c>
      <c r="S13" s="23">
        <f>Tableau14[[#This Row],[VEHIC KM / JOUR2015]]/Tableau14[[#This Row],[TMJA2015 (vehi/jour)]]</f>
        <v>2.7000195299785172</v>
      </c>
      <c r="T13" s="8">
        <v>1</v>
      </c>
      <c r="U13" s="8">
        <v>1</v>
      </c>
      <c r="V13" s="8">
        <v>60</v>
      </c>
      <c r="W13" s="8">
        <v>384.3</v>
      </c>
      <c r="X13" s="8">
        <v>387</v>
      </c>
      <c r="Y13" s="8">
        <v>1</v>
      </c>
      <c r="Z13" s="8">
        <v>4</v>
      </c>
      <c r="AA13" s="8">
        <f>Tableau14[[#This Row],[F Crashes trancon]]+Tableau14[[#This Row],[S crashes trancon]]</f>
        <v>5</v>
      </c>
      <c r="AB13" s="24">
        <f>IF(Tableau14[[#This Row],[F Crashes trancon]]&lt;&gt; 0, Tableau14[[#This Row],[F&amp;S crashes tronçon ]]/Tableau14[[#This Row],[F Crashes trancon]], 1)</f>
        <v>5</v>
      </c>
      <c r="AC13" s="23">
        <f>(Tableau14[[#This Row],[F&amp;S crashes tronçon ]]/Tableau14[[#This Row],[BILLION VEH KM TRAVELLED2015]])</f>
        <v>330.28644091588427</v>
      </c>
      <c r="AD13" s="26" t="s">
        <v>144</v>
      </c>
      <c r="AE13" s="27">
        <f>Tableau14[[#This Row],[F&amp;S crashes tronçon ]]/Tableau14[[#This Row],[LENTGH SECTION(KM)]]</f>
        <v>1.8518384569017479</v>
      </c>
      <c r="AF13" s="8" t="s">
        <v>144</v>
      </c>
      <c r="AG13" s="8">
        <v>1.23</v>
      </c>
      <c r="AH13" s="8" t="s">
        <v>212</v>
      </c>
      <c r="AI13" s="8" t="s">
        <v>212</v>
      </c>
      <c r="AJ13" s="8" t="s">
        <v>212</v>
      </c>
      <c r="AK13" s="8" t="s">
        <v>211</v>
      </c>
      <c r="AL13" s="8">
        <v>1</v>
      </c>
      <c r="AM13" s="8">
        <v>0</v>
      </c>
      <c r="AN13" s="8">
        <v>0</v>
      </c>
      <c r="AO13" s="8">
        <v>0</v>
      </c>
      <c r="AP13" s="44">
        <v>0</v>
      </c>
      <c r="AQ13" s="44">
        <v>0</v>
      </c>
      <c r="AR13" s="8">
        <v>0</v>
      </c>
      <c r="AS13" s="8">
        <v>0</v>
      </c>
      <c r="AT13" s="8">
        <v>0</v>
      </c>
      <c r="AU13" s="8">
        <v>0</v>
      </c>
      <c r="AV13" s="44">
        <f>IF(Tableau14[[#This Row],[Moyenne Journalière Infrations 2016]]&gt;0, Tableau14[[#This Row],[Moyenne Journalière Infrations 2016]]-Tableau14[[#This Row],[Moyenne Journalière Infrations 2017]],0)</f>
        <v>0</v>
      </c>
      <c r="AW13" s="44">
        <f>IF(Tableau14[[#This Row],[Moyenne Journalière Infrations 2015]]&gt;0, Tableau14[[#This Row],[Moyenne Journalière Infrations 2015]]-Tableau14[[#This Row],[Moyenne Journalière Infrations 2016]],0)</f>
        <v>0</v>
      </c>
      <c r="AX13" s="8" t="s">
        <v>218</v>
      </c>
      <c r="AY13" s="8" t="s">
        <v>218</v>
      </c>
      <c r="AZ13" s="8" t="s">
        <v>218</v>
      </c>
      <c r="BA13" s="8" t="s">
        <v>218</v>
      </c>
      <c r="BB13" s="8">
        <v>1</v>
      </c>
      <c r="BC13" s="8">
        <v>1</v>
      </c>
      <c r="BD13" s="8">
        <f>Tableau14[[#This Row],[S crashes2016]]+Tableau14[[#This Row],[F crashes2016]]</f>
        <v>2</v>
      </c>
      <c r="BE13" s="12">
        <f>IF(Tableau14[[#This Row],[F crashes2016]] &lt;&gt; 0, Tableau14[[#This Row],[F &amp; S crashes2016]]/Tableau14[[#This Row],[F crashes2016]], 1)</f>
        <v>2</v>
      </c>
      <c r="BF13" s="8">
        <v>15894</v>
      </c>
      <c r="BG13" s="8">
        <v>42914</v>
      </c>
      <c r="BH13" s="8">
        <f>(Tableau14[[#This Row],[VEHIC KM / JOUR2016]]*365)/1000000000</f>
        <v>1.5663610000000001E-2</v>
      </c>
      <c r="BI13" s="8">
        <f>(Tableau14[[#This Row],[F &amp; S crashes2016]]/Tableau14[[#This Row],[BILLION VEH KM TRAVELLED2016]])</f>
        <v>127.68448652641376</v>
      </c>
      <c r="BJ13" s="44" t="s">
        <v>144</v>
      </c>
      <c r="BK13" s="8">
        <f>Tableau14[[#This Row],[F &amp; S crashes2016]]/4</f>
        <v>0.5</v>
      </c>
      <c r="BL13" s="27">
        <f>Tableau14[[#This Row],[CRASH RISK2016]]-Tableau14[[#This Row],[CRASH RISK2015]]</f>
        <v>-334.71653075582424</v>
      </c>
      <c r="BM13" s="27">
        <f>Tableau14[[#This Row],[CRASH DENSITY2016]]-Tableau14[[#This Row],[CRASH DENSITY2015]]</f>
        <v>-1.25</v>
      </c>
    </row>
    <row r="14" spans="1:65" ht="28.8" x14ac:dyDescent="0.3">
      <c r="A14" s="28">
        <f t="shared" si="0"/>
        <v>13</v>
      </c>
      <c r="B14" s="8" t="s">
        <v>99</v>
      </c>
      <c r="C14" s="11" t="s">
        <v>17</v>
      </c>
      <c r="D14" s="8" t="s">
        <v>18</v>
      </c>
      <c r="E14" s="8" t="s">
        <v>19</v>
      </c>
      <c r="F14" s="8">
        <v>424.15</v>
      </c>
      <c r="G14" s="22" t="s">
        <v>134</v>
      </c>
      <c r="H14" s="8">
        <v>4</v>
      </c>
      <c r="I14" s="8">
        <v>0</v>
      </c>
      <c r="J14" s="8">
        <f>Tableau14[[#This Row],[F crashes2015]]+Tableau14[[#This Row],[S crashes2015]]</f>
        <v>4</v>
      </c>
      <c r="K14" s="12">
        <f>IF(Tableau14[[#This Row],[F crashes2015]] &lt;&gt; 0, Tableau14[[#This Row],[F &amp; S crashes2015]]/Tableau14[[#This Row],[F crashes2015]], 1)</f>
        <v>1</v>
      </c>
      <c r="L14" s="8">
        <v>7266</v>
      </c>
      <c r="M14" s="8">
        <v>247044</v>
      </c>
      <c r="N14" s="8">
        <f>(Tableau14[[#This Row],[VEHIC KM / JOUR2015]]*365)/1000000000</f>
        <v>9.0171059999999997E-2</v>
      </c>
      <c r="O14" s="23">
        <f>(Tableau14[[#This Row],[F &amp; S crashes2015]]/Tableau14[[#This Row],[BILLION VEH KM TRAVELLED2015]])</f>
        <v>44.360130622840636</v>
      </c>
      <c r="P14" s="11" t="s">
        <v>144</v>
      </c>
      <c r="Q14" s="11">
        <f>Tableau14[[#This Row],[F &amp; S crashes2015]]/4</f>
        <v>1</v>
      </c>
      <c r="R14" s="8" t="s">
        <v>144</v>
      </c>
      <c r="S14" s="23">
        <f>Tableau14[[#This Row],[VEHIC KM / JOUR2015]]/Tableau14[[#This Row],[TMJA2015 (vehi/jour)]]</f>
        <v>34</v>
      </c>
      <c r="T14" s="8">
        <v>1</v>
      </c>
      <c r="U14" s="8">
        <v>1</v>
      </c>
      <c r="V14" s="8">
        <v>80</v>
      </c>
      <c r="W14" s="8">
        <v>403</v>
      </c>
      <c r="X14" s="8">
        <v>437</v>
      </c>
      <c r="Y14" s="8">
        <v>15</v>
      </c>
      <c r="Z14" s="8">
        <v>8</v>
      </c>
      <c r="AA14" s="8">
        <f>Tableau14[[#This Row],[F Crashes trancon]]+Tableau14[[#This Row],[S crashes trancon]]</f>
        <v>23</v>
      </c>
      <c r="AB14" s="24">
        <f>IF(Tableau14[[#This Row],[F Crashes trancon]]&lt;&gt; 0, Tableau14[[#This Row],[F&amp;S crashes tronçon ]]/Tableau14[[#This Row],[F Crashes trancon]], 1)</f>
        <v>1.5333333333333334</v>
      </c>
      <c r="AC14" s="23">
        <f>(Tableau14[[#This Row],[F&amp;S crashes tronçon ]]/Tableau14[[#This Row],[BILLION VEH KM TRAVELLED2015]])</f>
        <v>255.07075108133364</v>
      </c>
      <c r="AD14" s="26" t="s">
        <v>144</v>
      </c>
      <c r="AE14" s="27">
        <f>Tableau14[[#This Row],[F&amp;S crashes tronçon ]]/Tableau14[[#This Row],[LENTGH SECTION(KM)]]</f>
        <v>0.67647058823529416</v>
      </c>
      <c r="AF14" s="8" t="s">
        <v>144</v>
      </c>
      <c r="AG14" s="8">
        <v>3.5</v>
      </c>
      <c r="AH14" s="8" t="s">
        <v>212</v>
      </c>
      <c r="AI14" s="8" t="s">
        <v>212</v>
      </c>
      <c r="AJ14" s="8" t="s">
        <v>212</v>
      </c>
      <c r="AK14" s="8" t="s">
        <v>211</v>
      </c>
      <c r="AL14" s="8">
        <v>1</v>
      </c>
      <c r="AM14" s="8">
        <v>0</v>
      </c>
      <c r="AN14" s="8">
        <v>0</v>
      </c>
      <c r="AO14" s="8">
        <v>12630</v>
      </c>
      <c r="AP14" s="44">
        <v>0</v>
      </c>
      <c r="AQ14" s="44">
        <v>0</v>
      </c>
      <c r="AR14" s="8">
        <v>0</v>
      </c>
      <c r="AS14" s="8">
        <v>0</v>
      </c>
      <c r="AT14" s="8">
        <v>80</v>
      </c>
      <c r="AU14" s="8">
        <v>156</v>
      </c>
      <c r="AV14" s="44">
        <f>IF(Tableau14[[#This Row],[Moyenne Journalière Infrations 2016]]&gt;0, Tableau14[[#This Row],[Moyenne Journalière Infrations 2016]]-Tableau14[[#This Row],[Moyenne Journalière Infrations 2017]],0)</f>
        <v>0</v>
      </c>
      <c r="AW14" s="44">
        <f>IF(Tableau14[[#This Row],[Moyenne Journalière Infrations 2015]]&gt;0, Tableau14[[#This Row],[Moyenne Journalière Infrations 2015]]-Tableau14[[#This Row],[Moyenne Journalière Infrations 2016]],0)</f>
        <v>0</v>
      </c>
      <c r="AX14" s="8">
        <v>2</v>
      </c>
      <c r="AY14" s="8" t="s">
        <v>384</v>
      </c>
      <c r="AZ14" s="8" t="s">
        <v>371</v>
      </c>
      <c r="BA14" s="8" t="s">
        <v>381</v>
      </c>
      <c r="BB14" s="8">
        <v>1</v>
      </c>
      <c r="BC14" s="8">
        <v>1</v>
      </c>
      <c r="BD14" s="8">
        <f>Tableau14[[#This Row],[S crashes2016]]+Tableau14[[#This Row],[F crashes2016]]</f>
        <v>2</v>
      </c>
      <c r="BE14" s="12">
        <f>IF(Tableau14[[#This Row],[F crashes2016]] &lt;&gt; 0, Tableau14[[#This Row],[F &amp; S crashes2016]]/Tableau14[[#This Row],[F crashes2016]], 1)</f>
        <v>2</v>
      </c>
      <c r="BF14" s="8">
        <v>7044</v>
      </c>
      <c r="BG14" s="8">
        <v>239496</v>
      </c>
      <c r="BH14" s="8">
        <f>(Tableau14[[#This Row],[VEHIC KM / JOUR2016]]*365)/1000000000</f>
        <v>8.741604E-2</v>
      </c>
      <c r="BI14" s="8">
        <f>(Tableau14[[#This Row],[F &amp; S crashes2016]]/Tableau14[[#This Row],[BILLION VEH KM TRAVELLED2016]])</f>
        <v>22.879096330604771</v>
      </c>
      <c r="BJ14" t="s">
        <v>146</v>
      </c>
      <c r="BK14" s="8">
        <f>Tableau14[[#This Row],[F &amp; S crashes2016]]/4</f>
        <v>0.5</v>
      </c>
      <c r="BL14" s="27">
        <f>Tableau14[[#This Row],[CRASH RISK2016]]-Tableau14[[#This Row],[CRASH RISK2015]]</f>
        <v>-21.481034292235865</v>
      </c>
      <c r="BM14" s="27">
        <f>Tableau14[[#This Row],[CRASH DENSITY2016]]-Tableau14[[#This Row],[CRASH DENSITY2015]]</f>
        <v>-0.5</v>
      </c>
    </row>
    <row r="15" spans="1:65" ht="28.8" x14ac:dyDescent="0.3">
      <c r="A15" s="28">
        <f t="shared" si="0"/>
        <v>14</v>
      </c>
      <c r="B15" s="8" t="s">
        <v>115</v>
      </c>
      <c r="C15" s="11" t="s">
        <v>57</v>
      </c>
      <c r="D15" s="8" t="s">
        <v>58</v>
      </c>
      <c r="E15" s="8" t="s">
        <v>59</v>
      </c>
      <c r="F15" s="8">
        <v>453.1</v>
      </c>
      <c r="G15" s="22" t="s">
        <v>134</v>
      </c>
      <c r="H15" s="8">
        <v>0</v>
      </c>
      <c r="I15" s="8">
        <v>1</v>
      </c>
      <c r="J15" s="8">
        <f>Tableau14[[#This Row],[F crashes2015]]+Tableau14[[#This Row],[S crashes2015]]</f>
        <v>1</v>
      </c>
      <c r="K15" s="12">
        <f>IF(Tableau14[[#This Row],[F crashes2015]] &lt;&gt; 0, Tableau14[[#This Row],[F &amp; S crashes2015]]/Tableau14[[#This Row],[F crashes2015]], 1)</f>
        <v>1</v>
      </c>
      <c r="L15" s="8">
        <v>10551</v>
      </c>
      <c r="M15" s="8">
        <v>263775</v>
      </c>
      <c r="N15" s="8">
        <f>(Tableau14[[#This Row],[VEHIC KM / JOUR2015]]*365)/1000000000</f>
        <v>9.6277874999999999E-2</v>
      </c>
      <c r="O15" s="23">
        <f>(Tableau14[[#This Row],[F &amp; S crashes2015]]/Tableau14[[#This Row],[BILLION VEH KM TRAVELLED2015]])</f>
        <v>10.386602321665285</v>
      </c>
      <c r="P15" s="11" t="s">
        <v>146</v>
      </c>
      <c r="Q15" s="11">
        <f>Tableau14[[#This Row],[F &amp; S crashes2015]]/4</f>
        <v>0.25</v>
      </c>
      <c r="R15" s="8" t="s">
        <v>144</v>
      </c>
      <c r="S15" s="23">
        <f>Tableau14[[#This Row],[VEHIC KM / JOUR2015]]/Tableau14[[#This Row],[TMJA2015 (vehi/jour)]]</f>
        <v>25</v>
      </c>
      <c r="T15" s="8">
        <v>1</v>
      </c>
      <c r="U15" s="8">
        <v>1</v>
      </c>
      <c r="V15" s="8">
        <v>60</v>
      </c>
      <c r="W15" s="8">
        <v>437</v>
      </c>
      <c r="X15" s="8">
        <v>462</v>
      </c>
      <c r="Y15" s="8">
        <v>6</v>
      </c>
      <c r="Z15" s="8">
        <v>8</v>
      </c>
      <c r="AA15" s="8">
        <f>Tableau14[[#This Row],[F Crashes trancon]]+Tableau14[[#This Row],[S crashes trancon]]</f>
        <v>14</v>
      </c>
      <c r="AB15" s="24">
        <f>IF(Tableau14[[#This Row],[F Crashes trancon]]&lt;&gt; 0, Tableau14[[#This Row],[F&amp;S crashes tronçon ]]/Tableau14[[#This Row],[F Crashes trancon]], 1)</f>
        <v>2.3333333333333335</v>
      </c>
      <c r="AC15" s="23">
        <f>(Tableau14[[#This Row],[F&amp;S crashes tronçon ]]/Tableau14[[#This Row],[BILLION VEH KM TRAVELLED2015]])</f>
        <v>145.41243250331397</v>
      </c>
      <c r="AD15" s="26" t="s">
        <v>144</v>
      </c>
      <c r="AE15" s="27">
        <f>Tableau14[[#This Row],[F&amp;S crashes tronçon ]]/Tableau14[[#This Row],[LENTGH SECTION(KM)]]</f>
        <v>0.56000000000000005</v>
      </c>
      <c r="AF15" s="8" t="s">
        <v>144</v>
      </c>
      <c r="AG15" s="8">
        <v>0.55000000000000004</v>
      </c>
      <c r="AH15" s="8" t="s">
        <v>212</v>
      </c>
      <c r="AI15" s="8" t="s">
        <v>212</v>
      </c>
      <c r="AJ15" s="8" t="s">
        <v>212</v>
      </c>
      <c r="AK15" s="8" t="s">
        <v>211</v>
      </c>
      <c r="AL15" s="8">
        <v>1</v>
      </c>
      <c r="AM15" s="8">
        <v>0</v>
      </c>
      <c r="AN15" s="8">
        <v>0</v>
      </c>
      <c r="AO15" s="8">
        <v>45052</v>
      </c>
      <c r="AP15" s="44">
        <v>0</v>
      </c>
      <c r="AQ15" s="44">
        <v>0</v>
      </c>
      <c r="AR15" s="8">
        <v>0</v>
      </c>
      <c r="AS15" s="8">
        <v>0</v>
      </c>
      <c r="AT15" s="8">
        <v>211</v>
      </c>
      <c r="AU15" s="8">
        <v>213</v>
      </c>
      <c r="AV15" s="44">
        <f>IF(Tableau14[[#This Row],[Moyenne Journalière Infrations 2016]]&gt;0, Tableau14[[#This Row],[Moyenne Journalière Infrations 2016]]-Tableau14[[#This Row],[Moyenne Journalière Infrations 2017]],0)</f>
        <v>0</v>
      </c>
      <c r="AW15" s="44">
        <f>IF(Tableau14[[#This Row],[Moyenne Journalière Infrations 2015]]&gt;0, Tableau14[[#This Row],[Moyenne Journalière Infrations 2015]]-Tableau14[[#This Row],[Moyenne Journalière Infrations 2016]],0)</f>
        <v>0</v>
      </c>
      <c r="AX15" s="8">
        <v>4</v>
      </c>
      <c r="AY15" s="8" t="s">
        <v>384</v>
      </c>
      <c r="AZ15" s="8" t="s">
        <v>386</v>
      </c>
      <c r="BA15" s="8" t="s">
        <v>382</v>
      </c>
      <c r="BB15" s="8">
        <v>1</v>
      </c>
      <c r="BC15" s="8">
        <v>0</v>
      </c>
      <c r="BD15" s="8">
        <f>Tableau14[[#This Row],[S crashes2016]]+Tableau14[[#This Row],[F crashes2016]]</f>
        <v>1</v>
      </c>
      <c r="BE15" s="12">
        <f>IF(Tableau14[[#This Row],[F crashes2016]] &lt;&gt; 0, Tableau14[[#This Row],[F &amp; S crashes2016]]/Tableau14[[#This Row],[F crashes2016]], 1)</f>
        <v>1</v>
      </c>
      <c r="BF15" s="8">
        <v>10835</v>
      </c>
      <c r="BG15" s="8">
        <v>270875</v>
      </c>
      <c r="BH15" s="8">
        <f>(Tableau14[[#This Row],[VEHIC KM / JOUR2016]]*365)/1000000000</f>
        <v>9.8869374999999995E-2</v>
      </c>
      <c r="BI15" s="8">
        <f>(Tableau14[[#This Row],[F &amp; S crashes2016]]/Tableau14[[#This Row],[BILLION VEH KM TRAVELLED2016]])</f>
        <v>10.114355431092793</v>
      </c>
      <c r="BJ15" t="s">
        <v>146</v>
      </c>
      <c r="BK15" s="8">
        <f>Tableau14[[#This Row],[F &amp; S crashes2016]]/4</f>
        <v>0.25</v>
      </c>
      <c r="BL15" s="27">
        <f>Tableau14[[#This Row],[CRASH RISK2016]]-Tableau14[[#This Row],[CRASH RISK2015]]</f>
        <v>-0.2722468905724913</v>
      </c>
      <c r="BM15" s="27">
        <f>Tableau14[[#This Row],[CRASH DENSITY2016]]-Tableau14[[#This Row],[CRASH DENSITY2015]]</f>
        <v>0</v>
      </c>
    </row>
    <row r="16" spans="1:65" ht="28.8" x14ac:dyDescent="0.3">
      <c r="A16" s="28">
        <f t="shared" si="0"/>
        <v>15</v>
      </c>
      <c r="B16" s="8" t="s">
        <v>116</v>
      </c>
      <c r="C16" s="11" t="s">
        <v>60</v>
      </c>
      <c r="D16" s="8" t="s">
        <v>61</v>
      </c>
      <c r="E16" s="8" t="s">
        <v>62</v>
      </c>
      <c r="F16" s="8">
        <v>453.2</v>
      </c>
      <c r="G16" s="22" t="s">
        <v>134</v>
      </c>
      <c r="H16" s="8">
        <v>0</v>
      </c>
      <c r="I16" s="8">
        <v>1</v>
      </c>
      <c r="J16" s="8">
        <f>Tableau14[[#This Row],[F crashes2015]]+Tableau14[[#This Row],[S crashes2015]]</f>
        <v>1</v>
      </c>
      <c r="K16" s="12">
        <f>IF(Tableau14[[#This Row],[F crashes2015]] &lt;&gt; 0, Tableau14[[#This Row],[F &amp; S crashes2015]]/Tableau14[[#This Row],[F crashes2015]], 1)</f>
        <v>1</v>
      </c>
      <c r="L16" s="8">
        <v>10551</v>
      </c>
      <c r="M16" s="8">
        <v>263775</v>
      </c>
      <c r="N16" s="8">
        <f>(Tableau14[[#This Row],[VEHIC KM / JOUR2015]]*365)/1000000000</f>
        <v>9.6277874999999999E-2</v>
      </c>
      <c r="O16" s="8">
        <v>15</v>
      </c>
      <c r="P16" s="11" t="s">
        <v>144</v>
      </c>
      <c r="Q16" s="11">
        <f>Tableau14[[#This Row],[F &amp; S crashes2015]]/4</f>
        <v>0.25</v>
      </c>
      <c r="R16" s="8" t="s">
        <v>144</v>
      </c>
      <c r="S16" s="23">
        <f>Tableau14[[#This Row],[VEHIC KM / JOUR2015]]/Tableau14[[#This Row],[TMJA2015 (vehi/jour)]]</f>
        <v>25</v>
      </c>
      <c r="T16" s="8">
        <v>1</v>
      </c>
      <c r="U16" s="8">
        <v>1</v>
      </c>
      <c r="V16" s="8">
        <v>60</v>
      </c>
      <c r="W16" s="8">
        <v>437</v>
      </c>
      <c r="X16" s="8">
        <v>462</v>
      </c>
      <c r="Y16" s="8">
        <v>6</v>
      </c>
      <c r="Z16" s="8">
        <v>8</v>
      </c>
      <c r="AA16" s="8">
        <f>Tableau14[[#This Row],[F Crashes trancon]]+Tableau14[[#This Row],[S crashes trancon]]</f>
        <v>14</v>
      </c>
      <c r="AB16" s="24">
        <f>IF(Tableau14[[#This Row],[F Crashes trancon]]&lt;&gt; 0, Tableau14[[#This Row],[F&amp;S crashes tronçon ]]/Tableau14[[#This Row],[F Crashes trancon]], 1)</f>
        <v>2.3333333333333335</v>
      </c>
      <c r="AC16" s="23">
        <f>(Tableau14[[#This Row],[F&amp;S crashes tronçon ]]/Tableau14[[#This Row],[BILLION VEH KM TRAVELLED2015]])</f>
        <v>145.41243250331397</v>
      </c>
      <c r="AD16" s="26" t="s">
        <v>144</v>
      </c>
      <c r="AE16" s="27">
        <f>Tableau14[[#This Row],[F&amp;S crashes tronçon ]]/Tableau14[[#This Row],[LENTGH SECTION(KM)]]</f>
        <v>0.56000000000000005</v>
      </c>
      <c r="AF16" s="8" t="s">
        <v>144</v>
      </c>
      <c r="AG16" s="8">
        <v>0.55000000000000004</v>
      </c>
      <c r="AH16" s="8" t="s">
        <v>212</v>
      </c>
      <c r="AI16" s="8" t="s">
        <v>212</v>
      </c>
      <c r="AJ16" s="8" t="s">
        <v>212</v>
      </c>
      <c r="AK16" s="8" t="s">
        <v>211</v>
      </c>
      <c r="AL16" s="8">
        <v>1</v>
      </c>
      <c r="AM16" s="8">
        <v>0</v>
      </c>
      <c r="AN16" s="8">
        <v>0</v>
      </c>
      <c r="AO16" s="8">
        <v>8893</v>
      </c>
      <c r="AP16" s="44">
        <v>0</v>
      </c>
      <c r="AQ16" s="44">
        <v>0</v>
      </c>
      <c r="AR16" s="8">
        <v>0</v>
      </c>
      <c r="AS16" s="8">
        <v>0</v>
      </c>
      <c r="AT16" s="8">
        <v>156</v>
      </c>
      <c r="AU16" s="8">
        <v>57</v>
      </c>
      <c r="AV16" s="44">
        <f>IF(Tableau14[[#This Row],[Moyenne Journalière Infrations 2016]]&gt;0, Tableau14[[#This Row],[Moyenne Journalière Infrations 2016]]-Tableau14[[#This Row],[Moyenne Journalière Infrations 2017]],0)</f>
        <v>0</v>
      </c>
      <c r="AW16" s="44">
        <f>IF(Tableau14[[#This Row],[Moyenne Journalière Infrations 2015]]&gt;0, Tableau14[[#This Row],[Moyenne Journalière Infrations 2015]]-Tableau14[[#This Row],[Moyenne Journalière Infrations 2016]],0)</f>
        <v>0</v>
      </c>
      <c r="AX16" s="8">
        <v>4</v>
      </c>
      <c r="AY16" s="8" t="s">
        <v>384</v>
      </c>
      <c r="AZ16" s="8" t="s">
        <v>386</v>
      </c>
      <c r="BA16" s="8" t="s">
        <v>383</v>
      </c>
      <c r="BB16" s="8">
        <v>1</v>
      </c>
      <c r="BC16" s="8">
        <v>0</v>
      </c>
      <c r="BD16" s="8">
        <f>Tableau14[[#This Row],[S crashes2016]]+Tableau14[[#This Row],[F crashes2016]]</f>
        <v>1</v>
      </c>
      <c r="BE16" s="12">
        <f>IF(Tableau14[[#This Row],[F crashes2016]] &lt;&gt; 0, Tableau14[[#This Row],[F &amp; S crashes2016]]/Tableau14[[#This Row],[F crashes2016]], 1)</f>
        <v>1</v>
      </c>
      <c r="BF16" s="8">
        <v>10835</v>
      </c>
      <c r="BG16" s="8">
        <v>270875</v>
      </c>
      <c r="BH16" s="8">
        <f>(Tableau14[[#This Row],[VEHIC KM / JOUR2016]]*365)/1000000000</f>
        <v>9.8869374999999995E-2</v>
      </c>
      <c r="BI16" s="8">
        <f>(Tableau14[[#This Row],[F &amp; S crashes2016]]/Tableau14[[#This Row],[BILLION VEH KM TRAVELLED2016]])</f>
        <v>10.114355431092793</v>
      </c>
      <c r="BJ16" t="s">
        <v>146</v>
      </c>
      <c r="BK16" s="8">
        <f>Tableau14[[#This Row],[F &amp; S crashes2016]]/4</f>
        <v>0.25</v>
      </c>
      <c r="BL16" s="27">
        <f>Tableau14[[#This Row],[CRASH RISK2016]]-Tableau14[[#This Row],[CRASH RISK2015]]</f>
        <v>-4.8856445689072068</v>
      </c>
      <c r="BM16" s="27">
        <f>Tableau14[[#This Row],[CRASH DENSITY2016]]-Tableau14[[#This Row],[CRASH DENSITY2015]]</f>
        <v>0</v>
      </c>
    </row>
    <row r="17" spans="1:65" x14ac:dyDescent="0.3">
      <c r="A17" s="28">
        <f t="shared" si="0"/>
        <v>16</v>
      </c>
      <c r="B17" s="8" t="s">
        <v>302</v>
      </c>
      <c r="C17" s="11" t="s">
        <v>319</v>
      </c>
      <c r="D17" s="49" t="s">
        <v>340</v>
      </c>
      <c r="E17" s="50" t="s">
        <v>341</v>
      </c>
      <c r="F17" s="8">
        <v>132.5</v>
      </c>
      <c r="G17" s="8" t="s">
        <v>135</v>
      </c>
      <c r="H17" s="8">
        <v>0</v>
      </c>
      <c r="I17" s="8">
        <v>0</v>
      </c>
      <c r="J17" s="8">
        <f>Tableau14[[#This Row],[F crashes2015]]+Tableau14[[#This Row],[S crashes2015]]</f>
        <v>0</v>
      </c>
      <c r="K17" s="33">
        <f>IF(Tableau14[[#This Row],[F crashes2015]] &lt;&gt; 0, Tableau14[[#This Row],[F &amp; S crashes2015]]/Tableau14[[#This Row],[F crashes2015]], 1)</f>
        <v>1</v>
      </c>
      <c r="L17" s="8">
        <v>7616</v>
      </c>
      <c r="M17" s="8">
        <v>124902</v>
      </c>
      <c r="N17" s="26">
        <f>(Tableau14[[#This Row],[VEHIC KM / JOUR2015]]*365)/1000000000</f>
        <v>4.5589230000000001E-2</v>
      </c>
      <c r="O17" s="26">
        <f>(Tableau14[[#This Row],[F &amp; S crashes2015]]/Tableau14[[#This Row],[BILLION VEH KM TRAVELLED2015]])</f>
        <v>0</v>
      </c>
      <c r="P17" s="11" t="s">
        <v>143</v>
      </c>
      <c r="Q17" s="34">
        <f>Tableau14[[#This Row],[F &amp; S crashes2015]]/4</f>
        <v>0</v>
      </c>
      <c r="R17" s="11"/>
      <c r="S17" s="23">
        <f>Tableau14[[#This Row],[VEHIC KM / JOUR2015]]/Tableau14[[#This Row],[TMJA2015 (vehi/jour)]]</f>
        <v>16.399947478991596</v>
      </c>
      <c r="T17" s="8"/>
      <c r="U17" s="8"/>
      <c r="V17" s="8">
        <v>80</v>
      </c>
      <c r="W17" s="8"/>
      <c r="X17" s="8"/>
      <c r="Y17" s="8"/>
      <c r="Z17" s="8"/>
      <c r="AA17" s="26">
        <f>Tableau14[[#This Row],[F Crashes trancon]]+Tableau14[[#This Row],[S crashes trancon]]</f>
        <v>0</v>
      </c>
      <c r="AB17" s="23">
        <f>IF(Tableau14[[#This Row],[F Crashes trancon]]&lt;&gt; 0, Tableau14[[#This Row],[F&amp;S crashes tronçon ]]/Tableau14[[#This Row],[F Crashes trancon]], 1)</f>
        <v>1</v>
      </c>
      <c r="AC17" s="23">
        <f>(Tableau14[[#This Row],[F&amp;S crashes tronçon ]]/Tableau14[[#This Row],[BILLION VEH KM TRAVELLED2015]])</f>
        <v>0</v>
      </c>
      <c r="AD17" s="26"/>
      <c r="AE17" s="27">
        <f>Tableau14[[#This Row],[F&amp;S crashes tronçon ]]/Tableau14[[#This Row],[LENTGH SECTION(KM)]]</f>
        <v>0</v>
      </c>
      <c r="AF17" s="8"/>
      <c r="AG17" s="8">
        <v>2.7</v>
      </c>
      <c r="AH17" s="8" t="s">
        <v>212</v>
      </c>
      <c r="AI17" s="8" t="s">
        <v>212</v>
      </c>
      <c r="AJ17" s="8" t="s">
        <v>212</v>
      </c>
      <c r="AK17" s="8" t="s">
        <v>211</v>
      </c>
      <c r="AL17" s="8">
        <v>2.2000000000000002</v>
      </c>
      <c r="AM17" s="8"/>
      <c r="AN17" s="8"/>
      <c r="AO17" s="8"/>
      <c r="AP17" s="44">
        <v>0</v>
      </c>
      <c r="AQ17" s="44">
        <v>0</v>
      </c>
      <c r="AR17" s="8">
        <v>72</v>
      </c>
      <c r="AS17" s="8">
        <v>95</v>
      </c>
      <c r="AT17" s="8">
        <v>40</v>
      </c>
      <c r="AU17" s="8">
        <v>236</v>
      </c>
      <c r="AV17" s="44">
        <f>IF(Tableau14[[#This Row],[Moyenne Journalière Infrations 2016]]&gt;0, Tableau14[[#This Row],[Moyenne Journalière Infrations 2016]]-Tableau14[[#This Row],[Moyenne Journalière Infrations 2017]],0)</f>
        <v>32</v>
      </c>
      <c r="AW17" s="44">
        <f>IF(Tableau14[[#This Row],[Moyenne Journalière Infrations 2015]]&gt;0, Tableau14[[#This Row],[Moyenne Journalière Infrations 2015]]-Tableau14[[#This Row],[Moyenne Journalière Infrations 2016]],0)</f>
        <v>0</v>
      </c>
      <c r="AX17" s="8">
        <v>2</v>
      </c>
      <c r="AY17" s="8" t="s">
        <v>384</v>
      </c>
      <c r="AZ17" s="8" t="s">
        <v>371</v>
      </c>
      <c r="BA17" s="8" t="s">
        <v>387</v>
      </c>
      <c r="BB17" s="8">
        <v>0</v>
      </c>
      <c r="BC17" s="8">
        <v>0</v>
      </c>
      <c r="BD17" s="8">
        <f>Tableau14[[#This Row],[S crashes2016]]+Tableau14[[#This Row],[F crashes2016]]</f>
        <v>0</v>
      </c>
      <c r="BE17" s="12">
        <f>IF(Tableau14[[#This Row],[F crashes2016]] &lt;&gt; 0, Tableau14[[#This Row],[F &amp; S crashes2016]]/Tableau14[[#This Row],[F crashes2016]], 1)</f>
        <v>1</v>
      </c>
      <c r="BF17" s="8">
        <v>7383</v>
      </c>
      <c r="BG17" s="8">
        <v>121081</v>
      </c>
      <c r="BH17" s="8">
        <f>(Tableau14[[#This Row],[VEHIC KM / JOUR2016]]*365)/1000000000</f>
        <v>4.4194564999999998E-2</v>
      </c>
      <c r="BI17" s="8">
        <f>(Tableau14[[#This Row],[F &amp; S crashes2016]]/Tableau14[[#This Row],[BILLION VEH KM TRAVELLED2016]])</f>
        <v>0</v>
      </c>
      <c r="BJ17" s="8" t="s">
        <v>143</v>
      </c>
      <c r="BK17" s="8">
        <f>Tableau14[[#This Row],[F &amp; S crashes2016]]/4</f>
        <v>0</v>
      </c>
      <c r="BL17" s="27">
        <f>Tableau14[[#This Row],[CRASH RISK2016]]-Tableau14[[#This Row],[CRASH RISK2015]]</f>
        <v>0</v>
      </c>
      <c r="BM17" s="27">
        <f>Tableau14[[#This Row],[CRASH DENSITY2016]]-Tableau14[[#This Row],[CRASH DENSITY2015]]</f>
        <v>0</v>
      </c>
    </row>
    <row r="18" spans="1:65" x14ac:dyDescent="0.3">
      <c r="A18" s="28">
        <f t="shared" si="0"/>
        <v>17</v>
      </c>
      <c r="B18" s="8" t="s">
        <v>108</v>
      </c>
      <c r="C18" s="11" t="s">
        <v>41</v>
      </c>
      <c r="D18" s="8" t="s">
        <v>42</v>
      </c>
      <c r="E18" s="8" t="s">
        <v>43</v>
      </c>
      <c r="F18" s="8">
        <v>190.7</v>
      </c>
      <c r="G18" s="29" t="s">
        <v>135</v>
      </c>
      <c r="H18" s="8">
        <v>1</v>
      </c>
      <c r="I18" s="8">
        <v>2</v>
      </c>
      <c r="J18" s="8">
        <f>Tableau14[[#This Row],[F crashes2015]]+Tableau14[[#This Row],[S crashes2015]]</f>
        <v>3</v>
      </c>
      <c r="K18" s="12">
        <f>IF(Tableau14[[#This Row],[F crashes2015]] &lt;&gt; 0, Tableau14[[#This Row],[F &amp; S crashes2015]]/Tableau14[[#This Row],[F crashes2015]], 1)</f>
        <v>3</v>
      </c>
      <c r="L18" s="8">
        <v>13656</v>
      </c>
      <c r="M18" s="8">
        <v>101054</v>
      </c>
      <c r="N18" s="8">
        <f>(Tableau14[[#This Row],[VEHIC KM / JOUR2015]]*365)/1000000000</f>
        <v>3.6884710000000001E-2</v>
      </c>
      <c r="O18" s="8">
        <f>(Tableau14[[#This Row],[F &amp; S crashes2015]]/Tableau14[[#This Row],[BILLION VEH KM TRAVELLED2015]])</f>
        <v>81.334515033465081</v>
      </c>
      <c r="P18" s="11" t="s">
        <v>144</v>
      </c>
      <c r="Q18" s="11">
        <f>Tableau14[[#This Row],[F &amp; S crashes2015]]/4</f>
        <v>0.75</v>
      </c>
      <c r="R18" s="11" t="s">
        <v>143</v>
      </c>
      <c r="S18" s="23">
        <f>Tableau14[[#This Row],[VEHIC KM / JOUR2015]]/Tableau14[[#This Row],[TMJA2015 (vehi/jour)]]</f>
        <v>7.3999707088459283</v>
      </c>
      <c r="T18" s="8">
        <v>1</v>
      </c>
      <c r="U18" s="8">
        <v>1</v>
      </c>
      <c r="V18" s="8">
        <v>80</v>
      </c>
      <c r="W18" s="8">
        <v>187.6</v>
      </c>
      <c r="X18" s="8">
        <v>195</v>
      </c>
      <c r="Y18" s="8">
        <v>1</v>
      </c>
      <c r="Z18" s="8">
        <v>2</v>
      </c>
      <c r="AA18" s="8">
        <f>Tableau14[[#This Row],[F Crashes trancon]]+Tableau14[[#This Row],[S crashes trancon]]</f>
        <v>3</v>
      </c>
      <c r="AB18" s="24">
        <f>IF(Tableau14[[#This Row],[F Crashes trancon]]&lt;&gt; 0, Tableau14[[#This Row],[F&amp;S crashes tronçon ]]/Tableau14[[#This Row],[F Crashes trancon]], 1)</f>
        <v>3</v>
      </c>
      <c r="AC18" s="23">
        <f>(Tableau14[[#This Row],[F&amp;S crashes tronçon ]]/Tableau14[[#This Row],[BILLION VEH KM TRAVELLED2015]])</f>
        <v>81.334515033465081</v>
      </c>
      <c r="AD18" s="26" t="s">
        <v>144</v>
      </c>
      <c r="AE18" s="27">
        <f>Tableau14[[#This Row],[F&amp;S crashes tronçon ]]/Tableau14[[#This Row],[LENTGH SECTION(KM)]]</f>
        <v>0.40540701011340474</v>
      </c>
      <c r="AF18" s="8" t="s">
        <v>144</v>
      </c>
      <c r="AG18" s="8">
        <v>0.31</v>
      </c>
      <c r="AH18" s="8" t="s">
        <v>212</v>
      </c>
      <c r="AI18" s="8" t="s">
        <v>212</v>
      </c>
      <c r="AJ18" s="8" t="s">
        <v>212</v>
      </c>
      <c r="AK18" s="8" t="s">
        <v>211</v>
      </c>
      <c r="AL18" s="8">
        <v>1</v>
      </c>
      <c r="AM18" s="8">
        <v>0</v>
      </c>
      <c r="AN18" s="8">
        <v>420</v>
      </c>
      <c r="AO18" s="8">
        <v>50177</v>
      </c>
      <c r="AP18" s="44">
        <v>0</v>
      </c>
      <c r="AQ18" s="44">
        <v>0</v>
      </c>
      <c r="AR18" s="8">
        <v>210</v>
      </c>
      <c r="AS18" s="8">
        <v>2</v>
      </c>
      <c r="AT18" s="8">
        <v>204</v>
      </c>
      <c r="AU18" s="8">
        <v>245</v>
      </c>
      <c r="AV18" s="44">
        <f>IF(Tableau14[[#This Row],[Moyenne Journalière Infrations 2016]]&gt;0, Tableau14[[#This Row],[Moyenne Journalière Infrations 2016]]-Tableau14[[#This Row],[Moyenne Journalière Infrations 2017]],0)</f>
        <v>6</v>
      </c>
      <c r="AW18" s="44">
        <f>IF(Tableau14[[#This Row],[Moyenne Journalière Infrations 2015]]&gt;0, Tableau14[[#This Row],[Moyenne Journalière Infrations 2015]]-Tableau14[[#This Row],[Moyenne Journalière Infrations 2016]],0)</f>
        <v>0</v>
      </c>
      <c r="AX18" s="8">
        <v>2</v>
      </c>
      <c r="AY18" s="8" t="s">
        <v>385</v>
      </c>
      <c r="AZ18" s="8" t="s">
        <v>371</v>
      </c>
      <c r="BA18" s="8" t="s">
        <v>388</v>
      </c>
      <c r="BB18" s="8">
        <v>1</v>
      </c>
      <c r="BC18" s="8">
        <v>3</v>
      </c>
      <c r="BD18" s="8">
        <f>Tableau14[[#This Row],[S crashes2016]]+Tableau14[[#This Row],[F crashes2016]]</f>
        <v>4</v>
      </c>
      <c r="BE18" s="12">
        <f>IF(Tableau14[[#This Row],[F crashes2016]] &lt;&gt; 0, Tableau14[[#This Row],[F &amp; S crashes2016]]/Tableau14[[#This Row],[F crashes2016]], 1)</f>
        <v>4</v>
      </c>
      <c r="BF18" s="8">
        <v>14024</v>
      </c>
      <c r="BG18" s="8">
        <v>103778</v>
      </c>
      <c r="BH18" s="8">
        <f>(Tableau14[[#This Row],[VEHIC KM / JOUR2016]]*365)/1000000000</f>
        <v>3.7878969999999998E-2</v>
      </c>
      <c r="BI18" s="8">
        <f>(Tableau14[[#This Row],[F &amp; S crashes2016]]/Tableau14[[#This Row],[BILLION VEH KM TRAVELLED2016]])</f>
        <v>105.59949227764113</v>
      </c>
      <c r="BJ18" s="44" t="s">
        <v>144</v>
      </c>
      <c r="BK18" s="8">
        <f>Tableau14[[#This Row],[F &amp; S crashes2016]]/4</f>
        <v>1</v>
      </c>
      <c r="BL18" s="27">
        <f>Tableau14[[#This Row],[CRASH RISK2016]]-Tableau14[[#This Row],[CRASH RISK2015]]</f>
        <v>24.264977244176052</v>
      </c>
      <c r="BM18" s="27">
        <f>Tableau14[[#This Row],[CRASH DENSITY2016]]-Tableau14[[#This Row],[CRASH DENSITY2015]]</f>
        <v>0.25</v>
      </c>
    </row>
    <row r="19" spans="1:65" ht="28.8" x14ac:dyDescent="0.3">
      <c r="A19" s="28">
        <f t="shared" si="0"/>
        <v>18</v>
      </c>
      <c r="B19" s="8" t="s">
        <v>109</v>
      </c>
      <c r="C19" s="11" t="s">
        <v>44</v>
      </c>
      <c r="D19" s="8" t="s">
        <v>42</v>
      </c>
      <c r="E19" s="8" t="s">
        <v>45</v>
      </c>
      <c r="F19" s="8">
        <v>190.8</v>
      </c>
      <c r="G19" s="29" t="s">
        <v>135</v>
      </c>
      <c r="H19" s="8">
        <v>1</v>
      </c>
      <c r="I19" s="8">
        <v>2</v>
      </c>
      <c r="J19" s="8">
        <f>Tableau14[[#This Row],[F crashes2015]]+Tableau14[[#This Row],[S crashes2015]]</f>
        <v>3</v>
      </c>
      <c r="K19" s="12">
        <f>IF(Tableau14[[#This Row],[F crashes2015]] &lt;&gt; 0, Tableau14[[#This Row],[F &amp; S crashes2015]]/Tableau14[[#This Row],[F crashes2015]], 1)</f>
        <v>3</v>
      </c>
      <c r="L19" s="8">
        <v>13656</v>
      </c>
      <c r="M19" s="8">
        <v>101054</v>
      </c>
      <c r="N19" s="8">
        <f>(Tableau14[[#This Row],[VEHIC KM / JOUR2015]]*365)/1000000000</f>
        <v>3.6884710000000001E-2</v>
      </c>
      <c r="O19" s="8">
        <f>(Tableau14[[#This Row],[F &amp; S crashes2015]]/Tableau14[[#This Row],[BILLION VEH KM TRAVELLED2015]])</f>
        <v>81.334515033465081</v>
      </c>
      <c r="P19" s="11" t="s">
        <v>144</v>
      </c>
      <c r="Q19" s="11">
        <f>Tableau14[[#This Row],[F &amp; S crashes2015]]/4</f>
        <v>0.75</v>
      </c>
      <c r="R19" s="11" t="s">
        <v>143</v>
      </c>
      <c r="S19" s="23">
        <f>Tableau14[[#This Row],[VEHIC KM / JOUR2015]]/Tableau14[[#This Row],[TMJA2015 (vehi/jour)]]</f>
        <v>7.3999707088459283</v>
      </c>
      <c r="T19" s="8">
        <v>1</v>
      </c>
      <c r="U19" s="8">
        <v>1</v>
      </c>
      <c r="V19" s="8">
        <v>80</v>
      </c>
      <c r="W19" s="8">
        <v>187.6</v>
      </c>
      <c r="X19" s="8">
        <v>195</v>
      </c>
      <c r="Y19" s="8">
        <v>1</v>
      </c>
      <c r="Z19" s="8">
        <v>2</v>
      </c>
      <c r="AA19" s="8">
        <f>Tableau14[[#This Row],[F Crashes trancon]]+Tableau14[[#This Row],[S crashes trancon]]</f>
        <v>3</v>
      </c>
      <c r="AB19" s="24">
        <f>IF(Tableau14[[#This Row],[F Crashes trancon]]&lt;&gt; 0, Tableau14[[#This Row],[F&amp;S crashes tronçon ]]/Tableau14[[#This Row],[F Crashes trancon]], 1)</f>
        <v>3</v>
      </c>
      <c r="AC19" s="23">
        <f>(Tableau14[[#This Row],[F&amp;S crashes tronçon ]]/Tableau14[[#This Row],[BILLION VEH KM TRAVELLED2015]])</f>
        <v>81.334515033465081</v>
      </c>
      <c r="AD19" s="26" t="s">
        <v>144</v>
      </c>
      <c r="AE19" s="27">
        <f>Tableau14[[#This Row],[F&amp;S crashes tronçon ]]/Tableau14[[#This Row],[LENTGH SECTION(KM)]]</f>
        <v>0.40540701011340474</v>
      </c>
      <c r="AF19" s="8" t="s">
        <v>144</v>
      </c>
      <c r="AG19" s="8">
        <v>0.31</v>
      </c>
      <c r="AH19" s="8" t="s">
        <v>212</v>
      </c>
      <c r="AI19" s="8" t="s">
        <v>212</v>
      </c>
      <c r="AJ19" s="8" t="s">
        <v>212</v>
      </c>
      <c r="AK19" s="8" t="s">
        <v>211</v>
      </c>
      <c r="AL19" s="8">
        <v>1</v>
      </c>
      <c r="AM19" s="8">
        <v>0</v>
      </c>
      <c r="AN19" s="8">
        <v>13584</v>
      </c>
      <c r="AO19" s="8">
        <v>11518</v>
      </c>
      <c r="AP19" s="44">
        <v>0</v>
      </c>
      <c r="AQ19" s="44">
        <v>0</v>
      </c>
      <c r="AR19" s="8">
        <v>53</v>
      </c>
      <c r="AS19" s="8">
        <v>253</v>
      </c>
      <c r="AT19" s="8">
        <v>31</v>
      </c>
      <c r="AU19" s="8">
        <v>364</v>
      </c>
      <c r="AV19" s="44">
        <f>IF(Tableau14[[#This Row],[Moyenne Journalière Infrations 2016]]&gt;0, Tableau14[[#This Row],[Moyenne Journalière Infrations 2016]]-Tableau14[[#This Row],[Moyenne Journalière Infrations 2017]],0)</f>
        <v>22</v>
      </c>
      <c r="AW19" s="44">
        <f>IF(Tableau14[[#This Row],[Moyenne Journalière Infrations 2015]]&gt;0, Tableau14[[#This Row],[Moyenne Journalière Infrations 2015]]-Tableau14[[#This Row],[Moyenne Journalière Infrations 2016]],0)</f>
        <v>0</v>
      </c>
      <c r="AX19" s="8">
        <v>2</v>
      </c>
      <c r="AY19" s="8" t="s">
        <v>385</v>
      </c>
      <c r="AZ19" s="8" t="s">
        <v>371</v>
      </c>
      <c r="BA19" s="8" t="s">
        <v>389</v>
      </c>
      <c r="BB19" s="8">
        <v>1</v>
      </c>
      <c r="BC19" s="8">
        <v>3</v>
      </c>
      <c r="BD19" s="8">
        <f>Tableau14[[#This Row],[S crashes2016]]+Tableau14[[#This Row],[F crashes2016]]</f>
        <v>4</v>
      </c>
      <c r="BE19" s="12">
        <f>IF(Tableau14[[#This Row],[F crashes2016]] &lt;&gt; 0, Tableau14[[#This Row],[F &amp; S crashes2016]]/Tableau14[[#This Row],[F crashes2016]], 1)</f>
        <v>4</v>
      </c>
      <c r="BF19" s="8">
        <v>14024</v>
      </c>
      <c r="BG19" s="8">
        <v>103778</v>
      </c>
      <c r="BH19" s="8">
        <f>(Tableau14[[#This Row],[VEHIC KM / JOUR2016]]*365)/1000000000</f>
        <v>3.7878969999999998E-2</v>
      </c>
      <c r="BI19" s="8">
        <f>(Tableau14[[#This Row],[F &amp; S crashes2016]]/Tableau14[[#This Row],[BILLION VEH KM TRAVELLED2016]])</f>
        <v>105.59949227764113</v>
      </c>
      <c r="BJ19" s="44" t="s">
        <v>144</v>
      </c>
      <c r="BK19" s="8">
        <f>Tableau14[[#This Row],[F &amp; S crashes2016]]/4</f>
        <v>1</v>
      </c>
      <c r="BL19" s="27">
        <f>Tableau14[[#This Row],[CRASH RISK2016]]-Tableau14[[#This Row],[CRASH RISK2015]]</f>
        <v>24.264977244176052</v>
      </c>
      <c r="BM19" s="27">
        <f>Tableau14[[#This Row],[CRASH DENSITY2016]]-Tableau14[[#This Row],[CRASH DENSITY2015]]</f>
        <v>0.25</v>
      </c>
    </row>
    <row r="20" spans="1:65" x14ac:dyDescent="0.3">
      <c r="A20" s="28">
        <f t="shared" si="0"/>
        <v>19</v>
      </c>
      <c r="B20" s="8" t="s">
        <v>100</v>
      </c>
      <c r="C20" s="11" t="s">
        <v>20</v>
      </c>
      <c r="D20" s="8" t="s">
        <v>21</v>
      </c>
      <c r="E20" s="8" t="s">
        <v>22</v>
      </c>
      <c r="F20" s="8">
        <v>212.9</v>
      </c>
      <c r="G20" s="29" t="s">
        <v>135</v>
      </c>
      <c r="H20" s="8">
        <v>2</v>
      </c>
      <c r="I20" s="8">
        <v>2</v>
      </c>
      <c r="J20" s="8">
        <f>Tableau14[[#This Row],[F crashes2015]]+Tableau14[[#This Row],[S crashes2015]]</f>
        <v>4</v>
      </c>
      <c r="K20" s="12">
        <f>IF(Tableau14[[#This Row],[F crashes2015]] &lt;&gt; 0, Tableau14[[#This Row],[F &amp; S crashes2015]]/Tableau14[[#This Row],[F crashes2015]], 1)</f>
        <v>2</v>
      </c>
      <c r="L20" s="8">
        <v>6297</v>
      </c>
      <c r="M20" s="8">
        <v>144831</v>
      </c>
      <c r="N20" s="8">
        <f>(Tableau14[[#This Row],[VEHIC KM / JOUR2015]]*365)/1000000000</f>
        <v>5.2863315000000001E-2</v>
      </c>
      <c r="O20" s="23">
        <f>(Tableau14[[#This Row],[F &amp; S crashes2015]]/Tableau14[[#This Row],[BILLION VEH KM TRAVELLED2015]])</f>
        <v>75.666840038313907</v>
      </c>
      <c r="P20" s="11" t="s">
        <v>144</v>
      </c>
      <c r="Q20" s="11">
        <f>Tableau14[[#This Row],[F &amp; S crashes2015]]/4</f>
        <v>1</v>
      </c>
      <c r="R20" s="8" t="s">
        <v>144</v>
      </c>
      <c r="S20" s="23">
        <f>Tableau14[[#This Row],[VEHIC KM / JOUR2015]]/Tableau14[[#This Row],[TMJA2015 (vehi/jour)]]</f>
        <v>23</v>
      </c>
      <c r="T20" s="8">
        <v>1</v>
      </c>
      <c r="U20" s="8">
        <v>1</v>
      </c>
      <c r="V20" s="8">
        <v>80</v>
      </c>
      <c r="W20" s="8">
        <v>195</v>
      </c>
      <c r="X20" s="8">
        <v>218</v>
      </c>
      <c r="Y20" s="8">
        <v>3</v>
      </c>
      <c r="Z20" s="8">
        <v>5</v>
      </c>
      <c r="AA20" s="8">
        <f>Tableau14[[#This Row],[F Crashes trancon]]+Tableau14[[#This Row],[S crashes trancon]]</f>
        <v>8</v>
      </c>
      <c r="AB20" s="24">
        <f>IF(Tableau14[[#This Row],[F Crashes trancon]]&lt;&gt; 0, Tableau14[[#This Row],[F&amp;S crashes tronçon ]]/Tableau14[[#This Row],[F Crashes trancon]], 1)</f>
        <v>2.6666666666666665</v>
      </c>
      <c r="AC20" s="23">
        <f>(Tableau14[[#This Row],[F&amp;S crashes tronçon ]]/Tableau14[[#This Row],[BILLION VEH KM TRAVELLED2015]])</f>
        <v>151.33368007662781</v>
      </c>
      <c r="AD20" s="26" t="s">
        <v>144</v>
      </c>
      <c r="AE20" s="27">
        <f>Tableau14[[#This Row],[F&amp;S crashes tronçon ]]/Tableau14[[#This Row],[LENTGH SECTION(KM)]]</f>
        <v>0.34782608695652173</v>
      </c>
      <c r="AF20" s="8" t="s">
        <v>144</v>
      </c>
      <c r="AG20" s="8">
        <v>0.31</v>
      </c>
      <c r="AH20" s="8" t="s">
        <v>212</v>
      </c>
      <c r="AI20" s="8" t="s">
        <v>212</v>
      </c>
      <c r="AJ20" s="8" t="s">
        <v>212</v>
      </c>
      <c r="AK20" s="8" t="s">
        <v>212</v>
      </c>
      <c r="AL20" s="8">
        <v>6</v>
      </c>
      <c r="AM20" s="8">
        <v>0</v>
      </c>
      <c r="AN20" s="8">
        <v>2548</v>
      </c>
      <c r="AO20" s="8">
        <v>3617</v>
      </c>
      <c r="AP20" s="44">
        <v>0</v>
      </c>
      <c r="AQ20" s="44">
        <v>0</v>
      </c>
      <c r="AR20" s="8">
        <v>12</v>
      </c>
      <c r="AS20" s="8">
        <v>207</v>
      </c>
      <c r="AT20" s="8">
        <v>10</v>
      </c>
      <c r="AU20" s="8">
        <v>346</v>
      </c>
      <c r="AV20" s="44">
        <f>IF(Tableau14[[#This Row],[Moyenne Journalière Infrations 2016]]&gt;0, Tableau14[[#This Row],[Moyenne Journalière Infrations 2016]]-Tableau14[[#This Row],[Moyenne Journalière Infrations 2017]],0)</f>
        <v>2</v>
      </c>
      <c r="AW20" s="44">
        <f>IF(Tableau14[[#This Row],[Moyenne Journalière Infrations 2015]]&gt;0, Tableau14[[#This Row],[Moyenne Journalière Infrations 2015]]-Tableau14[[#This Row],[Moyenne Journalière Infrations 2016]],0)</f>
        <v>0</v>
      </c>
      <c r="AX20" s="8">
        <v>2</v>
      </c>
      <c r="AY20" s="8" t="s">
        <v>384</v>
      </c>
      <c r="AZ20" s="8" t="s">
        <v>371</v>
      </c>
      <c r="BA20" s="8" t="s">
        <v>390</v>
      </c>
      <c r="BB20" s="8">
        <v>1</v>
      </c>
      <c r="BC20" s="8">
        <v>2</v>
      </c>
      <c r="BD20" s="8">
        <f>Tableau14[[#This Row],[S crashes2016]]+Tableau14[[#This Row],[F crashes2016]]</f>
        <v>3</v>
      </c>
      <c r="BE20" s="12">
        <f>IF(Tableau14[[#This Row],[F crashes2016]] &lt;&gt; 0, Tableau14[[#This Row],[F &amp; S crashes2016]]/Tableau14[[#This Row],[F crashes2016]], 1)</f>
        <v>3</v>
      </c>
      <c r="BF20" s="8">
        <v>5838</v>
      </c>
      <c r="BG20" s="8">
        <v>134274</v>
      </c>
      <c r="BH20" s="8">
        <f>(Tableau14[[#This Row],[VEHIC KM / JOUR2016]]*365)/1000000000</f>
        <v>4.901001E-2</v>
      </c>
      <c r="BI20" s="8">
        <f>(Tableau14[[#This Row],[F &amp; S crashes2016]]/Tableau14[[#This Row],[BILLION VEH KM TRAVELLED2016]])</f>
        <v>61.211985061827164</v>
      </c>
      <c r="BJ20" s="44" t="s">
        <v>144</v>
      </c>
      <c r="BK20" s="8">
        <f>Tableau14[[#This Row],[F &amp; S crashes2016]]/4</f>
        <v>0.75</v>
      </c>
      <c r="BL20" s="27">
        <f>Tableau14[[#This Row],[CRASH RISK2016]]-Tableau14[[#This Row],[CRASH RISK2015]]</f>
        <v>-14.454854976486743</v>
      </c>
      <c r="BM20" s="27">
        <f>Tableau14[[#This Row],[CRASH DENSITY2016]]-Tableau14[[#This Row],[CRASH DENSITY2015]]</f>
        <v>-0.25</v>
      </c>
    </row>
    <row r="21" spans="1:65" ht="28.8" x14ac:dyDescent="0.3">
      <c r="A21" s="28">
        <f t="shared" si="0"/>
        <v>20</v>
      </c>
      <c r="B21" s="8" t="s">
        <v>106</v>
      </c>
      <c r="C21" s="11" t="s">
        <v>35</v>
      </c>
      <c r="D21" s="8" t="s">
        <v>36</v>
      </c>
      <c r="E21" s="8" t="s">
        <v>37</v>
      </c>
      <c r="F21" s="8">
        <v>286.5</v>
      </c>
      <c r="G21" s="29" t="s">
        <v>135</v>
      </c>
      <c r="H21" s="8">
        <v>3</v>
      </c>
      <c r="I21" s="8">
        <v>5</v>
      </c>
      <c r="J21" s="8">
        <f>Tableau14[[#This Row],[F crashes2015]]+Tableau14[[#This Row],[S crashes2015]]</f>
        <v>8</v>
      </c>
      <c r="K21" s="12">
        <f>IF(Tableau14[[#This Row],[F crashes2015]] &lt;&gt; 0, Tableau14[[#This Row],[F &amp; S crashes2015]]/Tableau14[[#This Row],[F crashes2015]], 1)</f>
        <v>2.6666666666666665</v>
      </c>
      <c r="L21" s="8">
        <v>3446</v>
      </c>
      <c r="M21" s="8">
        <v>134394</v>
      </c>
      <c r="N21" s="8">
        <f>(Tableau14[[#This Row],[VEHIC KM / JOUR2015]]*365)/1000000000</f>
        <v>4.9053810000000003E-2</v>
      </c>
      <c r="O21" s="23">
        <f>(Tableau14[[#This Row],[F &amp; S crashes2015]]/Tableau14[[#This Row],[BILLION VEH KM TRAVELLED2015]])</f>
        <v>163.08621083663022</v>
      </c>
      <c r="P21" s="11" t="s">
        <v>144</v>
      </c>
      <c r="Q21" s="11">
        <f>Tableau14[[#This Row],[F &amp; S crashes2015]]/4</f>
        <v>2</v>
      </c>
      <c r="R21" s="8" t="s">
        <v>144</v>
      </c>
      <c r="S21" s="23">
        <f>Tableau14[[#This Row],[VEHIC KM / JOUR2015]]/Tableau14[[#This Row],[TMJA2015 (vehi/jour)]]</f>
        <v>39</v>
      </c>
      <c r="T21" s="8">
        <v>0</v>
      </c>
      <c r="U21" s="8">
        <v>1</v>
      </c>
      <c r="V21" s="8">
        <v>60</v>
      </c>
      <c r="W21" s="8">
        <v>249</v>
      </c>
      <c r="X21" s="8">
        <v>288</v>
      </c>
      <c r="Y21" s="8">
        <v>4</v>
      </c>
      <c r="Z21" s="8">
        <v>6</v>
      </c>
      <c r="AA21" s="8">
        <f>Tableau14[[#This Row],[F Crashes trancon]]+Tableau14[[#This Row],[S crashes trancon]]</f>
        <v>10</v>
      </c>
      <c r="AB21" s="24">
        <f>IF(Tableau14[[#This Row],[F Crashes trancon]]&lt;&gt; 0, Tableau14[[#This Row],[F&amp;S crashes tronçon ]]/Tableau14[[#This Row],[F Crashes trancon]], 1)</f>
        <v>2.5</v>
      </c>
      <c r="AC21" s="23">
        <f>(Tableau14[[#This Row],[F&amp;S crashes tronçon ]]/Tableau14[[#This Row],[BILLION VEH KM TRAVELLED2015]])</f>
        <v>203.85776354578778</v>
      </c>
      <c r="AD21" s="26" t="s">
        <v>144</v>
      </c>
      <c r="AE21" s="27">
        <f>Tableau14[[#This Row],[F&amp;S crashes tronçon ]]/Tableau14[[#This Row],[LENTGH SECTION(KM)]]</f>
        <v>0.25641025641025639</v>
      </c>
      <c r="AF21" s="8" t="s">
        <v>144</v>
      </c>
      <c r="AG21" s="8">
        <v>3.62</v>
      </c>
      <c r="AH21" s="8" t="s">
        <v>212</v>
      </c>
      <c r="AI21" s="8" t="s">
        <v>212</v>
      </c>
      <c r="AJ21" s="8" t="s">
        <v>212</v>
      </c>
      <c r="AK21" s="8" t="s">
        <v>211</v>
      </c>
      <c r="AL21" s="8">
        <v>1</v>
      </c>
      <c r="AM21" s="8">
        <v>0</v>
      </c>
      <c r="AN21" s="8">
        <v>15518</v>
      </c>
      <c r="AO21" s="8">
        <v>50</v>
      </c>
      <c r="AP21" s="44">
        <v>0</v>
      </c>
      <c r="AQ21" s="44">
        <v>0</v>
      </c>
      <c r="AR21" s="8">
        <v>103</v>
      </c>
      <c r="AS21" s="8">
        <v>150</v>
      </c>
      <c r="AT21" s="8">
        <v>1</v>
      </c>
      <c r="AU21" s="8">
        <v>41</v>
      </c>
      <c r="AV21" s="44">
        <f>IF(Tableau14[[#This Row],[Moyenne Journalière Infrations 2016]]&gt;0, Tableau14[[#This Row],[Moyenne Journalière Infrations 2016]]-Tableau14[[#This Row],[Moyenne Journalière Infrations 2017]],0)</f>
        <v>102</v>
      </c>
      <c r="AW21" s="44">
        <f>IF(Tableau14[[#This Row],[Moyenne Journalière Infrations 2015]]&gt;0, Tableau14[[#This Row],[Moyenne Journalière Infrations 2015]]-Tableau14[[#This Row],[Moyenne Journalière Infrations 2016]],0)</f>
        <v>0</v>
      </c>
      <c r="AX21" s="8">
        <v>2</v>
      </c>
      <c r="AY21" s="8" t="s">
        <v>384</v>
      </c>
      <c r="AZ21" s="8" t="s">
        <v>371</v>
      </c>
      <c r="BA21" s="8" t="s">
        <v>391</v>
      </c>
      <c r="BB21" s="8">
        <v>1</v>
      </c>
      <c r="BC21" s="8">
        <v>1</v>
      </c>
      <c r="BD21" s="8">
        <f>Tableau14[[#This Row],[S crashes2016]]+Tableau14[[#This Row],[F crashes2016]]</f>
        <v>2</v>
      </c>
      <c r="BE21" s="12">
        <f>IF(Tableau14[[#This Row],[F crashes2016]] &lt;&gt; 0, Tableau14[[#This Row],[F &amp; S crashes2016]]/Tableau14[[#This Row],[F crashes2016]], 1)</f>
        <v>2</v>
      </c>
      <c r="BF21" s="8">
        <v>2921</v>
      </c>
      <c r="BG21" s="8">
        <v>113919</v>
      </c>
      <c r="BH21" s="8">
        <f>(Tableau14[[#This Row],[VEHIC KM / JOUR2016]]*365)/1000000000</f>
        <v>4.1580434999999999E-2</v>
      </c>
      <c r="BI21" s="8">
        <f>(Tableau14[[#This Row],[F &amp; S crashes2016]]/Tableau14[[#This Row],[BILLION VEH KM TRAVELLED2016]])</f>
        <v>48.0995448941311</v>
      </c>
      <c r="BJ21" s="44" t="s">
        <v>144</v>
      </c>
      <c r="BK21" s="8">
        <f>Tableau14[[#This Row],[F &amp; S crashes2016]]/4</f>
        <v>0.5</v>
      </c>
      <c r="BL21" s="27">
        <f>Tableau14[[#This Row],[CRASH RISK2016]]-Tableau14[[#This Row],[CRASH RISK2015]]</f>
        <v>-114.98666594249912</v>
      </c>
      <c r="BM21" s="27">
        <f>Tableau14[[#This Row],[CRASH DENSITY2016]]-Tableau14[[#This Row],[CRASH DENSITY2015]]</f>
        <v>-1.5</v>
      </c>
    </row>
    <row r="22" spans="1:65" x14ac:dyDescent="0.3">
      <c r="A22" s="28">
        <f t="shared" si="0"/>
        <v>21</v>
      </c>
      <c r="B22" s="8" t="s">
        <v>118</v>
      </c>
      <c r="C22" s="11" t="s">
        <v>66</v>
      </c>
      <c r="D22" s="8" t="s">
        <v>67</v>
      </c>
      <c r="E22" s="8" t="s">
        <v>68</v>
      </c>
      <c r="F22" s="8">
        <v>322.5</v>
      </c>
      <c r="G22" s="29" t="s">
        <v>135</v>
      </c>
      <c r="H22" s="8">
        <v>1</v>
      </c>
      <c r="I22" s="8">
        <v>0</v>
      </c>
      <c r="J22" s="8">
        <f>Tableau14[[#This Row],[F crashes2015]]+Tableau14[[#This Row],[S crashes2015]]</f>
        <v>1</v>
      </c>
      <c r="K22" s="12">
        <f>IF(Tableau14[[#This Row],[F crashes2015]] &lt;&gt; 0, Tableau14[[#This Row],[F &amp; S crashes2015]]/Tableau14[[#This Row],[F crashes2015]], 1)</f>
        <v>1</v>
      </c>
      <c r="L22" s="8">
        <v>2903</v>
      </c>
      <c r="M22" s="8">
        <v>194501</v>
      </c>
      <c r="N22" s="8">
        <f>(Tableau14[[#This Row],[VEHIC KM / JOUR2015]]*365)/1000000000</f>
        <v>7.0992865000000002E-2</v>
      </c>
      <c r="O22" s="23">
        <f>(Tableau14[[#This Row],[F &amp; S crashes2015]]/Tableau14[[#This Row],[BILLION VEH KM TRAVELLED2015]])</f>
        <v>14.085922578276</v>
      </c>
      <c r="P22" s="11" t="s">
        <v>146</v>
      </c>
      <c r="Q22" s="11">
        <f>Tableau14[[#This Row],[F &amp; S crashes2015]]/4</f>
        <v>0.25</v>
      </c>
      <c r="R22" s="8" t="s">
        <v>144</v>
      </c>
      <c r="S22" s="23">
        <f>Tableau14[[#This Row],[VEHIC KM / JOUR2015]]/Tableau14[[#This Row],[TMJA2015 (vehi/jour)]]</f>
        <v>67</v>
      </c>
      <c r="T22" s="8">
        <v>1</v>
      </c>
      <c r="U22" s="8">
        <v>1</v>
      </c>
      <c r="V22" s="8">
        <v>100</v>
      </c>
      <c r="W22" s="8">
        <v>318</v>
      </c>
      <c r="X22" s="8">
        <v>385</v>
      </c>
      <c r="Y22" s="8">
        <v>5</v>
      </c>
      <c r="Z22" s="8">
        <v>8</v>
      </c>
      <c r="AA22" s="8">
        <f>Tableau14[[#This Row],[F Crashes trancon]]+Tableau14[[#This Row],[S crashes trancon]]</f>
        <v>13</v>
      </c>
      <c r="AB22" s="24">
        <f>IF(Tableau14[[#This Row],[F Crashes trancon]]&lt;&gt; 0, Tableau14[[#This Row],[F&amp;S crashes tronçon ]]/Tableau14[[#This Row],[F Crashes trancon]], 1)</f>
        <v>2.6</v>
      </c>
      <c r="AC22" s="23">
        <f>(Tableau14[[#This Row],[F&amp;S crashes tronçon ]]/Tableau14[[#This Row],[BILLION VEH KM TRAVELLED2015]])</f>
        <v>183.11699351758799</v>
      </c>
      <c r="AD22" s="26" t="s">
        <v>144</v>
      </c>
      <c r="AE22" s="27">
        <f>Tableau14[[#This Row],[F&amp;S crashes tronçon ]]/Tableau14[[#This Row],[LENTGH SECTION(KM)]]</f>
        <v>0.19402985074626866</v>
      </c>
      <c r="AF22" s="8" t="s">
        <v>147</v>
      </c>
      <c r="AG22" s="8">
        <v>2.77</v>
      </c>
      <c r="AH22" s="8" t="s">
        <v>212</v>
      </c>
      <c r="AI22" s="8" t="s">
        <v>212</v>
      </c>
      <c r="AJ22" s="8" t="s">
        <v>212</v>
      </c>
      <c r="AK22" s="8" t="s">
        <v>212</v>
      </c>
      <c r="AL22" s="8">
        <v>5.72</v>
      </c>
      <c r="AM22" s="8">
        <v>7988</v>
      </c>
      <c r="AN22" s="8">
        <v>1437</v>
      </c>
      <c r="AO22" s="8">
        <v>1406</v>
      </c>
      <c r="AP22" s="8">
        <v>57</v>
      </c>
      <c r="AQ22" s="8">
        <v>140</v>
      </c>
      <c r="AR22" s="8">
        <v>13</v>
      </c>
      <c r="AS22" s="8">
        <v>110</v>
      </c>
      <c r="AT22" s="8">
        <v>6</v>
      </c>
      <c r="AU22" s="8">
        <v>229</v>
      </c>
      <c r="AV22" s="44">
        <f>IF(Tableau14[[#This Row],[Moyenne Journalière Infrations 2016]]&gt;0, Tableau14[[#This Row],[Moyenne Journalière Infrations 2016]]-Tableau14[[#This Row],[Moyenne Journalière Infrations 2017]],0)</f>
        <v>7</v>
      </c>
      <c r="AW22" s="44">
        <f>IF(Tableau14[[#This Row],[Moyenne Journalière Infrations 2015]]&gt;0, Tableau14[[#This Row],[Moyenne Journalière Infrations 2015]]-Tableau14[[#This Row],[Moyenne Journalière Infrations 2016]],0)</f>
        <v>44</v>
      </c>
      <c r="AX22" s="8">
        <v>2</v>
      </c>
      <c r="AY22" s="8" t="s">
        <v>384</v>
      </c>
      <c r="AZ22" s="8" t="s">
        <v>371</v>
      </c>
      <c r="BA22" s="8" t="s">
        <v>392</v>
      </c>
      <c r="BB22" s="8">
        <v>0</v>
      </c>
      <c r="BC22" s="8">
        <v>0</v>
      </c>
      <c r="BD22" s="8">
        <f>Tableau14[[#This Row],[S crashes2016]]+Tableau14[[#This Row],[F crashes2016]]</f>
        <v>0</v>
      </c>
      <c r="BE22" s="12">
        <f>IF(Tableau14[[#This Row],[F crashes2016]] &lt;&gt; 0, Tableau14[[#This Row],[F &amp; S crashes2016]]/Tableau14[[#This Row],[F crashes2016]], 1)</f>
        <v>1</v>
      </c>
      <c r="BF22" s="8">
        <v>2981</v>
      </c>
      <c r="BG22" s="8">
        <v>199727</v>
      </c>
      <c r="BH22" s="8">
        <f>(Tableau14[[#This Row],[VEHIC KM / JOUR2016]]*365)/1000000000</f>
        <v>7.2900355E-2</v>
      </c>
      <c r="BI22" s="8">
        <f>(Tableau14[[#This Row],[F &amp; S crashes2016]]/Tableau14[[#This Row],[BILLION VEH KM TRAVELLED2016]])</f>
        <v>0</v>
      </c>
      <c r="BJ22" s="8" t="s">
        <v>143</v>
      </c>
      <c r="BK22" s="8">
        <f>Tableau14[[#This Row],[F &amp; S crashes2016]]/4</f>
        <v>0</v>
      </c>
      <c r="BL22" s="27">
        <f>Tableau14[[#This Row],[CRASH RISK2016]]-Tableau14[[#This Row],[CRASH RISK2015]]</f>
        <v>-14.085922578276</v>
      </c>
      <c r="BM22" s="27">
        <f>Tableau14[[#This Row],[CRASH DENSITY2016]]-Tableau14[[#This Row],[CRASH DENSITY2015]]</f>
        <v>-0.25</v>
      </c>
    </row>
    <row r="23" spans="1:65" x14ac:dyDescent="0.3">
      <c r="A23" s="28">
        <f t="shared" si="0"/>
        <v>22</v>
      </c>
      <c r="B23" s="8" t="s">
        <v>303</v>
      </c>
      <c r="C23" s="11" t="s">
        <v>320</v>
      </c>
      <c r="D23" s="49" t="s">
        <v>64</v>
      </c>
      <c r="E23" s="50" t="s">
        <v>342</v>
      </c>
      <c r="F23" s="8">
        <v>378.4</v>
      </c>
      <c r="G23" s="8" t="s">
        <v>135</v>
      </c>
      <c r="H23" s="8">
        <v>0</v>
      </c>
      <c r="I23" s="8">
        <v>0</v>
      </c>
      <c r="J23" s="8">
        <f>Tableau14[[#This Row],[F crashes2015]]+Tableau14[[#This Row],[S crashes2015]]</f>
        <v>0</v>
      </c>
      <c r="K23" s="33">
        <f>IF(Tableau14[[#This Row],[F crashes2015]] &lt;&gt; 0, Tableau14[[#This Row],[F &amp; S crashes2015]]/Tableau14[[#This Row],[F crashes2015]], 1)</f>
        <v>1</v>
      </c>
      <c r="L23" s="8">
        <v>2903</v>
      </c>
      <c r="M23" s="8">
        <v>194501</v>
      </c>
      <c r="N23" s="26">
        <f>(Tableau14[[#This Row],[VEHIC KM / JOUR2015]]*365)/1000000000</f>
        <v>7.0992865000000002E-2</v>
      </c>
      <c r="O23" s="26">
        <f>(Tableau14[[#This Row],[F &amp; S crashes2015]]/Tableau14[[#This Row],[BILLION VEH KM TRAVELLED2015]])</f>
        <v>0</v>
      </c>
      <c r="P23" s="11" t="s">
        <v>143</v>
      </c>
      <c r="Q23" s="34">
        <f>Tableau14[[#This Row],[F &amp; S crashes2015]]/4</f>
        <v>0</v>
      </c>
      <c r="R23" s="11"/>
      <c r="S23" s="23">
        <f>Tableau14[[#This Row],[VEHIC KM / JOUR2015]]/Tableau14[[#This Row],[TMJA2015 (vehi/jour)]]</f>
        <v>67</v>
      </c>
      <c r="T23" s="8"/>
      <c r="U23" s="8"/>
      <c r="V23" s="8">
        <v>60</v>
      </c>
      <c r="W23" s="8"/>
      <c r="X23" s="8"/>
      <c r="Y23" s="8"/>
      <c r="Z23" s="8"/>
      <c r="AA23" s="26">
        <f>Tableau14[[#This Row],[F Crashes trancon]]+Tableau14[[#This Row],[S crashes trancon]]</f>
        <v>0</v>
      </c>
      <c r="AB23" s="23">
        <f>IF(Tableau14[[#This Row],[F Crashes trancon]]&lt;&gt; 0, Tableau14[[#This Row],[F&amp;S crashes tronçon ]]/Tableau14[[#This Row],[F Crashes trancon]], 1)</f>
        <v>1</v>
      </c>
      <c r="AC23" s="23">
        <f>(Tableau14[[#This Row],[F&amp;S crashes tronçon ]]/Tableau14[[#This Row],[BILLION VEH KM TRAVELLED2015]])</f>
        <v>0</v>
      </c>
      <c r="AD23" s="26"/>
      <c r="AE23" s="27">
        <f>Tableau14[[#This Row],[F&amp;S crashes tronçon ]]/Tableau14[[#This Row],[LENTGH SECTION(KM)]]</f>
        <v>0</v>
      </c>
      <c r="AF23" s="8"/>
      <c r="AG23" s="8">
        <v>1</v>
      </c>
      <c r="AH23" s="8" t="s">
        <v>212</v>
      </c>
      <c r="AI23" s="8" t="s">
        <v>212</v>
      </c>
      <c r="AJ23" s="8" t="s">
        <v>212</v>
      </c>
      <c r="AK23" s="8" t="s">
        <v>211</v>
      </c>
      <c r="AL23" s="8">
        <v>1</v>
      </c>
      <c r="AM23" s="8"/>
      <c r="AN23" s="8"/>
      <c r="AO23" s="8"/>
      <c r="AP23" s="44">
        <v>0</v>
      </c>
      <c r="AQ23" s="44">
        <v>0</v>
      </c>
      <c r="AR23" s="8">
        <v>137</v>
      </c>
      <c r="AS23" s="8">
        <v>5</v>
      </c>
      <c r="AT23" s="8">
        <v>34</v>
      </c>
      <c r="AU23" s="8">
        <v>282</v>
      </c>
      <c r="AV23" s="44">
        <f>IF(Tableau14[[#This Row],[Moyenne Journalière Infrations 2016]]&gt;0, Tableau14[[#This Row],[Moyenne Journalière Infrations 2016]]-Tableau14[[#This Row],[Moyenne Journalière Infrations 2017]],0)</f>
        <v>103</v>
      </c>
      <c r="AW23" s="44">
        <f>IF(Tableau14[[#This Row],[Moyenne Journalière Infrations 2015]]&gt;0, Tableau14[[#This Row],[Moyenne Journalière Infrations 2015]]-Tableau14[[#This Row],[Moyenne Journalière Infrations 2016]],0)</f>
        <v>0</v>
      </c>
      <c r="AX23" s="8">
        <v>2</v>
      </c>
      <c r="AY23" s="8" t="s">
        <v>385</v>
      </c>
      <c r="AZ23" s="8" t="s">
        <v>371</v>
      </c>
      <c r="BA23" s="8" t="s">
        <v>393</v>
      </c>
      <c r="BB23" s="8">
        <v>1</v>
      </c>
      <c r="BC23" s="8">
        <v>0</v>
      </c>
      <c r="BD23" s="8">
        <f>Tableau14[[#This Row],[S crashes2016]]+Tableau14[[#This Row],[F crashes2016]]</f>
        <v>1</v>
      </c>
      <c r="BE23" s="12">
        <f>IF(Tableau14[[#This Row],[F crashes2016]] &lt;&gt; 0, Tableau14[[#This Row],[F &amp; S crashes2016]]/Tableau14[[#This Row],[F crashes2016]], 1)</f>
        <v>1</v>
      </c>
      <c r="BF23" s="8">
        <v>2981</v>
      </c>
      <c r="BG23" s="8">
        <v>199727</v>
      </c>
      <c r="BH23" s="8">
        <f>(Tableau14[[#This Row],[VEHIC KM / JOUR2016]]*365)/1000000000</f>
        <v>7.2900355E-2</v>
      </c>
      <c r="BI23" s="8">
        <f>(Tableau14[[#This Row],[F &amp; S crashes2016]]/Tableau14[[#This Row],[BILLION VEH KM TRAVELLED2016]])</f>
        <v>13.717354325640802</v>
      </c>
      <c r="BJ23" t="s">
        <v>146</v>
      </c>
      <c r="BK23" s="8">
        <f>Tableau14[[#This Row],[F &amp; S crashes2016]]/4</f>
        <v>0.25</v>
      </c>
      <c r="BL23" s="27">
        <f>Tableau14[[#This Row],[CRASH RISK2016]]-Tableau14[[#This Row],[CRASH RISK2015]]</f>
        <v>13.717354325640802</v>
      </c>
      <c r="BM23" s="27">
        <f>Tableau14[[#This Row],[CRASH DENSITY2016]]-Tableau14[[#This Row],[CRASH DENSITY2015]]</f>
        <v>0.25</v>
      </c>
    </row>
    <row r="24" spans="1:65" x14ac:dyDescent="0.3">
      <c r="A24" s="28">
        <f t="shared" si="0"/>
        <v>23</v>
      </c>
      <c r="B24" s="8" t="s">
        <v>117</v>
      </c>
      <c r="C24" s="11" t="s">
        <v>63</v>
      </c>
      <c r="D24" s="8" t="s">
        <v>64</v>
      </c>
      <c r="E24" s="8" t="s">
        <v>65</v>
      </c>
      <c r="F24" s="8">
        <v>385.5</v>
      </c>
      <c r="G24" s="29" t="s">
        <v>135</v>
      </c>
      <c r="H24" s="8">
        <v>1</v>
      </c>
      <c r="I24" s="8">
        <v>2</v>
      </c>
      <c r="J24" s="8">
        <f>Tableau14[[#This Row],[F crashes2015]]+Tableau14[[#This Row],[S crashes2015]]</f>
        <v>3</v>
      </c>
      <c r="K24" s="12">
        <f>IF(Tableau14[[#This Row],[F crashes2015]] &lt;&gt; 0, Tableau14[[#This Row],[F &amp; S crashes2015]]/Tableau14[[#This Row],[F crashes2015]], 1)</f>
        <v>3</v>
      </c>
      <c r="L24" s="8">
        <v>2152</v>
      </c>
      <c r="M24" s="8">
        <v>94344</v>
      </c>
      <c r="N24" s="8">
        <f>(Tableau14[[#This Row],[VEHIC KM / JOUR2015]]*365)/1000000000</f>
        <v>3.4435559999999997E-2</v>
      </c>
      <c r="O24" s="23">
        <f>(Tableau14[[#This Row],[F &amp; S crashes2015]]/Tableau14[[#This Row],[BILLION VEH KM TRAVELLED2015]])</f>
        <v>87.119245338249186</v>
      </c>
      <c r="P24" s="11" t="s">
        <v>144</v>
      </c>
      <c r="Q24" s="11">
        <f>Tableau14[[#This Row],[F &amp; S crashes2015]]/4</f>
        <v>0.75</v>
      </c>
      <c r="R24" s="8" t="s">
        <v>144</v>
      </c>
      <c r="S24" s="23">
        <f>Tableau14[[#This Row],[VEHIC KM / JOUR2015]]/Tableau14[[#This Row],[TMJA2015 (vehi/jour)]]</f>
        <v>43.840148698884761</v>
      </c>
      <c r="T24" s="8">
        <v>1</v>
      </c>
      <c r="U24" s="8">
        <v>1</v>
      </c>
      <c r="V24" s="8">
        <v>60</v>
      </c>
      <c r="W24" s="8">
        <v>385</v>
      </c>
      <c r="X24" s="8">
        <v>428.84</v>
      </c>
      <c r="Y24" s="8">
        <v>3</v>
      </c>
      <c r="Z24" s="8">
        <v>5</v>
      </c>
      <c r="AA24" s="8">
        <f>Tableau14[[#This Row],[F Crashes trancon]]+Tableau14[[#This Row],[S crashes trancon]]</f>
        <v>8</v>
      </c>
      <c r="AB24" s="24">
        <f>IF(Tableau14[[#This Row],[F Crashes trancon]]&lt;&gt; 0, Tableau14[[#This Row],[F&amp;S crashes tronçon ]]/Tableau14[[#This Row],[F Crashes trancon]], 1)</f>
        <v>2.6666666666666665</v>
      </c>
      <c r="AC24" s="23">
        <f>(Tableau14[[#This Row],[F&amp;S crashes tronçon ]]/Tableau14[[#This Row],[BILLION VEH KM TRAVELLED2015]])</f>
        <v>232.31798756866451</v>
      </c>
      <c r="AD24" s="26" t="s">
        <v>144</v>
      </c>
      <c r="AE24" s="27">
        <f>Tableau14[[#This Row],[F&amp;S crashes tronçon ]]/Tableau14[[#This Row],[LENTGH SECTION(KM)]]</f>
        <v>0.18248113287543458</v>
      </c>
      <c r="AF24" s="8" t="s">
        <v>147</v>
      </c>
      <c r="AG24" s="8">
        <v>0.69</v>
      </c>
      <c r="AH24" s="8" t="s">
        <v>212</v>
      </c>
      <c r="AI24" s="8" t="s">
        <v>212</v>
      </c>
      <c r="AJ24" s="8" t="s">
        <v>212</v>
      </c>
      <c r="AK24" s="8" t="s">
        <v>211</v>
      </c>
      <c r="AL24" s="8">
        <v>1</v>
      </c>
      <c r="AM24" s="8">
        <v>0</v>
      </c>
      <c r="AN24" s="8">
        <v>1467</v>
      </c>
      <c r="AO24" s="8">
        <v>6254</v>
      </c>
      <c r="AP24" s="44">
        <v>0</v>
      </c>
      <c r="AQ24" s="44">
        <v>0</v>
      </c>
      <c r="AR24" s="8">
        <v>28</v>
      </c>
      <c r="AS24" s="8">
        <v>52</v>
      </c>
      <c r="AT24" s="8">
        <v>21</v>
      </c>
      <c r="AU24" s="8">
        <v>297</v>
      </c>
      <c r="AV24" s="44">
        <f>IF(Tableau14[[#This Row],[Moyenne Journalière Infrations 2016]]&gt;0, Tableau14[[#This Row],[Moyenne Journalière Infrations 2016]]-Tableau14[[#This Row],[Moyenne Journalière Infrations 2017]],0)</f>
        <v>7</v>
      </c>
      <c r="AW24" s="44">
        <f>IF(Tableau14[[#This Row],[Moyenne Journalière Infrations 2015]]&gt;0, Tableau14[[#This Row],[Moyenne Journalière Infrations 2015]]-Tableau14[[#This Row],[Moyenne Journalière Infrations 2016]],0)</f>
        <v>0</v>
      </c>
      <c r="AX24" s="8">
        <v>2</v>
      </c>
      <c r="AY24" s="8" t="s">
        <v>384</v>
      </c>
      <c r="AZ24" s="8" t="s">
        <v>371</v>
      </c>
      <c r="BA24" s="8" t="s">
        <v>394</v>
      </c>
      <c r="BB24" s="8">
        <v>0</v>
      </c>
      <c r="BC24" s="8">
        <v>1</v>
      </c>
      <c r="BD24" s="8">
        <f>Tableau14[[#This Row],[S crashes2016]]+Tableau14[[#This Row],[F crashes2016]]</f>
        <v>1</v>
      </c>
      <c r="BE24" s="12">
        <f>IF(Tableau14[[#This Row],[F crashes2016]] &lt;&gt; 0, Tableau14[[#This Row],[F &amp; S crashes2016]]/Tableau14[[#This Row],[F crashes2016]], 1)</f>
        <v>1</v>
      </c>
      <c r="BF24" s="8">
        <v>2002</v>
      </c>
      <c r="BG24" s="8">
        <v>87768</v>
      </c>
      <c r="BH24" s="8">
        <f>(Tableau14[[#This Row],[VEHIC KM / JOUR2016]]*365)/1000000000</f>
        <v>3.2035319999999999E-2</v>
      </c>
      <c r="BI24" s="8">
        <f>(Tableau14[[#This Row],[F &amp; S crashes2016]]/Tableau14[[#This Row],[BILLION VEH KM TRAVELLED2016]])</f>
        <v>31.215545841277692</v>
      </c>
      <c r="BJ24" s="44" t="s">
        <v>144</v>
      </c>
      <c r="BK24" s="8">
        <f>Tableau14[[#This Row],[F &amp; S crashes2016]]/4</f>
        <v>0.25</v>
      </c>
      <c r="BL24" s="27">
        <f>Tableau14[[#This Row],[CRASH RISK2016]]-Tableau14[[#This Row],[CRASH RISK2015]]</f>
        <v>-55.903699496971498</v>
      </c>
      <c r="BM24" s="27">
        <f>Tableau14[[#This Row],[CRASH DENSITY2016]]-Tableau14[[#This Row],[CRASH DENSITY2015]]</f>
        <v>-0.5</v>
      </c>
    </row>
    <row r="25" spans="1:65" x14ac:dyDescent="0.3">
      <c r="A25" s="28">
        <f t="shared" si="0"/>
        <v>24</v>
      </c>
      <c r="B25" s="8" t="s">
        <v>122</v>
      </c>
      <c r="C25" s="11" t="s">
        <v>78</v>
      </c>
      <c r="D25" s="8" t="s">
        <v>79</v>
      </c>
      <c r="E25" s="8" t="s">
        <v>80</v>
      </c>
      <c r="F25" s="8">
        <v>434</v>
      </c>
      <c r="G25" s="29" t="s">
        <v>135</v>
      </c>
      <c r="H25" s="8">
        <v>0</v>
      </c>
      <c r="I25" s="8">
        <v>0</v>
      </c>
      <c r="J25" s="8">
        <f>Tableau14[[#This Row],[F crashes2015]]+Tableau14[[#This Row],[S crashes2015]]</f>
        <v>0</v>
      </c>
      <c r="K25" s="12">
        <f>IF(Tableau14[[#This Row],[F crashes2015]] &lt;&gt; 0, Tableau14[[#This Row],[F &amp; S crashes2015]]/Tableau14[[#This Row],[F crashes2015]], 1)</f>
        <v>1</v>
      </c>
      <c r="L25" s="8">
        <v>2985</v>
      </c>
      <c r="M25" s="8">
        <v>91729</v>
      </c>
      <c r="N25" s="8">
        <f>(Tableau14[[#This Row],[VEHIC KM / JOUR2015]]*365)/1000000000</f>
        <v>3.3481085000000001E-2</v>
      </c>
      <c r="O25" s="8">
        <f>(Tableau14[[#This Row],[F &amp; S crashes2015]]/Tableau14[[#This Row],[BILLION VEH KM TRAVELLED2015]])</f>
        <v>0</v>
      </c>
      <c r="P25" s="11" t="s">
        <v>143</v>
      </c>
      <c r="Q25" s="11">
        <f>Tableau14[[#This Row],[F &amp; S crashes2015]]/4</f>
        <v>0</v>
      </c>
      <c r="R25" s="11" t="s">
        <v>143</v>
      </c>
      <c r="S25" s="23">
        <f>Tableau14[[#This Row],[VEHIC KM / JOUR2015]]/Tableau14[[#This Row],[TMJA2015 (vehi/jour)]]</f>
        <v>30.729983249581238</v>
      </c>
      <c r="T25" s="8">
        <v>1</v>
      </c>
      <c r="U25" s="8">
        <v>1</v>
      </c>
      <c r="V25" s="8">
        <v>60</v>
      </c>
      <c r="W25" s="8">
        <v>428.84</v>
      </c>
      <c r="X25" s="8">
        <v>459.57</v>
      </c>
      <c r="Y25" s="8">
        <v>1</v>
      </c>
      <c r="Z25" s="8">
        <v>0</v>
      </c>
      <c r="AA25" s="8">
        <f>Tableau14[[#This Row],[F Crashes trancon]]+Tableau14[[#This Row],[S crashes trancon]]</f>
        <v>1</v>
      </c>
      <c r="AB25" s="24">
        <f>IF(Tableau14[[#This Row],[F Crashes trancon]]&lt;&gt; 0, Tableau14[[#This Row],[F&amp;S crashes tronçon ]]/Tableau14[[#This Row],[F Crashes trancon]], 1)</f>
        <v>1</v>
      </c>
      <c r="AC25" s="23">
        <f>(Tableau14[[#This Row],[F&amp;S crashes tronçon ]]/Tableau14[[#This Row],[BILLION VEH KM TRAVELLED2015]])</f>
        <v>29.86761032385898</v>
      </c>
      <c r="AD25" s="26" t="s">
        <v>144</v>
      </c>
      <c r="AE25" s="27">
        <f>Tableau14[[#This Row],[F&amp;S crashes tronçon ]]/Tableau14[[#This Row],[LENTGH SECTION(KM)]]</f>
        <v>3.2541508138102457E-2</v>
      </c>
      <c r="AF25" s="8" t="s">
        <v>167</v>
      </c>
      <c r="AG25" s="8">
        <v>2.2799999999999998</v>
      </c>
      <c r="AH25" s="8" t="s">
        <v>212</v>
      </c>
      <c r="AI25" s="8" t="s">
        <v>212</v>
      </c>
      <c r="AJ25" s="8" t="s">
        <v>212</v>
      </c>
      <c r="AK25" s="8" t="s">
        <v>211</v>
      </c>
      <c r="AL25" s="8">
        <v>3</v>
      </c>
      <c r="AM25" s="8">
        <v>0</v>
      </c>
      <c r="AN25" s="8">
        <v>6069</v>
      </c>
      <c r="AO25" s="8">
        <v>11710</v>
      </c>
      <c r="AP25" s="44">
        <v>0</v>
      </c>
      <c r="AQ25" s="44">
        <v>0</v>
      </c>
      <c r="AR25" s="8">
        <v>151</v>
      </c>
      <c r="AS25" s="8">
        <v>40</v>
      </c>
      <c r="AT25" s="8">
        <v>35</v>
      </c>
      <c r="AU25" s="8">
        <v>329</v>
      </c>
      <c r="AV25" s="44">
        <f>IF(Tableau14[[#This Row],[Moyenne Journalière Infrations 2016]]&gt;0, Tableau14[[#This Row],[Moyenne Journalière Infrations 2016]]-Tableau14[[#This Row],[Moyenne Journalière Infrations 2017]],0)</f>
        <v>116</v>
      </c>
      <c r="AW25" s="44">
        <f>IF(Tableau14[[#This Row],[Moyenne Journalière Infrations 2015]]&gt;0, Tableau14[[#This Row],[Moyenne Journalière Infrations 2015]]-Tableau14[[#This Row],[Moyenne Journalière Infrations 2016]],0)</f>
        <v>0</v>
      </c>
      <c r="AX25" s="8">
        <v>4</v>
      </c>
      <c r="AY25" s="8" t="s">
        <v>384</v>
      </c>
      <c r="AZ25" s="8" t="s">
        <v>371</v>
      </c>
      <c r="BA25" s="8" t="s">
        <v>395</v>
      </c>
      <c r="BB25" s="8">
        <v>0</v>
      </c>
      <c r="BC25" s="8">
        <v>0</v>
      </c>
      <c r="BD25" s="8">
        <f>Tableau14[[#This Row],[S crashes2016]]+Tableau14[[#This Row],[F crashes2016]]</f>
        <v>0</v>
      </c>
      <c r="BE25" s="12">
        <f>IF(Tableau14[[#This Row],[F crashes2016]] &lt;&gt; 0, Tableau14[[#This Row],[F &amp; S crashes2016]]/Tableau14[[#This Row],[F crashes2016]], 1)</f>
        <v>1</v>
      </c>
      <c r="BF25" s="8">
        <v>2743</v>
      </c>
      <c r="BG25" s="8">
        <v>84292</v>
      </c>
      <c r="BH25" s="8">
        <f>(Tableau14[[#This Row],[VEHIC KM / JOUR2016]]*365)/1000000000</f>
        <v>3.0766580000000002E-2</v>
      </c>
      <c r="BI25" s="8">
        <f>(Tableau14[[#This Row],[F &amp; S crashes2016]]/Tableau14[[#This Row],[BILLION VEH KM TRAVELLED2016]])</f>
        <v>0</v>
      </c>
      <c r="BJ25" s="8" t="s">
        <v>143</v>
      </c>
      <c r="BK25" s="8">
        <f>Tableau14[[#This Row],[F &amp; S crashes2016]]/4</f>
        <v>0</v>
      </c>
      <c r="BL25" s="27">
        <f>Tableau14[[#This Row],[CRASH RISK2016]]-Tableau14[[#This Row],[CRASH RISK2015]]</f>
        <v>0</v>
      </c>
      <c r="BM25" s="27">
        <f>Tableau14[[#This Row],[CRASH DENSITY2016]]-Tableau14[[#This Row],[CRASH DENSITY2015]]</f>
        <v>0</v>
      </c>
    </row>
    <row r="26" spans="1:65" x14ac:dyDescent="0.3">
      <c r="A26" s="28">
        <f t="shared" si="0"/>
        <v>25</v>
      </c>
      <c r="B26" s="8" t="s">
        <v>123</v>
      </c>
      <c r="C26" s="11" t="s">
        <v>81</v>
      </c>
      <c r="D26" s="8" t="s">
        <v>82</v>
      </c>
      <c r="E26" s="8" t="s">
        <v>83</v>
      </c>
      <c r="F26" s="8">
        <v>434.1</v>
      </c>
      <c r="G26" s="29" t="s">
        <v>135</v>
      </c>
      <c r="H26" s="8">
        <v>0</v>
      </c>
      <c r="I26" s="8">
        <v>0</v>
      </c>
      <c r="J26" s="8">
        <f>Tableau14[[#This Row],[F crashes2015]]+Tableau14[[#This Row],[S crashes2015]]</f>
        <v>0</v>
      </c>
      <c r="K26" s="12">
        <f>IF(Tableau14[[#This Row],[F crashes2015]] &lt;&gt; 0, Tableau14[[#This Row],[F &amp; S crashes2015]]/Tableau14[[#This Row],[F crashes2015]], 1)</f>
        <v>1</v>
      </c>
      <c r="L26" s="8">
        <v>2985</v>
      </c>
      <c r="M26" s="8">
        <v>91729</v>
      </c>
      <c r="N26" s="8">
        <f>(Tableau14[[#This Row],[VEHIC KM / JOUR2015]]*365)/1000000000</f>
        <v>3.3481085000000001E-2</v>
      </c>
      <c r="O26" s="8">
        <f>(Tableau14[[#This Row],[F &amp; S crashes2015]]/Tableau14[[#This Row],[BILLION VEH KM TRAVELLED2015]])</f>
        <v>0</v>
      </c>
      <c r="P26" s="11" t="s">
        <v>143</v>
      </c>
      <c r="Q26" s="11">
        <f>Tableau14[[#This Row],[F &amp; S crashes2015]]/4</f>
        <v>0</v>
      </c>
      <c r="R26" s="11" t="s">
        <v>143</v>
      </c>
      <c r="S26" s="23">
        <f>Tableau14[[#This Row],[VEHIC KM / JOUR2015]]/Tableau14[[#This Row],[TMJA2015 (vehi/jour)]]</f>
        <v>30.729983249581238</v>
      </c>
      <c r="T26" s="8">
        <v>1</v>
      </c>
      <c r="U26" s="8">
        <v>1</v>
      </c>
      <c r="V26" s="8">
        <v>60</v>
      </c>
      <c r="W26" s="8">
        <v>428.84</v>
      </c>
      <c r="X26" s="8">
        <v>459.57</v>
      </c>
      <c r="Y26" s="8">
        <v>1</v>
      </c>
      <c r="Z26" s="8">
        <v>0</v>
      </c>
      <c r="AA26" s="8">
        <f>Tableau14[[#This Row],[F Crashes trancon]]+Tableau14[[#This Row],[S crashes trancon]]</f>
        <v>1</v>
      </c>
      <c r="AB26" s="24">
        <f>IF(Tableau14[[#This Row],[F Crashes trancon]]&lt;&gt; 0, Tableau14[[#This Row],[F&amp;S crashes tronçon ]]/Tableau14[[#This Row],[F Crashes trancon]], 1)</f>
        <v>1</v>
      </c>
      <c r="AC26" s="23">
        <f>(Tableau14[[#This Row],[F&amp;S crashes tronçon ]]/Tableau14[[#This Row],[BILLION VEH KM TRAVELLED2015]])</f>
        <v>29.86761032385898</v>
      </c>
      <c r="AD26" s="26" t="s">
        <v>144</v>
      </c>
      <c r="AE26" s="27">
        <f>Tableau14[[#This Row],[F&amp;S crashes tronçon ]]/Tableau14[[#This Row],[LENTGH SECTION(KM)]]</f>
        <v>3.2541508138102457E-2</v>
      </c>
      <c r="AF26" s="8" t="s">
        <v>167</v>
      </c>
      <c r="AG26" s="8">
        <v>2.2799999999999998</v>
      </c>
      <c r="AH26" s="8" t="s">
        <v>212</v>
      </c>
      <c r="AI26" s="8" t="s">
        <v>212</v>
      </c>
      <c r="AJ26" s="8" t="s">
        <v>212</v>
      </c>
      <c r="AK26" s="8" t="s">
        <v>211</v>
      </c>
      <c r="AL26" s="8">
        <v>3</v>
      </c>
      <c r="AM26" s="8">
        <v>0</v>
      </c>
      <c r="AN26" s="8">
        <v>7808</v>
      </c>
      <c r="AO26" s="8">
        <v>22173</v>
      </c>
      <c r="AP26" s="44">
        <v>0</v>
      </c>
      <c r="AQ26" s="44">
        <v>0</v>
      </c>
      <c r="AR26" s="8">
        <v>106</v>
      </c>
      <c r="AS26" s="8">
        <v>73</v>
      </c>
      <c r="AT26" s="8">
        <v>67</v>
      </c>
      <c r="AU26" s="8">
        <v>327</v>
      </c>
      <c r="AV26" s="44">
        <f>IF(Tableau14[[#This Row],[Moyenne Journalière Infrations 2016]]&gt;0, Tableau14[[#This Row],[Moyenne Journalière Infrations 2016]]-Tableau14[[#This Row],[Moyenne Journalière Infrations 2017]],0)</f>
        <v>39</v>
      </c>
      <c r="AW26" s="44">
        <f>IF(Tableau14[[#This Row],[Moyenne Journalière Infrations 2015]]&gt;0, Tableau14[[#This Row],[Moyenne Journalière Infrations 2015]]-Tableau14[[#This Row],[Moyenne Journalière Infrations 2016]],0)</f>
        <v>0</v>
      </c>
      <c r="AX26" s="8">
        <v>3</v>
      </c>
      <c r="AY26" s="8" t="s">
        <v>384</v>
      </c>
      <c r="AZ26" s="8" t="s">
        <v>371</v>
      </c>
      <c r="BA26" s="8" t="s">
        <v>396</v>
      </c>
      <c r="BB26" s="8">
        <v>0</v>
      </c>
      <c r="BC26" s="8">
        <v>0</v>
      </c>
      <c r="BD26" s="8">
        <f>Tableau14[[#This Row],[S crashes2016]]+Tableau14[[#This Row],[F crashes2016]]</f>
        <v>0</v>
      </c>
      <c r="BE26" s="12">
        <f>IF(Tableau14[[#This Row],[F crashes2016]] &lt;&gt; 0, Tableau14[[#This Row],[F &amp; S crashes2016]]/Tableau14[[#This Row],[F crashes2016]], 1)</f>
        <v>1</v>
      </c>
      <c r="BF26" s="8">
        <v>2743</v>
      </c>
      <c r="BG26" s="8">
        <v>84292</v>
      </c>
      <c r="BH26" s="8">
        <f>(Tableau14[[#This Row],[VEHIC KM / JOUR2016]]*365)/1000000000</f>
        <v>3.0766580000000002E-2</v>
      </c>
      <c r="BI26" s="8">
        <f>(Tableau14[[#This Row],[F &amp; S crashes2016]]/Tableau14[[#This Row],[BILLION VEH KM TRAVELLED2016]])</f>
        <v>0</v>
      </c>
      <c r="BJ26" s="8" t="s">
        <v>143</v>
      </c>
      <c r="BK26" s="8">
        <f>Tableau14[[#This Row],[F &amp; S crashes2016]]/4</f>
        <v>0</v>
      </c>
      <c r="BL26" s="27">
        <f>Tableau14[[#This Row],[CRASH RISK2016]]-Tableau14[[#This Row],[CRASH RISK2015]]</f>
        <v>0</v>
      </c>
      <c r="BM26" s="27">
        <f>Tableau14[[#This Row],[CRASH DENSITY2016]]-Tableau14[[#This Row],[CRASH DENSITY2015]]</f>
        <v>0</v>
      </c>
    </row>
    <row r="27" spans="1:65" ht="28.8" x14ac:dyDescent="0.3">
      <c r="A27" s="28">
        <f t="shared" si="0"/>
        <v>26</v>
      </c>
      <c r="B27" s="8" t="s">
        <v>304</v>
      </c>
      <c r="C27" s="11" t="s">
        <v>328</v>
      </c>
      <c r="D27" s="49" t="s">
        <v>343</v>
      </c>
      <c r="E27" s="50" t="s">
        <v>344</v>
      </c>
      <c r="F27" s="8">
        <v>482.2</v>
      </c>
      <c r="G27" s="8" t="s">
        <v>135</v>
      </c>
      <c r="H27" s="8">
        <v>0</v>
      </c>
      <c r="I27" s="8">
        <v>0</v>
      </c>
      <c r="J27" s="8">
        <f>Tableau14[[#This Row],[F crashes2015]]+Tableau14[[#This Row],[S crashes2015]]</f>
        <v>0</v>
      </c>
      <c r="K27" s="33">
        <f>IF(Tableau14[[#This Row],[F crashes2015]] &lt;&gt; 0, Tableau14[[#This Row],[F &amp; S crashes2015]]/Tableau14[[#This Row],[F crashes2015]], 1)</f>
        <v>1</v>
      </c>
      <c r="L27" s="8">
        <v>2152</v>
      </c>
      <c r="M27" s="8">
        <v>94344</v>
      </c>
      <c r="N27" s="26">
        <f>(Tableau14[[#This Row],[VEHIC KM / JOUR2015]]*365)/1000000000</f>
        <v>3.4435559999999997E-2</v>
      </c>
      <c r="O27" s="26">
        <f>(Tableau14[[#This Row],[F &amp; S crashes2015]]/Tableau14[[#This Row],[BILLION VEH KM TRAVELLED2015]])</f>
        <v>0</v>
      </c>
      <c r="P27" s="11" t="s">
        <v>143</v>
      </c>
      <c r="Q27" s="34">
        <f>Tableau14[[#This Row],[F &amp; S crashes2015]]/4</f>
        <v>0</v>
      </c>
      <c r="R27" s="11"/>
      <c r="S27" s="23">
        <f>Tableau14[[#This Row],[VEHIC KM / JOUR2015]]/Tableau14[[#This Row],[TMJA2015 (vehi/jour)]]</f>
        <v>43.840148698884761</v>
      </c>
      <c r="T27" s="8"/>
      <c r="U27" s="8"/>
      <c r="V27" s="8">
        <v>60</v>
      </c>
      <c r="W27" s="8"/>
      <c r="X27" s="8"/>
      <c r="Y27" s="8"/>
      <c r="Z27" s="8"/>
      <c r="AA27" s="26">
        <f>Tableau14[[#This Row],[F Crashes trancon]]+Tableau14[[#This Row],[S crashes trancon]]</f>
        <v>0</v>
      </c>
      <c r="AB27" s="23">
        <f>IF(Tableau14[[#This Row],[F Crashes trancon]]&lt;&gt; 0, Tableau14[[#This Row],[F&amp;S crashes tronçon ]]/Tableau14[[#This Row],[F Crashes trancon]], 1)</f>
        <v>1</v>
      </c>
      <c r="AC27" s="23">
        <f>(Tableau14[[#This Row],[F&amp;S crashes tronçon ]]/Tableau14[[#This Row],[BILLION VEH KM TRAVELLED2015]])</f>
        <v>0</v>
      </c>
      <c r="AD27" s="26"/>
      <c r="AE27" s="27">
        <f>Tableau14[[#This Row],[F&amp;S crashes tronçon ]]/Tableau14[[#This Row],[LENTGH SECTION(KM)]]</f>
        <v>0</v>
      </c>
      <c r="AF27" s="8"/>
      <c r="AG27" s="8">
        <v>2.6</v>
      </c>
      <c r="AH27" s="8" t="s">
        <v>212</v>
      </c>
      <c r="AI27" s="8" t="s">
        <v>212</v>
      </c>
      <c r="AJ27" s="8" t="s">
        <v>212</v>
      </c>
      <c r="AK27" s="8" t="s">
        <v>211</v>
      </c>
      <c r="AL27" s="8">
        <v>1.7</v>
      </c>
      <c r="AM27" s="8"/>
      <c r="AN27" s="8"/>
      <c r="AO27" s="8"/>
      <c r="AP27" s="44">
        <v>0</v>
      </c>
      <c r="AQ27" s="44">
        <v>0</v>
      </c>
      <c r="AR27" s="8">
        <v>37</v>
      </c>
      <c r="AS27" s="8">
        <v>216</v>
      </c>
      <c r="AT27" s="8">
        <v>20</v>
      </c>
      <c r="AU27" s="8">
        <v>362</v>
      </c>
      <c r="AV27" s="44">
        <f>IF(Tableau14[[#This Row],[Moyenne Journalière Infrations 2016]]&gt;0, Tableau14[[#This Row],[Moyenne Journalière Infrations 2016]]-Tableau14[[#This Row],[Moyenne Journalière Infrations 2017]],0)</f>
        <v>17</v>
      </c>
      <c r="AW27" s="44">
        <f>IF(Tableau14[[#This Row],[Moyenne Journalière Infrations 2015]]&gt;0, Tableau14[[#This Row],[Moyenne Journalière Infrations 2015]]-Tableau14[[#This Row],[Moyenne Journalière Infrations 2016]],0)</f>
        <v>0</v>
      </c>
      <c r="AX27" s="8">
        <v>2</v>
      </c>
      <c r="AY27" s="8" t="s">
        <v>385</v>
      </c>
      <c r="AZ27" s="8" t="s">
        <v>371</v>
      </c>
      <c r="BA27" s="8" t="s">
        <v>397</v>
      </c>
      <c r="BB27" s="8">
        <v>0</v>
      </c>
      <c r="BC27" s="8">
        <v>0</v>
      </c>
      <c r="BD27" s="8">
        <f>Tableau14[[#This Row],[S crashes2016]]+Tableau14[[#This Row],[F crashes2016]]</f>
        <v>0</v>
      </c>
      <c r="BE27" s="12">
        <f>IF(Tableau14[[#This Row],[F crashes2016]] &lt;&gt; 0, Tableau14[[#This Row],[F &amp; S crashes2016]]/Tableau14[[#This Row],[F crashes2016]], 1)</f>
        <v>1</v>
      </c>
      <c r="BF27" s="8">
        <v>3533</v>
      </c>
      <c r="BG27" s="8">
        <v>80729</v>
      </c>
      <c r="BH27" s="8">
        <f>(Tableau14[[#This Row],[VEHIC KM / JOUR2016]]*365)/1000000000</f>
        <v>2.9466084999999999E-2</v>
      </c>
      <c r="BI27" s="8">
        <f>(Tableau14[[#This Row],[F &amp; S crashes2016]]/Tableau14[[#This Row],[BILLION VEH KM TRAVELLED2016]])</f>
        <v>0</v>
      </c>
      <c r="BJ27" s="8" t="s">
        <v>143</v>
      </c>
      <c r="BK27" s="8">
        <f>Tableau14[[#This Row],[F &amp; S crashes2016]]/4</f>
        <v>0</v>
      </c>
      <c r="BL27" s="27">
        <f>Tableau14[[#This Row],[CRASH RISK2016]]-Tableau14[[#This Row],[CRASH RISK2015]]</f>
        <v>0</v>
      </c>
      <c r="BM27" s="27">
        <f>Tableau14[[#This Row],[CRASH DENSITY2016]]-Tableau14[[#This Row],[CRASH DENSITY2015]]</f>
        <v>0</v>
      </c>
    </row>
    <row r="28" spans="1:65" ht="28.8" x14ac:dyDescent="0.3">
      <c r="A28" s="28">
        <f t="shared" si="0"/>
        <v>27</v>
      </c>
      <c r="B28" s="8" t="s">
        <v>305</v>
      </c>
      <c r="C28" s="11" t="s">
        <v>329</v>
      </c>
      <c r="D28" s="49" t="s">
        <v>343</v>
      </c>
      <c r="E28" s="50" t="s">
        <v>345</v>
      </c>
      <c r="F28" s="8">
        <v>482.3</v>
      </c>
      <c r="G28" s="8" t="s">
        <v>135</v>
      </c>
      <c r="H28" s="8">
        <v>0</v>
      </c>
      <c r="I28" s="8">
        <v>0</v>
      </c>
      <c r="J28" s="8">
        <f>Tableau14[[#This Row],[F crashes2015]]+Tableau14[[#This Row],[S crashes2015]]</f>
        <v>0</v>
      </c>
      <c r="K28" s="33">
        <f>IF(Tableau14[[#This Row],[F crashes2015]] &lt;&gt; 0, Tableau14[[#This Row],[F &amp; S crashes2015]]/Tableau14[[#This Row],[F crashes2015]], 1)</f>
        <v>1</v>
      </c>
      <c r="L28" s="8">
        <v>2152</v>
      </c>
      <c r="M28" s="8">
        <v>94344</v>
      </c>
      <c r="N28" s="26">
        <f>(Tableau14[[#This Row],[VEHIC KM / JOUR2015]]*365)/1000000000</f>
        <v>3.4435559999999997E-2</v>
      </c>
      <c r="O28" s="26">
        <f>(Tableau14[[#This Row],[F &amp; S crashes2015]]/Tableau14[[#This Row],[BILLION VEH KM TRAVELLED2015]])</f>
        <v>0</v>
      </c>
      <c r="P28" s="11" t="s">
        <v>143</v>
      </c>
      <c r="Q28" s="34">
        <f>Tableau14[[#This Row],[F &amp; S crashes2015]]/4</f>
        <v>0</v>
      </c>
      <c r="R28" s="11"/>
      <c r="S28" s="23">
        <f>Tableau14[[#This Row],[VEHIC KM / JOUR2015]]/Tableau14[[#This Row],[TMJA2015 (vehi/jour)]]</f>
        <v>43.840148698884761</v>
      </c>
      <c r="T28" s="8"/>
      <c r="U28" s="8"/>
      <c r="V28" s="8">
        <v>80</v>
      </c>
      <c r="W28" s="8"/>
      <c r="X28" s="8"/>
      <c r="Y28" s="8"/>
      <c r="Z28" s="8"/>
      <c r="AA28" s="26">
        <f>Tableau14[[#This Row],[F Crashes trancon]]+Tableau14[[#This Row],[S crashes trancon]]</f>
        <v>0</v>
      </c>
      <c r="AB28" s="23">
        <f>IF(Tableau14[[#This Row],[F Crashes trancon]]&lt;&gt; 0, Tableau14[[#This Row],[F&amp;S crashes tronçon ]]/Tableau14[[#This Row],[F Crashes trancon]], 1)</f>
        <v>1</v>
      </c>
      <c r="AC28" s="23">
        <f>(Tableau14[[#This Row],[F&amp;S crashes tronçon ]]/Tableau14[[#This Row],[BILLION VEH KM TRAVELLED2015]])</f>
        <v>0</v>
      </c>
      <c r="AD28" s="26"/>
      <c r="AE28" s="27">
        <f>Tableau14[[#This Row],[F&amp;S crashes tronçon ]]/Tableau14[[#This Row],[LENTGH SECTION(KM)]]</f>
        <v>0</v>
      </c>
      <c r="AF28" s="8"/>
      <c r="AG28" s="8">
        <v>2.6</v>
      </c>
      <c r="AH28" s="8" t="s">
        <v>212</v>
      </c>
      <c r="AI28" s="8" t="s">
        <v>212</v>
      </c>
      <c r="AJ28" s="8" t="s">
        <v>212</v>
      </c>
      <c r="AK28" s="8" t="s">
        <v>211</v>
      </c>
      <c r="AL28" s="8">
        <v>1.7</v>
      </c>
      <c r="AM28" s="8"/>
      <c r="AN28" s="8"/>
      <c r="AO28" s="8"/>
      <c r="AP28" s="44">
        <v>0</v>
      </c>
      <c r="AQ28" s="44">
        <v>0</v>
      </c>
      <c r="AR28" s="8">
        <v>12</v>
      </c>
      <c r="AS28" s="8">
        <v>171</v>
      </c>
      <c r="AT28" s="8">
        <v>73</v>
      </c>
      <c r="AU28" s="8">
        <v>263</v>
      </c>
      <c r="AV28" s="44">
        <f>IF(Tableau14[[#This Row],[Moyenne Journalière Infrations 2016]]&gt;0, Tableau14[[#This Row],[Moyenne Journalière Infrations 2016]]-Tableau14[[#This Row],[Moyenne Journalière Infrations 2017]],0)</f>
        <v>-61</v>
      </c>
      <c r="AW28" s="44">
        <f>IF(Tableau14[[#This Row],[Moyenne Journalière Infrations 2015]]&gt;0, Tableau14[[#This Row],[Moyenne Journalière Infrations 2015]]-Tableau14[[#This Row],[Moyenne Journalière Infrations 2016]],0)</f>
        <v>0</v>
      </c>
      <c r="AX28" s="8">
        <v>2</v>
      </c>
      <c r="AY28" s="8" t="s">
        <v>384</v>
      </c>
      <c r="AZ28" s="8" t="s">
        <v>371</v>
      </c>
      <c r="BA28" s="8" t="s">
        <v>398</v>
      </c>
      <c r="BB28" s="8">
        <v>0</v>
      </c>
      <c r="BC28" s="8">
        <v>0</v>
      </c>
      <c r="BD28" s="8">
        <f>Tableau14[[#This Row],[S crashes2016]]+Tableau14[[#This Row],[F crashes2016]]</f>
        <v>0</v>
      </c>
      <c r="BE28" s="12">
        <f>IF(Tableau14[[#This Row],[F crashes2016]] &lt;&gt; 0, Tableau14[[#This Row],[F &amp; S crashes2016]]/Tableau14[[#This Row],[F crashes2016]], 1)</f>
        <v>1</v>
      </c>
      <c r="BF28" s="8">
        <v>3533</v>
      </c>
      <c r="BG28" s="8">
        <v>80729</v>
      </c>
      <c r="BH28" s="8">
        <f>(Tableau14[[#This Row],[VEHIC KM / JOUR2016]]*365)/1000000000</f>
        <v>2.9466084999999999E-2</v>
      </c>
      <c r="BI28" s="8">
        <f>(Tableau14[[#This Row],[F &amp; S crashes2016]]/Tableau14[[#This Row],[BILLION VEH KM TRAVELLED2016]])</f>
        <v>0</v>
      </c>
      <c r="BJ28" s="8" t="s">
        <v>143</v>
      </c>
      <c r="BK28" s="8">
        <f>Tableau14[[#This Row],[F &amp; S crashes2016]]/4</f>
        <v>0</v>
      </c>
      <c r="BL28" s="27">
        <f>Tableau14[[#This Row],[CRASH RISK2016]]-Tableau14[[#This Row],[CRASH RISK2015]]</f>
        <v>0</v>
      </c>
      <c r="BM28" s="27">
        <f>Tableau14[[#This Row],[CRASH DENSITY2016]]-Tableau14[[#This Row],[CRASH DENSITY2015]]</f>
        <v>0</v>
      </c>
    </row>
    <row r="29" spans="1:65" ht="28.8" x14ac:dyDescent="0.3">
      <c r="A29" s="28">
        <f t="shared" si="0"/>
        <v>28</v>
      </c>
      <c r="B29" s="8" t="s">
        <v>113</v>
      </c>
      <c r="C29" s="11" t="s">
        <v>52</v>
      </c>
      <c r="D29" s="8" t="s">
        <v>53</v>
      </c>
      <c r="E29" s="8" t="s">
        <v>54</v>
      </c>
      <c r="F29" s="8">
        <v>29.1</v>
      </c>
      <c r="G29" s="30" t="s">
        <v>133</v>
      </c>
      <c r="H29" s="8">
        <v>3</v>
      </c>
      <c r="I29" s="8">
        <v>0</v>
      </c>
      <c r="J29" s="8">
        <f>Tableau14[[#This Row],[F crashes2015]]+Tableau14[[#This Row],[S crashes2015]]</f>
        <v>3</v>
      </c>
      <c r="K29" s="12">
        <f>IF(Tableau14[[#This Row],[F crashes2015]] &lt;&gt; 0, Tableau14[[#This Row],[F &amp; S crashes2015]]/Tableau14[[#This Row],[F crashes2015]], 1)</f>
        <v>1</v>
      </c>
      <c r="L29" s="8">
        <v>2791</v>
      </c>
      <c r="M29" s="8">
        <v>101592</v>
      </c>
      <c r="N29" s="8">
        <f>(Tableau14[[#This Row],[VEHIC KM / JOUR2015]]*365)/1000000000</f>
        <v>3.7081080000000002E-2</v>
      </c>
      <c r="O29" s="23">
        <f>(Tableau14[[#This Row],[F &amp; S crashes2015]]/Tableau14[[#This Row],[BILLION VEH KM TRAVELLED2015]])</f>
        <v>80.903792446174705</v>
      </c>
      <c r="P29" s="11" t="s">
        <v>144</v>
      </c>
      <c r="Q29" s="11">
        <f>Tableau14[[#This Row],[F &amp; S crashes2015]]/4</f>
        <v>0.75</v>
      </c>
      <c r="R29" s="8" t="s">
        <v>144</v>
      </c>
      <c r="S29" s="23">
        <f>Tableau14[[#This Row],[VEHIC KM / JOUR2015]]/Tableau14[[#This Row],[TMJA2015 (vehi/jour)]]</f>
        <v>36.399856682192762</v>
      </c>
      <c r="T29" s="8">
        <v>1</v>
      </c>
      <c r="U29" s="8">
        <v>1</v>
      </c>
      <c r="V29" s="8">
        <v>80</v>
      </c>
      <c r="W29" s="8">
        <v>16.100000000000001</v>
      </c>
      <c r="X29" s="8">
        <v>52.5</v>
      </c>
      <c r="Y29" s="8">
        <v>10</v>
      </c>
      <c r="Z29" s="8">
        <v>3</v>
      </c>
      <c r="AA29" s="8">
        <f>Tableau14[[#This Row],[F Crashes trancon]]+Tableau14[[#This Row],[S crashes trancon]]</f>
        <v>13</v>
      </c>
      <c r="AB29" s="24">
        <f>IF(Tableau14[[#This Row],[F Crashes trancon]]&lt;&gt; 0, Tableau14[[#This Row],[F&amp;S crashes tronçon ]]/Tableau14[[#This Row],[F Crashes trancon]], 1)</f>
        <v>1.3</v>
      </c>
      <c r="AC29" s="23">
        <f>(Tableau14[[#This Row],[F&amp;S crashes tronçon ]]/Tableau14[[#This Row],[BILLION VEH KM TRAVELLED2015]])</f>
        <v>350.58310060009035</v>
      </c>
      <c r="AD29" s="26" t="s">
        <v>144</v>
      </c>
      <c r="AE29" s="27">
        <f>Tableau14[[#This Row],[F&amp;S crashes tronçon ]]/Tableau14[[#This Row],[LENTGH SECTION(KM)]]</f>
        <v>0.35714426332782107</v>
      </c>
      <c r="AF29" s="8" t="s">
        <v>144</v>
      </c>
      <c r="AG29" s="8">
        <v>0.9</v>
      </c>
      <c r="AH29" s="8" t="s">
        <v>212</v>
      </c>
      <c r="AI29" s="8" t="s">
        <v>212</v>
      </c>
      <c r="AJ29" s="8" t="s">
        <v>212</v>
      </c>
      <c r="AK29" s="8" t="s">
        <v>211</v>
      </c>
      <c r="AL29" s="8">
        <v>1</v>
      </c>
      <c r="AM29" s="8">
        <v>0</v>
      </c>
      <c r="AN29" s="8">
        <v>7298</v>
      </c>
      <c r="AO29" s="8">
        <v>13610</v>
      </c>
      <c r="AP29" s="44">
        <v>0</v>
      </c>
      <c r="AQ29" s="44">
        <v>0</v>
      </c>
      <c r="AR29" s="8">
        <v>91</v>
      </c>
      <c r="AS29" s="8">
        <v>80</v>
      </c>
      <c r="AT29" s="8">
        <v>43</v>
      </c>
      <c r="AU29" s="8">
        <v>310</v>
      </c>
      <c r="AV29" s="44">
        <f>IF(Tableau14[[#This Row],[Moyenne Journalière Infrations 2016]]&gt;0, Tableau14[[#This Row],[Moyenne Journalière Infrations 2016]]-Tableau14[[#This Row],[Moyenne Journalière Infrations 2017]],0)</f>
        <v>48</v>
      </c>
      <c r="AW29" s="44">
        <f>IF(Tableau14[[#This Row],[Moyenne Journalière Infrations 2015]]&gt;0, Tableau14[[#This Row],[Moyenne Journalière Infrations 2015]]-Tableau14[[#This Row],[Moyenne Journalière Infrations 2016]],0)</f>
        <v>0</v>
      </c>
      <c r="AX29" s="8">
        <v>2</v>
      </c>
      <c r="AY29" s="8" t="s">
        <v>384</v>
      </c>
      <c r="AZ29" s="8" t="s">
        <v>371</v>
      </c>
      <c r="BA29" s="8" t="s">
        <v>399</v>
      </c>
      <c r="BB29" s="8">
        <v>1</v>
      </c>
      <c r="BC29" s="8">
        <v>1</v>
      </c>
      <c r="BD29" s="8">
        <f>Tableau14[[#This Row],[S crashes2016]]+Tableau14[[#This Row],[F crashes2016]]</f>
        <v>2</v>
      </c>
      <c r="BE29" s="12">
        <f>IF(Tableau14[[#This Row],[F crashes2016]] &lt;&gt; 0, Tableau14[[#This Row],[F &amp; S crashes2016]]/Tableau14[[#This Row],[F crashes2016]], 1)</f>
        <v>2</v>
      </c>
      <c r="BF29" s="8">
        <v>2922</v>
      </c>
      <c r="BG29" s="8">
        <v>106361</v>
      </c>
      <c r="BH29" s="8">
        <f>(Tableau14[[#This Row],[VEHIC KM / JOUR2016]]*365)/1000000000</f>
        <v>3.8821765000000001E-2</v>
      </c>
      <c r="BI29" s="8">
        <f>(Tableau14[[#This Row],[F &amp; S crashes2016]]/Tableau14[[#This Row],[BILLION VEH KM TRAVELLED2016]])</f>
        <v>51.517492829086983</v>
      </c>
      <c r="BJ29" s="44" t="s">
        <v>144</v>
      </c>
      <c r="BK29" s="8">
        <f>Tableau14[[#This Row],[F &amp; S crashes2016]]/4</f>
        <v>0.5</v>
      </c>
      <c r="BL29" s="27">
        <f>Tableau14[[#This Row],[CRASH RISK2016]]-Tableau14[[#This Row],[CRASH RISK2015]]</f>
        <v>-29.386299617087722</v>
      </c>
      <c r="BM29" s="27">
        <f>Tableau14[[#This Row],[CRASH DENSITY2016]]-Tableau14[[#This Row],[CRASH DENSITY2015]]</f>
        <v>-0.25</v>
      </c>
    </row>
    <row r="30" spans="1:65" ht="13.8" customHeight="1" x14ac:dyDescent="0.3">
      <c r="A30" s="28">
        <f t="shared" si="0"/>
        <v>29</v>
      </c>
      <c r="B30" s="8" t="s">
        <v>114</v>
      </c>
      <c r="C30" s="11" t="s">
        <v>55</v>
      </c>
      <c r="D30" s="8" t="s">
        <v>53</v>
      </c>
      <c r="E30" s="8" t="s">
        <v>56</v>
      </c>
      <c r="F30" s="8">
        <v>29.2</v>
      </c>
      <c r="G30" s="30" t="s">
        <v>133</v>
      </c>
      <c r="H30" s="8">
        <v>3</v>
      </c>
      <c r="I30" s="8">
        <v>0</v>
      </c>
      <c r="J30" s="8">
        <f>Tableau14[[#This Row],[F crashes2015]]+Tableau14[[#This Row],[S crashes2015]]</f>
        <v>3</v>
      </c>
      <c r="K30" s="12">
        <f>IF(Tableau14[[#This Row],[F crashes2015]] &lt;&gt; 0, Tableau14[[#This Row],[F &amp; S crashes2015]]/Tableau14[[#This Row],[F crashes2015]], 1)</f>
        <v>1</v>
      </c>
      <c r="L30" s="8">
        <v>2791</v>
      </c>
      <c r="M30" s="8">
        <v>101592</v>
      </c>
      <c r="N30" s="8">
        <f>(Tableau14[[#This Row],[VEHIC KM / JOUR2015]]*365)/1000000000</f>
        <v>3.7081080000000002E-2</v>
      </c>
      <c r="O30" s="23">
        <f>(Tableau14[[#This Row],[F &amp; S crashes2015]]/Tableau14[[#This Row],[BILLION VEH KM TRAVELLED2015]])</f>
        <v>80.903792446174705</v>
      </c>
      <c r="P30" s="11" t="s">
        <v>144</v>
      </c>
      <c r="Q30" s="11">
        <f>Tableau14[[#This Row],[F &amp; S crashes2015]]/4</f>
        <v>0.75</v>
      </c>
      <c r="R30" s="8" t="s">
        <v>144</v>
      </c>
      <c r="S30" s="23">
        <f>Tableau14[[#This Row],[VEHIC KM / JOUR2015]]/Tableau14[[#This Row],[TMJA2015 (vehi/jour)]]</f>
        <v>36.399856682192762</v>
      </c>
      <c r="T30" s="8">
        <v>1</v>
      </c>
      <c r="U30" s="8">
        <v>1</v>
      </c>
      <c r="V30" s="8">
        <v>80</v>
      </c>
      <c r="W30" s="8">
        <v>16.100000000000001</v>
      </c>
      <c r="X30" s="8">
        <v>52.5</v>
      </c>
      <c r="Y30" s="8">
        <v>10</v>
      </c>
      <c r="Z30" s="8">
        <v>3</v>
      </c>
      <c r="AA30" s="8">
        <f>Tableau14[[#This Row],[F Crashes trancon]]+Tableau14[[#This Row],[S crashes trancon]]</f>
        <v>13</v>
      </c>
      <c r="AB30" s="24">
        <f>IF(Tableau14[[#This Row],[F Crashes trancon]]&lt;&gt; 0, Tableau14[[#This Row],[F&amp;S crashes tronçon ]]/Tableau14[[#This Row],[F Crashes trancon]], 1)</f>
        <v>1.3</v>
      </c>
      <c r="AC30" s="23">
        <f>(Tableau14[[#This Row],[F&amp;S crashes tronçon ]]/Tableau14[[#This Row],[BILLION VEH KM TRAVELLED2015]])</f>
        <v>350.58310060009035</v>
      </c>
      <c r="AD30" s="26" t="s">
        <v>144</v>
      </c>
      <c r="AE30" s="27">
        <f>Tableau14[[#This Row],[F&amp;S crashes tronçon ]]/Tableau14[[#This Row],[LENTGH SECTION(KM)]]</f>
        <v>0.35714426332782107</v>
      </c>
      <c r="AF30" s="8" t="s">
        <v>144</v>
      </c>
      <c r="AG30" s="8">
        <v>0.9</v>
      </c>
      <c r="AH30" s="8" t="s">
        <v>212</v>
      </c>
      <c r="AI30" s="8" t="s">
        <v>212</v>
      </c>
      <c r="AJ30" s="8" t="s">
        <v>212</v>
      </c>
      <c r="AK30" s="8" t="s">
        <v>211</v>
      </c>
      <c r="AL30" s="8">
        <v>1</v>
      </c>
      <c r="AM30" s="8">
        <v>0</v>
      </c>
      <c r="AN30" s="8">
        <v>6490</v>
      </c>
      <c r="AO30" s="8">
        <v>8884</v>
      </c>
      <c r="AP30" s="44">
        <v>0</v>
      </c>
      <c r="AQ30" s="44">
        <v>0</v>
      </c>
      <c r="AR30" s="8">
        <v>74</v>
      </c>
      <c r="AS30" s="8">
        <v>87</v>
      </c>
      <c r="AT30" s="8">
        <v>29</v>
      </c>
      <c r="AU30" s="8">
        <v>301</v>
      </c>
      <c r="AV30" s="44">
        <f>IF(Tableau14[[#This Row],[Moyenne Journalière Infrations 2016]]&gt;0, Tableau14[[#This Row],[Moyenne Journalière Infrations 2016]]-Tableau14[[#This Row],[Moyenne Journalière Infrations 2017]],0)</f>
        <v>45</v>
      </c>
      <c r="AW30" s="44">
        <f>IF(Tableau14[[#This Row],[Moyenne Journalière Infrations 2015]]&gt;0, Tableau14[[#This Row],[Moyenne Journalière Infrations 2015]]-Tableau14[[#This Row],[Moyenne Journalière Infrations 2016]],0)</f>
        <v>0</v>
      </c>
      <c r="AX30" s="8">
        <v>2</v>
      </c>
      <c r="AY30" s="8" t="s">
        <v>384</v>
      </c>
      <c r="AZ30" s="8" t="s">
        <v>371</v>
      </c>
      <c r="BA30" s="8" t="s">
        <v>400</v>
      </c>
      <c r="BB30" s="8">
        <v>1</v>
      </c>
      <c r="BC30" s="8">
        <v>1</v>
      </c>
      <c r="BD30" s="8">
        <f>Tableau14[[#This Row],[S crashes2016]]+Tableau14[[#This Row],[F crashes2016]]</f>
        <v>2</v>
      </c>
      <c r="BE30" s="12">
        <f>IF(Tableau14[[#This Row],[F crashes2016]] &lt;&gt; 0, Tableau14[[#This Row],[F &amp; S crashes2016]]/Tableau14[[#This Row],[F crashes2016]], 1)</f>
        <v>2</v>
      </c>
      <c r="BF30" s="8">
        <v>2922</v>
      </c>
      <c r="BG30" s="8">
        <v>106361</v>
      </c>
      <c r="BH30" s="8">
        <f>(Tableau14[[#This Row],[VEHIC KM / JOUR2016]]*365)/1000000000</f>
        <v>3.8821765000000001E-2</v>
      </c>
      <c r="BI30" s="8">
        <f>(Tableau14[[#This Row],[F &amp; S crashes2016]]/Tableau14[[#This Row],[BILLION VEH KM TRAVELLED2016]])</f>
        <v>51.517492829086983</v>
      </c>
      <c r="BJ30" s="44" t="s">
        <v>144</v>
      </c>
      <c r="BK30" s="8">
        <f>Tableau14[[#This Row],[F &amp; S crashes2016]]/4</f>
        <v>0.5</v>
      </c>
      <c r="BL30" s="27">
        <f>Tableau14[[#This Row],[CRASH RISK2016]]-Tableau14[[#This Row],[CRASH RISK2015]]</f>
        <v>-29.386299617087722</v>
      </c>
      <c r="BM30" s="27">
        <f>Tableau14[[#This Row],[CRASH DENSITY2016]]-Tableau14[[#This Row],[CRASH DENSITY2015]]</f>
        <v>-0.25</v>
      </c>
    </row>
    <row r="31" spans="1:65" x14ac:dyDescent="0.3">
      <c r="A31" s="28">
        <f t="shared" si="0"/>
        <v>30</v>
      </c>
      <c r="B31" s="8" t="s">
        <v>124</v>
      </c>
      <c r="C31" s="11" t="s">
        <v>84</v>
      </c>
      <c r="D31" s="8" t="s">
        <v>85</v>
      </c>
      <c r="E31" s="8" t="s">
        <v>86</v>
      </c>
      <c r="F31" s="8">
        <v>87.9</v>
      </c>
      <c r="G31" s="30" t="s">
        <v>133</v>
      </c>
      <c r="H31" s="8">
        <v>0</v>
      </c>
      <c r="I31" s="8">
        <v>0</v>
      </c>
      <c r="J31" s="8">
        <f>Tableau14[[#This Row],[F crashes2015]]+Tableau14[[#This Row],[S crashes2015]]</f>
        <v>0</v>
      </c>
      <c r="K31" s="12">
        <f>IF(Tableau14[[#This Row],[F crashes2015]] &lt;&gt; 0, Tableau14[[#This Row],[F &amp; S crashes2015]]/Tableau14[[#This Row],[F crashes2015]], 1)</f>
        <v>1</v>
      </c>
      <c r="L31" s="8">
        <v>1325</v>
      </c>
      <c r="M31" s="8">
        <v>49688</v>
      </c>
      <c r="N31" s="8">
        <f>(Tableau14[[#This Row],[VEHIC KM / JOUR2015]]*365)/1000000000</f>
        <v>1.8136119999999999E-2</v>
      </c>
      <c r="O31" s="8">
        <f>(Tableau14[[#This Row],[F &amp; S crashes2015]]/Tableau14[[#This Row],[BILLION VEH KM TRAVELLED2015]])</f>
        <v>0</v>
      </c>
      <c r="P31" s="11" t="s">
        <v>143</v>
      </c>
      <c r="Q31" s="11">
        <f>Tableau14[[#This Row],[F &amp; S crashes2015]]/4</f>
        <v>0</v>
      </c>
      <c r="R31" s="11" t="s">
        <v>143</v>
      </c>
      <c r="S31" s="23">
        <f>Tableau14[[#This Row],[VEHIC KM / JOUR2015]]/Tableau14[[#This Row],[TMJA2015 (vehi/jour)]]</f>
        <v>37.500377358490567</v>
      </c>
      <c r="T31" s="8">
        <v>1</v>
      </c>
      <c r="U31" s="8">
        <v>1</v>
      </c>
      <c r="V31" s="8">
        <v>60</v>
      </c>
      <c r="W31" s="8">
        <v>52.5</v>
      </c>
      <c r="X31" s="8">
        <v>90</v>
      </c>
      <c r="Y31" s="8">
        <v>1</v>
      </c>
      <c r="Z31" s="8">
        <v>2</v>
      </c>
      <c r="AA31" s="8">
        <f>Tableau14[[#This Row],[F Crashes trancon]]+Tableau14[[#This Row],[S crashes trancon]]</f>
        <v>3</v>
      </c>
      <c r="AB31" s="24">
        <f>IF(Tableau14[[#This Row],[F Crashes trancon]]&lt;&gt; 0, Tableau14[[#This Row],[F&amp;S crashes tronçon ]]/Tableau14[[#This Row],[F Crashes trancon]], 1)</f>
        <v>3</v>
      </c>
      <c r="AC31" s="23">
        <f>(Tableau14[[#This Row],[F&amp;S crashes tronçon ]]/Tableau14[[#This Row],[BILLION VEH KM TRAVELLED2015]])</f>
        <v>165.41575596103246</v>
      </c>
      <c r="AD31" s="26" t="s">
        <v>144</v>
      </c>
      <c r="AE31" s="27">
        <f>Tableau14[[#This Row],[F&amp;S crashes tronçon ]]/Tableau14[[#This Row],[LENTGH SECTION(KM)]]</f>
        <v>7.9999194976654323E-2</v>
      </c>
      <c r="AF31" s="8" t="s">
        <v>143</v>
      </c>
      <c r="AG31" s="8">
        <v>5.5</v>
      </c>
      <c r="AH31" s="8" t="s">
        <v>212</v>
      </c>
      <c r="AI31" s="8" t="s">
        <v>212</v>
      </c>
      <c r="AJ31" s="8" t="s">
        <v>212</v>
      </c>
      <c r="AK31" s="8" t="s">
        <v>212</v>
      </c>
      <c r="AL31" s="8">
        <v>4.6500000000000004</v>
      </c>
      <c r="AM31" s="8">
        <v>0</v>
      </c>
      <c r="AN31" s="8">
        <v>15250</v>
      </c>
      <c r="AO31" s="8">
        <v>13296</v>
      </c>
      <c r="AP31" s="44">
        <v>0</v>
      </c>
      <c r="AQ31" s="44">
        <v>0</v>
      </c>
      <c r="AR31" s="8">
        <v>76</v>
      </c>
      <c r="AS31" s="8">
        <v>200</v>
      </c>
      <c r="AT31" s="8">
        <v>42</v>
      </c>
      <c r="AU31" s="8">
        <v>313</v>
      </c>
      <c r="AV31" s="44">
        <f>IF(Tableau14[[#This Row],[Moyenne Journalière Infrations 2016]]&gt;0, Tableau14[[#This Row],[Moyenne Journalière Infrations 2016]]-Tableau14[[#This Row],[Moyenne Journalière Infrations 2017]],0)</f>
        <v>34</v>
      </c>
      <c r="AW31" s="44">
        <f>IF(Tableau14[[#This Row],[Moyenne Journalière Infrations 2015]]&gt;0, Tableau14[[#This Row],[Moyenne Journalière Infrations 2015]]-Tableau14[[#This Row],[Moyenne Journalière Infrations 2016]],0)</f>
        <v>0</v>
      </c>
      <c r="AX31" s="8">
        <v>2</v>
      </c>
      <c r="AY31" s="8" t="s">
        <v>385</v>
      </c>
      <c r="AZ31" s="8" t="s">
        <v>371</v>
      </c>
      <c r="BA31" s="8" t="s">
        <v>401</v>
      </c>
      <c r="BB31" s="8">
        <v>0</v>
      </c>
      <c r="BC31" s="8">
        <v>0</v>
      </c>
      <c r="BD31" s="8">
        <f>Tableau14[[#This Row],[S crashes2016]]+Tableau14[[#This Row],[F crashes2016]]</f>
        <v>0</v>
      </c>
      <c r="BE31" s="12">
        <f>IF(Tableau14[[#This Row],[F crashes2016]] &lt;&gt; 0, Tableau14[[#This Row],[F &amp; S crashes2016]]/Tableau14[[#This Row],[F crashes2016]], 1)</f>
        <v>1</v>
      </c>
      <c r="BF31" s="8">
        <v>1360</v>
      </c>
      <c r="BG31" s="8">
        <v>51000</v>
      </c>
      <c r="BH31" s="8">
        <f>(Tableau14[[#This Row],[VEHIC KM / JOUR2016]]*365)/1000000000</f>
        <v>1.8615E-2</v>
      </c>
      <c r="BI31" s="8">
        <f>(Tableau14[[#This Row],[F &amp; S crashes2016]]/Tableau14[[#This Row],[BILLION VEH KM TRAVELLED2016]])</f>
        <v>0</v>
      </c>
      <c r="BJ31" s="8" t="s">
        <v>143</v>
      </c>
      <c r="BK31" s="8">
        <f>Tableau14[[#This Row],[F &amp; S crashes2016]]/4</f>
        <v>0</v>
      </c>
      <c r="BL31" s="27">
        <f>Tableau14[[#This Row],[CRASH RISK2016]]-Tableau14[[#This Row],[CRASH RISK2015]]</f>
        <v>0</v>
      </c>
      <c r="BM31" s="27">
        <f>Tableau14[[#This Row],[CRASH DENSITY2016]]-Tableau14[[#This Row],[CRASH DENSITY2015]]</f>
        <v>0</v>
      </c>
    </row>
    <row r="32" spans="1:65" x14ac:dyDescent="0.3">
      <c r="A32" s="28">
        <f t="shared" si="0"/>
        <v>31</v>
      </c>
      <c r="B32" s="8" t="s">
        <v>125</v>
      </c>
      <c r="C32" s="11" t="s">
        <v>87</v>
      </c>
      <c r="D32" s="8" t="s">
        <v>88</v>
      </c>
      <c r="E32" s="8" t="s">
        <v>89</v>
      </c>
      <c r="F32" s="8">
        <v>129.69999999999999</v>
      </c>
      <c r="G32" s="30" t="s">
        <v>133</v>
      </c>
      <c r="H32" s="8">
        <v>0</v>
      </c>
      <c r="I32" s="8">
        <v>0</v>
      </c>
      <c r="J32" s="8">
        <f>Tableau14[[#This Row],[F crashes2015]]+Tableau14[[#This Row],[S crashes2015]]</f>
        <v>0</v>
      </c>
      <c r="K32" s="12">
        <f>IF(Tableau14[[#This Row],[F crashes2015]] &lt;&gt; 0, Tableau14[[#This Row],[F &amp; S crashes2015]]/Tableau14[[#This Row],[F crashes2015]], 1)</f>
        <v>1</v>
      </c>
      <c r="L32" s="8">
        <v>1711</v>
      </c>
      <c r="M32" s="8">
        <v>74429</v>
      </c>
      <c r="N32" s="8">
        <f>(Tableau14[[#This Row],[VEHIC KM / JOUR2015]]*365)/1000000000</f>
        <v>2.7166585E-2</v>
      </c>
      <c r="O32" s="8">
        <f>(Tableau14[[#This Row],[F &amp; S crashes2015]]/Tableau14[[#This Row],[BILLION VEH KM TRAVELLED2015]])</f>
        <v>0</v>
      </c>
      <c r="P32" s="11" t="s">
        <v>143</v>
      </c>
      <c r="Q32" s="11">
        <f>Tableau14[[#This Row],[F &amp; S crashes2015]]/4</f>
        <v>0</v>
      </c>
      <c r="R32" s="11" t="s">
        <v>143</v>
      </c>
      <c r="S32" s="23">
        <f>Tableau14[[#This Row],[VEHIC KM / JOUR2015]]/Tableau14[[#This Row],[TMJA2015 (vehi/jour)]]</f>
        <v>43.500292226767975</v>
      </c>
      <c r="T32" s="8">
        <v>1</v>
      </c>
      <c r="U32" s="8">
        <v>1</v>
      </c>
      <c r="V32" s="8">
        <v>60</v>
      </c>
      <c r="W32" s="8">
        <v>114</v>
      </c>
      <c r="X32" s="8">
        <v>157.5</v>
      </c>
      <c r="Y32" s="8">
        <v>3</v>
      </c>
      <c r="Z32" s="8">
        <v>0</v>
      </c>
      <c r="AA32" s="8">
        <f>Tableau14[[#This Row],[F Crashes trancon]]+Tableau14[[#This Row],[S crashes trancon]]</f>
        <v>3</v>
      </c>
      <c r="AB32" s="24">
        <f>IF(Tableau14[[#This Row],[F Crashes trancon]]&lt;&gt; 0, Tableau14[[#This Row],[F&amp;S crashes tronçon ]]/Tableau14[[#This Row],[F Crashes trancon]], 1)</f>
        <v>1</v>
      </c>
      <c r="AC32" s="23">
        <f>(Tableau14[[#This Row],[F&amp;S crashes tronçon ]]/Tableau14[[#This Row],[BILLION VEH KM TRAVELLED2015]])</f>
        <v>110.4297798195835</v>
      </c>
      <c r="AD32" s="26" t="s">
        <v>144</v>
      </c>
      <c r="AE32" s="27">
        <f>Tableau14[[#This Row],[F&amp;S crashes tronçon ]]/Tableau14[[#This Row],[LENTGH SECTION(KM)]]</f>
        <v>6.8965053944027188E-2</v>
      </c>
      <c r="AF32" s="8" t="s">
        <v>147</v>
      </c>
      <c r="AG32" s="8">
        <v>1.65</v>
      </c>
      <c r="AH32" s="8" t="s">
        <v>212</v>
      </c>
      <c r="AI32" s="8" t="s">
        <v>212</v>
      </c>
      <c r="AJ32" s="8" t="s">
        <v>212</v>
      </c>
      <c r="AK32" s="8" t="s">
        <v>211</v>
      </c>
      <c r="AL32" s="8">
        <v>1.8</v>
      </c>
      <c r="AM32" s="8">
        <v>0</v>
      </c>
      <c r="AN32" s="8">
        <v>1785</v>
      </c>
      <c r="AO32" s="8">
        <v>25131</v>
      </c>
      <c r="AP32" s="44">
        <v>0</v>
      </c>
      <c r="AQ32" s="44">
        <v>0</v>
      </c>
      <c r="AR32" s="8">
        <v>119</v>
      </c>
      <c r="AS32" s="8">
        <v>15</v>
      </c>
      <c r="AT32" s="8">
        <v>84</v>
      </c>
      <c r="AU32" s="8">
        <v>298</v>
      </c>
      <c r="AV32" s="44">
        <f>IF(Tableau14[[#This Row],[Moyenne Journalière Infrations 2016]]&gt;0, Tableau14[[#This Row],[Moyenne Journalière Infrations 2016]]-Tableau14[[#This Row],[Moyenne Journalière Infrations 2017]],0)</f>
        <v>35</v>
      </c>
      <c r="AW32" s="44">
        <f>IF(Tableau14[[#This Row],[Moyenne Journalière Infrations 2015]]&gt;0, Tableau14[[#This Row],[Moyenne Journalière Infrations 2015]]-Tableau14[[#This Row],[Moyenne Journalière Infrations 2016]],0)</f>
        <v>0</v>
      </c>
      <c r="AX32" s="8">
        <v>2</v>
      </c>
      <c r="AY32" s="8" t="s">
        <v>385</v>
      </c>
      <c r="AZ32" s="8" t="s">
        <v>371</v>
      </c>
      <c r="BA32" s="8" t="s">
        <v>402</v>
      </c>
      <c r="BB32" s="8">
        <v>0</v>
      </c>
      <c r="BC32" s="8">
        <v>0</v>
      </c>
      <c r="BD32" s="8">
        <f>Tableau14[[#This Row],[S crashes2016]]+Tableau14[[#This Row],[F crashes2016]]</f>
        <v>0</v>
      </c>
      <c r="BE32" s="12">
        <f>IF(Tableau14[[#This Row],[F crashes2016]] &lt;&gt; 0, Tableau14[[#This Row],[F &amp; S crashes2016]]/Tableau14[[#This Row],[F crashes2016]], 1)</f>
        <v>1</v>
      </c>
      <c r="BF32" s="8">
        <v>1757</v>
      </c>
      <c r="BG32" s="8">
        <v>76430</v>
      </c>
      <c r="BH32" s="8">
        <f>(Tableau14[[#This Row],[VEHIC KM / JOUR2016]]*365)/1000000000</f>
        <v>2.789695E-2</v>
      </c>
      <c r="BI32" s="8">
        <f>(Tableau14[[#This Row],[F &amp; S crashes2016]]/Tableau14[[#This Row],[BILLION VEH KM TRAVELLED2016]])</f>
        <v>0</v>
      </c>
      <c r="BJ32" s="8" t="s">
        <v>143</v>
      </c>
      <c r="BK32" s="8">
        <f>Tableau14[[#This Row],[F &amp; S crashes2016]]/4</f>
        <v>0</v>
      </c>
      <c r="BL32" s="27">
        <f>Tableau14[[#This Row],[CRASH RISK2016]]-Tableau14[[#This Row],[CRASH RISK2015]]</f>
        <v>0</v>
      </c>
      <c r="BM32" s="27">
        <f>Tableau14[[#This Row],[CRASH DENSITY2016]]-Tableau14[[#This Row],[CRASH DENSITY2015]]</f>
        <v>0</v>
      </c>
    </row>
    <row r="33" spans="1:65" x14ac:dyDescent="0.3">
      <c r="A33" s="28">
        <f t="shared" si="0"/>
        <v>32</v>
      </c>
      <c r="B33" s="8" t="s">
        <v>119</v>
      </c>
      <c r="C33" s="11" t="s">
        <v>69</v>
      </c>
      <c r="D33" s="8" t="s">
        <v>70</v>
      </c>
      <c r="E33" s="8" t="s">
        <v>71</v>
      </c>
      <c r="F33" s="8">
        <v>173.1</v>
      </c>
      <c r="G33" s="30" t="s">
        <v>133</v>
      </c>
      <c r="H33" s="8">
        <v>1</v>
      </c>
      <c r="I33" s="8">
        <v>0</v>
      </c>
      <c r="J33" s="8">
        <f>Tableau14[[#This Row],[F crashes2015]]+Tableau14[[#This Row],[S crashes2015]]</f>
        <v>1</v>
      </c>
      <c r="K33" s="12">
        <f>IF(Tableau14[[#This Row],[F crashes2015]] &lt;&gt; 0, Tableau14[[#This Row],[F &amp; S crashes2015]]/Tableau14[[#This Row],[F crashes2015]], 1)</f>
        <v>1</v>
      </c>
      <c r="L33" s="8">
        <v>4236</v>
      </c>
      <c r="M33" s="8">
        <v>78366</v>
      </c>
      <c r="N33" s="8">
        <f>(Tableau14[[#This Row],[VEHIC KM / JOUR2015]]*365)/1000000000</f>
        <v>2.8603590000000002E-2</v>
      </c>
      <c r="O33" s="23">
        <f>(Tableau14[[#This Row],[F &amp; S crashes2015]]/Tableau14[[#This Row],[BILLION VEH KM TRAVELLED2015]])</f>
        <v>34.960646548212999</v>
      </c>
      <c r="P33" s="11" t="s">
        <v>144</v>
      </c>
      <c r="Q33" s="11">
        <f>Tableau14[[#This Row],[F &amp; S crashes2015]]/4</f>
        <v>0.25</v>
      </c>
      <c r="R33" s="8" t="s">
        <v>144</v>
      </c>
      <c r="S33" s="23">
        <f>Tableau14[[#This Row],[VEHIC KM / JOUR2015]]/Tableau14[[#This Row],[TMJA2015 (vehi/jour)]]</f>
        <v>18.5</v>
      </c>
      <c r="T33" s="8">
        <v>1</v>
      </c>
      <c r="U33" s="8">
        <v>1</v>
      </c>
      <c r="V33" s="8">
        <v>60</v>
      </c>
      <c r="W33" s="8">
        <v>157.5</v>
      </c>
      <c r="X33" s="8">
        <v>176</v>
      </c>
      <c r="Y33" s="8">
        <v>1</v>
      </c>
      <c r="Z33" s="8">
        <v>0</v>
      </c>
      <c r="AA33" s="8">
        <f>Tableau14[[#This Row],[F Crashes trancon]]+Tableau14[[#This Row],[S crashes trancon]]</f>
        <v>1</v>
      </c>
      <c r="AB33" s="24">
        <f>IF(Tableau14[[#This Row],[F Crashes trancon]]&lt;&gt; 0, Tableau14[[#This Row],[F&amp;S crashes tronçon ]]/Tableau14[[#This Row],[F Crashes trancon]], 1)</f>
        <v>1</v>
      </c>
      <c r="AC33" s="23">
        <f>(Tableau14[[#This Row],[F&amp;S crashes tronçon ]]/Tableau14[[#This Row],[BILLION VEH KM TRAVELLED2015]])</f>
        <v>34.960646548212999</v>
      </c>
      <c r="AD33" s="26" t="s">
        <v>144</v>
      </c>
      <c r="AE33" s="27">
        <f>Tableau14[[#This Row],[F&amp;S crashes tronçon ]]/Tableau14[[#This Row],[LENTGH SECTION(KM)]]</f>
        <v>5.4054054054054057E-2</v>
      </c>
      <c r="AF33" s="8" t="s">
        <v>147</v>
      </c>
      <c r="AG33" s="8">
        <v>2.89</v>
      </c>
      <c r="AH33" s="8" t="s">
        <v>212</v>
      </c>
      <c r="AI33" s="8" t="s">
        <v>212</v>
      </c>
      <c r="AJ33" s="8" t="s">
        <v>212</v>
      </c>
      <c r="AK33" s="8" t="s">
        <v>211</v>
      </c>
      <c r="AL33" s="8">
        <v>1</v>
      </c>
      <c r="AM33" s="8">
        <v>0</v>
      </c>
      <c r="AN33" s="8">
        <v>6162</v>
      </c>
      <c r="AO33" s="8">
        <v>14092</v>
      </c>
      <c r="AP33" s="44">
        <v>0</v>
      </c>
      <c r="AQ33" s="44">
        <v>0</v>
      </c>
      <c r="AR33" s="8">
        <v>62</v>
      </c>
      <c r="AS33" s="8">
        <v>99</v>
      </c>
      <c r="AT33" s="8">
        <v>42</v>
      </c>
      <c r="AU33" s="8">
        <v>332</v>
      </c>
      <c r="AV33" s="44">
        <f>IF(Tableau14[[#This Row],[Moyenne Journalière Infrations 2016]]&gt;0, Tableau14[[#This Row],[Moyenne Journalière Infrations 2016]]-Tableau14[[#This Row],[Moyenne Journalière Infrations 2017]],0)</f>
        <v>20</v>
      </c>
      <c r="AW33" s="44">
        <f>IF(Tableau14[[#This Row],[Moyenne Journalière Infrations 2015]]&gt;0, Tableau14[[#This Row],[Moyenne Journalière Infrations 2015]]-Tableau14[[#This Row],[Moyenne Journalière Infrations 2016]],0)</f>
        <v>0</v>
      </c>
      <c r="AX33" s="8">
        <v>2</v>
      </c>
      <c r="AY33" s="8" t="s">
        <v>385</v>
      </c>
      <c r="AZ33" s="8" t="s">
        <v>371</v>
      </c>
      <c r="BA33" s="8" t="s">
        <v>403</v>
      </c>
      <c r="BB33" s="8">
        <v>0</v>
      </c>
      <c r="BC33" s="8">
        <v>0</v>
      </c>
      <c r="BD33" s="8">
        <f>Tableau14[[#This Row],[S crashes2016]]+Tableau14[[#This Row],[F crashes2016]]</f>
        <v>0</v>
      </c>
      <c r="BE33" s="12">
        <f>IF(Tableau14[[#This Row],[F crashes2016]] &lt;&gt; 0, Tableau14[[#This Row],[F &amp; S crashes2016]]/Tableau14[[#This Row],[F crashes2016]], 1)</f>
        <v>1</v>
      </c>
      <c r="BF33" s="8">
        <v>4350</v>
      </c>
      <c r="BG33" s="8">
        <v>80475</v>
      </c>
      <c r="BH33" s="8">
        <f>(Tableau14[[#This Row],[VEHIC KM / JOUR2016]]*365)/1000000000</f>
        <v>2.9373375E-2</v>
      </c>
      <c r="BI33" s="8">
        <f>(Tableau14[[#This Row],[F &amp; S crashes2016]]/Tableau14[[#This Row],[BILLION VEH KM TRAVELLED2016]])</f>
        <v>0</v>
      </c>
      <c r="BJ33" s="8" t="s">
        <v>143</v>
      </c>
      <c r="BK33" s="8">
        <f>Tableau14[[#This Row],[F &amp; S crashes2016]]/4</f>
        <v>0</v>
      </c>
      <c r="BL33" s="27">
        <f>Tableau14[[#This Row],[CRASH RISK2016]]-Tableau14[[#This Row],[CRASH RISK2015]]</f>
        <v>-34.960646548212999</v>
      </c>
      <c r="BM33" s="27">
        <f>Tableau14[[#This Row],[CRASH DENSITY2016]]-Tableau14[[#This Row],[CRASH DENSITY2015]]</f>
        <v>-0.25</v>
      </c>
    </row>
    <row r="34" spans="1:65" ht="28.8" x14ac:dyDescent="0.3">
      <c r="A34" s="28">
        <f t="shared" si="0"/>
        <v>33</v>
      </c>
      <c r="B34" s="8" t="s">
        <v>97</v>
      </c>
      <c r="C34" s="11" t="s">
        <v>11</v>
      </c>
      <c r="D34" s="8" t="s">
        <v>12</v>
      </c>
      <c r="E34" s="8" t="s">
        <v>13</v>
      </c>
      <c r="F34" s="8">
        <v>224.2</v>
      </c>
      <c r="G34" s="30" t="s">
        <v>133</v>
      </c>
      <c r="H34" s="8">
        <v>2</v>
      </c>
      <c r="I34" s="8">
        <v>19</v>
      </c>
      <c r="J34" s="8">
        <f>Tableau14[[#This Row],[F crashes2015]]+Tableau14[[#This Row],[S crashes2015]]</f>
        <v>21</v>
      </c>
      <c r="K34" s="12">
        <f>IF(Tableau14[[#This Row],[F crashes2015]] &lt;&gt; 0, Tableau14[[#This Row],[F &amp; S crashes2015]]/Tableau14[[#This Row],[F crashes2015]], 1)</f>
        <v>10.5</v>
      </c>
      <c r="L34" s="8">
        <v>11017</v>
      </c>
      <c r="M34" s="8">
        <v>126696</v>
      </c>
      <c r="N34" s="8">
        <f>(Tableau14[[#This Row],[VEHIC KM / JOUR2015]]*365)/1000000000</f>
        <v>4.624404E-2</v>
      </c>
      <c r="O34" s="23">
        <f>(Tableau14[[#This Row],[F &amp; S crashes2015]]/Tableau14[[#This Row],[BILLION VEH KM TRAVELLED2015]])</f>
        <v>454.11257320943412</v>
      </c>
      <c r="P34" s="11" t="s">
        <v>144</v>
      </c>
      <c r="Q34" s="11">
        <f>Tableau14[[#This Row],[F &amp; S crashes2015]]/4</f>
        <v>5.25</v>
      </c>
      <c r="R34" s="8" t="s">
        <v>144</v>
      </c>
      <c r="S34" s="23">
        <f>Tableau14[[#This Row],[VEHIC KM / JOUR2015]]/Tableau14[[#This Row],[TMJA2015 (vehi/jour)]]</f>
        <v>11.500045384405919</v>
      </c>
      <c r="T34" s="8">
        <v>1</v>
      </c>
      <c r="U34" s="8">
        <v>1</v>
      </c>
      <c r="V34" s="8">
        <v>80</v>
      </c>
      <c r="W34" s="8">
        <v>224</v>
      </c>
      <c r="X34" s="8">
        <v>235.5</v>
      </c>
      <c r="Y34" s="8">
        <v>6</v>
      </c>
      <c r="Z34" s="8">
        <v>32</v>
      </c>
      <c r="AA34" s="8">
        <f>Tableau14[[#This Row],[F Crashes trancon]]+Tableau14[[#This Row],[S crashes trancon]]</f>
        <v>38</v>
      </c>
      <c r="AB34" s="24">
        <f>IF(Tableau14[[#This Row],[F Crashes trancon]]&lt;&gt; 0, Tableau14[[#This Row],[F&amp;S crashes tronçon ]]/Tableau14[[#This Row],[F Crashes trancon]], 1)</f>
        <v>6.333333333333333</v>
      </c>
      <c r="AC34" s="23">
        <f>(Tableau14[[#This Row],[F&amp;S crashes tronçon ]]/Tableau14[[#This Row],[BILLION VEH KM TRAVELLED2015]])</f>
        <v>821.72751342659512</v>
      </c>
      <c r="AD34" s="26" t="s">
        <v>144</v>
      </c>
      <c r="AE34" s="27">
        <f>Tableau14[[#This Row],[F&amp;S crashes tronçon ]]/Tableau14[[#This Row],[LENTGH SECTION(KM)]]</f>
        <v>3.304334785628591</v>
      </c>
      <c r="AF34" s="8" t="s">
        <v>144</v>
      </c>
      <c r="AG34" s="8">
        <v>2.25</v>
      </c>
      <c r="AH34" s="8" t="s">
        <v>212</v>
      </c>
      <c r="AI34" s="8" t="s">
        <v>212</v>
      </c>
      <c r="AJ34" s="8" t="s">
        <v>212</v>
      </c>
      <c r="AK34" s="8" t="s">
        <v>211</v>
      </c>
      <c r="AL34" s="8">
        <v>3.5</v>
      </c>
      <c r="AM34" s="8">
        <v>0</v>
      </c>
      <c r="AN34" s="8">
        <v>6374</v>
      </c>
      <c r="AO34" s="8">
        <v>7631</v>
      </c>
      <c r="AP34" s="44">
        <v>0</v>
      </c>
      <c r="AQ34" s="44">
        <v>0</v>
      </c>
      <c r="AR34" s="8">
        <v>31</v>
      </c>
      <c r="AS34" s="8">
        <v>200</v>
      </c>
      <c r="AT34" s="8">
        <v>21</v>
      </c>
      <c r="AU34" s="8">
        <v>351</v>
      </c>
      <c r="AV34" s="44">
        <f>IF(Tableau14[[#This Row],[Moyenne Journalière Infrations 2016]]&gt;0, Tableau14[[#This Row],[Moyenne Journalière Infrations 2016]]-Tableau14[[#This Row],[Moyenne Journalière Infrations 2017]],0)</f>
        <v>10</v>
      </c>
      <c r="AW34" s="44">
        <f>IF(Tableau14[[#This Row],[Moyenne Journalière Infrations 2015]]&gt;0, Tableau14[[#This Row],[Moyenne Journalière Infrations 2015]]-Tableau14[[#This Row],[Moyenne Journalière Infrations 2016]],0)</f>
        <v>0</v>
      </c>
      <c r="AX34" s="8">
        <v>2</v>
      </c>
      <c r="AY34" s="8" t="s">
        <v>384</v>
      </c>
      <c r="AZ34" s="8" t="s">
        <v>371</v>
      </c>
      <c r="BA34" s="8" t="s">
        <v>404</v>
      </c>
      <c r="BB34" s="8">
        <v>1</v>
      </c>
      <c r="BC34" s="8">
        <v>23</v>
      </c>
      <c r="BD34" s="8">
        <f>Tableau14[[#This Row],[S crashes2016]]+Tableau14[[#This Row],[F crashes2016]]</f>
        <v>24</v>
      </c>
      <c r="BE34" s="12">
        <f>IF(Tableau14[[#This Row],[F crashes2016]] &lt;&gt; 0, Tableau14[[#This Row],[F &amp; S crashes2016]]/Tableau14[[#This Row],[F crashes2016]], 1)</f>
        <v>24</v>
      </c>
      <c r="BF34" s="8">
        <v>11314</v>
      </c>
      <c r="BG34" s="8">
        <v>130111</v>
      </c>
      <c r="BH34" s="8">
        <f>(Tableau14[[#This Row],[VEHIC KM / JOUR2016]]*365)/1000000000</f>
        <v>4.7490514999999997E-2</v>
      </c>
      <c r="BI34" s="8">
        <f>(Tableau14[[#This Row],[F &amp; S crashes2016]]/Tableau14[[#This Row],[BILLION VEH KM TRAVELLED2016]])</f>
        <v>505.3640711203069</v>
      </c>
      <c r="BJ34" s="44" t="s">
        <v>144</v>
      </c>
      <c r="BK34" s="8">
        <f>Tableau14[[#This Row],[F &amp; S crashes2016]]/4</f>
        <v>6</v>
      </c>
      <c r="BL34" s="27">
        <f>Tableau14[[#This Row],[CRASH RISK2016]]-Tableau14[[#This Row],[CRASH RISK2015]]</f>
        <v>51.251497910872786</v>
      </c>
      <c r="BM34" s="27">
        <f>Tableau14[[#This Row],[CRASH DENSITY2016]]-Tableau14[[#This Row],[CRASH DENSITY2015]]</f>
        <v>0.75</v>
      </c>
    </row>
    <row r="35" spans="1:65" ht="28.8" x14ac:dyDescent="0.3">
      <c r="A35" s="28">
        <f t="shared" si="0"/>
        <v>34</v>
      </c>
      <c r="B35" s="47" t="s">
        <v>98</v>
      </c>
      <c r="C35" s="11" t="s">
        <v>14</v>
      </c>
      <c r="D35" s="8" t="s">
        <v>15</v>
      </c>
      <c r="E35" s="8" t="s">
        <v>16</v>
      </c>
      <c r="F35" s="8">
        <v>262.60000000000002</v>
      </c>
      <c r="G35" s="30" t="s">
        <v>133</v>
      </c>
      <c r="H35" s="8">
        <v>0</v>
      </c>
      <c r="I35" s="8">
        <v>5</v>
      </c>
      <c r="J35" s="8">
        <f>Tableau14[[#This Row],[F crashes2015]]+Tableau14[[#This Row],[S crashes2015]]</f>
        <v>5</v>
      </c>
      <c r="K35" s="12">
        <f>IF(Tableau14[[#This Row],[F crashes2015]] &lt;&gt; 0, Tableau14[[#This Row],[F &amp; S crashes2015]]/Tableau14[[#This Row],[F crashes2015]], 1)</f>
        <v>1</v>
      </c>
      <c r="L35" s="8">
        <v>14163</v>
      </c>
      <c r="M35" s="8">
        <v>678408</v>
      </c>
      <c r="N35" s="8">
        <f>(Tableau14[[#This Row],[VEHIC KM / JOUR2015]]*365)/1000000000</f>
        <v>0.24761891999999999</v>
      </c>
      <c r="O35" s="23">
        <f>(Tableau14[[#This Row],[F &amp; S crashes2015]]/Tableau14[[#This Row],[BILLION VEH KM TRAVELLED2015]])</f>
        <v>20.192318099117792</v>
      </c>
      <c r="P35" s="11" t="s">
        <v>144</v>
      </c>
      <c r="Q35" s="11">
        <f>Tableau14[[#This Row],[F &amp; S crashes2015]]/4</f>
        <v>1.25</v>
      </c>
      <c r="R35" s="8" t="s">
        <v>144</v>
      </c>
      <c r="S35" s="23">
        <f>Tableau14[[#This Row],[VEHIC KM / JOUR2015]]/Tableau14[[#This Row],[TMJA2015 (vehi/jour)]]</f>
        <v>47.90002118195298</v>
      </c>
      <c r="T35" s="8">
        <v>1</v>
      </c>
      <c r="U35" s="8">
        <v>2</v>
      </c>
      <c r="V35" s="8">
        <v>80</v>
      </c>
      <c r="W35" s="8">
        <v>249.1</v>
      </c>
      <c r="X35" s="8">
        <v>297</v>
      </c>
      <c r="Y35" s="8">
        <v>9</v>
      </c>
      <c r="Z35" s="8">
        <v>17</v>
      </c>
      <c r="AA35" s="8">
        <f>Tableau14[[#This Row],[F Crashes trancon]]+Tableau14[[#This Row],[S crashes trancon]]</f>
        <v>26</v>
      </c>
      <c r="AB35" s="24">
        <f>IF(Tableau14[[#This Row],[F Crashes trancon]]&lt;&gt; 0, Tableau14[[#This Row],[F&amp;S crashes tronçon ]]/Tableau14[[#This Row],[F Crashes trancon]], 1)</f>
        <v>2.8888888888888888</v>
      </c>
      <c r="AC35" s="23">
        <f>(Tableau14[[#This Row],[F&amp;S crashes tronçon ]]/Tableau14[[#This Row],[BILLION VEH KM TRAVELLED2015]])</f>
        <v>105.00005411541251</v>
      </c>
      <c r="AD35" s="26" t="s">
        <v>144</v>
      </c>
      <c r="AE35" s="27">
        <f>Tableau14[[#This Row],[F&amp;S crashes tronçon ]]/Tableau14[[#This Row],[LENTGH SECTION(KM)]]</f>
        <v>0.54279725474935436</v>
      </c>
      <c r="AF35" s="8" t="s">
        <v>144</v>
      </c>
      <c r="AG35" s="8">
        <v>1.87</v>
      </c>
      <c r="AH35" s="8" t="s">
        <v>212</v>
      </c>
      <c r="AI35" s="8" t="s">
        <v>212</v>
      </c>
      <c r="AJ35" s="8" t="s">
        <v>212</v>
      </c>
      <c r="AK35" s="8" t="s">
        <v>211</v>
      </c>
      <c r="AL35" s="8">
        <v>8</v>
      </c>
      <c r="AM35" s="8">
        <v>0</v>
      </c>
      <c r="AN35" s="8">
        <v>5955</v>
      </c>
      <c r="AO35" s="8">
        <v>148</v>
      </c>
      <c r="AP35" s="44">
        <v>0</v>
      </c>
      <c r="AQ35" s="44">
        <v>0</v>
      </c>
      <c r="AR35" s="8">
        <v>39</v>
      </c>
      <c r="AS35" s="8">
        <v>149</v>
      </c>
      <c r="AT35" s="8">
        <v>1</v>
      </c>
      <c r="AU35" s="8">
        <v>115</v>
      </c>
      <c r="AV35" s="44">
        <f>IF(Tableau14[[#This Row],[Moyenne Journalière Infrations 2016]]&gt;0, Tableau14[[#This Row],[Moyenne Journalière Infrations 2016]]-Tableau14[[#This Row],[Moyenne Journalière Infrations 2017]],0)</f>
        <v>38</v>
      </c>
      <c r="AW35" s="44">
        <f>IF(Tableau14[[#This Row],[Moyenne Journalière Infrations 2015]]&gt;0, Tableau14[[#This Row],[Moyenne Journalière Infrations 2015]]-Tableau14[[#This Row],[Moyenne Journalière Infrations 2016]],0)</f>
        <v>0</v>
      </c>
      <c r="AX35" s="8">
        <v>4</v>
      </c>
      <c r="AY35" s="8" t="s">
        <v>384</v>
      </c>
      <c r="AZ35" s="8" t="s">
        <v>386</v>
      </c>
      <c r="BA35" s="8" t="s">
        <v>405</v>
      </c>
      <c r="BB35" s="8">
        <v>1</v>
      </c>
      <c r="BC35" s="8">
        <v>2</v>
      </c>
      <c r="BD35" s="8">
        <f>Tableau14[[#This Row],[S crashes2016]]+Tableau14[[#This Row],[F crashes2016]]</f>
        <v>3</v>
      </c>
      <c r="BE35" s="12">
        <f>IF(Tableau14[[#This Row],[F crashes2016]] &lt;&gt; 0, Tableau14[[#This Row],[F &amp; S crashes2016]]/Tableau14[[#This Row],[F crashes2016]], 1)</f>
        <v>3</v>
      </c>
      <c r="BF35" s="8">
        <v>14195</v>
      </c>
      <c r="BG35" s="8">
        <v>679941</v>
      </c>
      <c r="BH35" s="8">
        <f>(Tableau14[[#This Row],[VEHIC KM / JOUR2016]]*365)/1000000000</f>
        <v>0.24817846499999999</v>
      </c>
      <c r="BI35" s="8">
        <f>(Tableau14[[#This Row],[F &amp; S crashes2016]]/Tableau14[[#This Row],[BILLION VEH KM TRAVELLED2016]])</f>
        <v>12.088075409766114</v>
      </c>
      <c r="BJ35" t="s">
        <v>468</v>
      </c>
      <c r="BK35" s="8">
        <f>Tableau14[[#This Row],[F &amp; S crashes2016]]/4</f>
        <v>0.75</v>
      </c>
      <c r="BL35" s="27">
        <f>Tableau14[[#This Row],[CRASH RISK2016]]-Tableau14[[#This Row],[CRASH RISK2015]]</f>
        <v>-8.1042426893516772</v>
      </c>
      <c r="BM35" s="27">
        <f>Tableau14[[#This Row],[CRASH DENSITY2016]]-Tableau14[[#This Row],[CRASH DENSITY2015]]</f>
        <v>-0.5</v>
      </c>
    </row>
    <row r="36" spans="1:65" x14ac:dyDescent="0.3">
      <c r="A36" s="28">
        <f t="shared" si="0"/>
        <v>35</v>
      </c>
      <c r="B36" s="47" t="s">
        <v>95</v>
      </c>
      <c r="C36" s="11" t="s">
        <v>6</v>
      </c>
      <c r="D36" s="8" t="s">
        <v>7</v>
      </c>
      <c r="E36" s="8" t="s">
        <v>8</v>
      </c>
      <c r="F36" s="8">
        <v>34</v>
      </c>
      <c r="G36" s="31" t="s">
        <v>132</v>
      </c>
      <c r="H36" s="8">
        <v>4</v>
      </c>
      <c r="I36" s="8">
        <v>4</v>
      </c>
      <c r="J36" s="8">
        <f>Tableau14[[#This Row],[F crashes2015]]+Tableau14[[#This Row],[S crashes2015]]</f>
        <v>8</v>
      </c>
      <c r="K36" s="12">
        <f>IF(Tableau14[[#This Row],[F crashes2015]] &lt;&gt; 0, Tableau14[[#This Row],[F &amp; S crashes2015]]/Tableau14[[#This Row],[F crashes2015]], 1)</f>
        <v>2</v>
      </c>
      <c r="L36" s="8">
        <v>18701</v>
      </c>
      <c r="M36" s="8">
        <v>224412</v>
      </c>
      <c r="N36" s="8">
        <f>(Tableau14[[#This Row],[VEHIC KM / JOUR2015]]*365)/1000000000</f>
        <v>8.1910380000000005E-2</v>
      </c>
      <c r="O36" s="23">
        <f>(Tableau14[[#This Row],[F &amp; S crashes2015]]/Tableau14[[#This Row],[BILLION VEH KM TRAVELLED2015]])</f>
        <v>97.667719280511207</v>
      </c>
      <c r="P36" s="11" t="s">
        <v>144</v>
      </c>
      <c r="Q36" s="11">
        <f>Tableau14[[#This Row],[F &amp; S crashes2015]]/4</f>
        <v>2</v>
      </c>
      <c r="R36" s="8" t="s">
        <v>144</v>
      </c>
      <c r="S36" s="23">
        <f>Tableau14[[#This Row],[VEHIC KM / JOUR2015]]/Tableau14[[#This Row],[TMJA2015 (vehi/jour)]]</f>
        <v>12</v>
      </c>
      <c r="T36" s="8">
        <v>0</v>
      </c>
      <c r="U36" s="8">
        <v>1</v>
      </c>
      <c r="V36" s="8">
        <v>60</v>
      </c>
      <c r="W36" s="8">
        <v>31</v>
      </c>
      <c r="X36" s="8">
        <v>43</v>
      </c>
      <c r="Y36" s="8">
        <v>7</v>
      </c>
      <c r="Z36" s="8">
        <v>5</v>
      </c>
      <c r="AA36" s="8">
        <f>Tableau14[[#This Row],[F Crashes trancon]]+Tableau14[[#This Row],[S crashes trancon]]</f>
        <v>12</v>
      </c>
      <c r="AB36" s="24">
        <f>IF(Tableau14[[#This Row],[F Crashes trancon]]&lt;&gt; 0, Tableau14[[#This Row],[F&amp;S crashes tronçon ]]/Tableau14[[#This Row],[F Crashes trancon]], 1)</f>
        <v>1.7142857142857142</v>
      </c>
      <c r="AC36" s="23">
        <f>(Tableau14[[#This Row],[F&amp;S crashes tronçon ]]/Tableau14[[#This Row],[BILLION VEH KM TRAVELLED2015]])</f>
        <v>146.5015789207668</v>
      </c>
      <c r="AD36" s="26" t="s">
        <v>144</v>
      </c>
      <c r="AE36" s="27">
        <f>Tableau14[[#This Row],[F&amp;S crashes tronçon ]]/Tableau14[[#This Row],[LENTGH SECTION(KM)]]</f>
        <v>1</v>
      </c>
      <c r="AF36" s="8" t="s">
        <v>144</v>
      </c>
      <c r="AG36" s="8">
        <v>1.74</v>
      </c>
      <c r="AH36" s="8" t="s">
        <v>212</v>
      </c>
      <c r="AI36" s="8" t="s">
        <v>212</v>
      </c>
      <c r="AJ36" s="8" t="s">
        <v>212</v>
      </c>
      <c r="AK36" s="8" t="s">
        <v>211</v>
      </c>
      <c r="AL36" s="40">
        <v>1</v>
      </c>
      <c r="AM36" s="8">
        <v>0</v>
      </c>
      <c r="AN36" s="8">
        <v>26461</v>
      </c>
      <c r="AO36" s="8">
        <v>30041</v>
      </c>
      <c r="AP36" s="44">
        <v>0</v>
      </c>
      <c r="AQ36" s="44">
        <v>0</v>
      </c>
      <c r="AR36" s="8">
        <v>140</v>
      </c>
      <c r="AS36" s="8">
        <v>189</v>
      </c>
      <c r="AT36" s="8">
        <v>84</v>
      </c>
      <c r="AU36" s="8">
        <v>357</v>
      </c>
      <c r="AV36" s="44">
        <f>IF(Tableau14[[#This Row],[Moyenne Journalière Infrations 2016]]&gt;0, Tableau14[[#This Row],[Moyenne Journalière Infrations 2016]]-Tableau14[[#This Row],[Moyenne Journalière Infrations 2017]],0)</f>
        <v>56</v>
      </c>
      <c r="AW36" s="44">
        <f>IF(Tableau14[[#This Row],[Moyenne Journalière Infrations 2015]]&gt;0, Tableau14[[#This Row],[Moyenne Journalière Infrations 2015]]-Tableau14[[#This Row],[Moyenne Journalière Infrations 2016]],0)</f>
        <v>0</v>
      </c>
      <c r="AX36" s="8">
        <v>2</v>
      </c>
      <c r="AY36" s="8" t="s">
        <v>384</v>
      </c>
      <c r="AZ36" s="8" t="s">
        <v>371</v>
      </c>
      <c r="BA36" s="8" t="s">
        <v>406</v>
      </c>
      <c r="BB36" s="8">
        <v>1</v>
      </c>
      <c r="BC36" s="8">
        <v>3</v>
      </c>
      <c r="BD36" s="8">
        <f>Tableau14[[#This Row],[S crashes2016]]+Tableau14[[#This Row],[F crashes2016]]</f>
        <v>4</v>
      </c>
      <c r="BE36" s="12">
        <f>IF(Tableau14[[#This Row],[F crashes2016]] &lt;&gt; 0, Tableau14[[#This Row],[F &amp; S crashes2016]]/Tableau14[[#This Row],[F crashes2016]], 1)</f>
        <v>4</v>
      </c>
      <c r="BF36" s="8">
        <v>18875</v>
      </c>
      <c r="BG36" s="8">
        <v>226500</v>
      </c>
      <c r="BH36" s="8">
        <f>(Tableau14[[#This Row],[VEHIC KM / JOUR2016]]*365)/1000000000</f>
        <v>8.2672499999999996E-2</v>
      </c>
      <c r="BI36" s="8">
        <f>(Tableau14[[#This Row],[F &amp; S crashes2016]]/Tableau14[[#This Row],[BILLION VEH KM TRAVELLED2016]])</f>
        <v>48.383682603042125</v>
      </c>
      <c r="BJ36" t="s">
        <v>146</v>
      </c>
      <c r="BK36" s="8">
        <f>Tableau14[[#This Row],[F &amp; S crashes2016]]/4</f>
        <v>1</v>
      </c>
      <c r="BL36" s="27">
        <f>Tableau14[[#This Row],[CRASH RISK2016]]-Tableau14[[#This Row],[CRASH RISK2015]]</f>
        <v>-49.284036677469082</v>
      </c>
      <c r="BM36" s="27">
        <f>Tableau14[[#This Row],[CRASH DENSITY2016]]-Tableau14[[#This Row],[CRASH DENSITY2015]]</f>
        <v>-1</v>
      </c>
    </row>
    <row r="37" spans="1:65" x14ac:dyDescent="0.3">
      <c r="A37" s="28">
        <f t="shared" si="0"/>
        <v>36</v>
      </c>
      <c r="B37" s="8" t="s">
        <v>96</v>
      </c>
      <c r="C37" s="11" t="s">
        <v>9</v>
      </c>
      <c r="D37" s="8" t="s">
        <v>7</v>
      </c>
      <c r="E37" s="8" t="s">
        <v>10</v>
      </c>
      <c r="F37" s="8">
        <v>34.4</v>
      </c>
      <c r="G37" s="31" t="s">
        <v>132</v>
      </c>
      <c r="H37" s="8">
        <v>4</v>
      </c>
      <c r="I37" s="8">
        <v>4</v>
      </c>
      <c r="J37" s="8">
        <f>Tableau14[[#This Row],[F crashes2015]]+Tableau14[[#This Row],[S crashes2015]]</f>
        <v>8</v>
      </c>
      <c r="K37" s="12">
        <f>IF(Tableau14[[#This Row],[F crashes2015]] &lt;&gt; 0, Tableau14[[#This Row],[F &amp; S crashes2015]]/Tableau14[[#This Row],[F crashes2015]], 1)</f>
        <v>2</v>
      </c>
      <c r="L37" s="8">
        <v>18701</v>
      </c>
      <c r="M37" s="8">
        <v>224412</v>
      </c>
      <c r="N37" s="8">
        <f>(Tableau14[[#This Row],[VEHIC KM / JOUR2015]]*365)/1000000000</f>
        <v>8.1910380000000005E-2</v>
      </c>
      <c r="O37" s="23">
        <f>(Tableau14[[#This Row],[F &amp; S crashes2015]]/Tableau14[[#This Row],[BILLION VEH KM TRAVELLED2015]])</f>
        <v>97.667719280511207</v>
      </c>
      <c r="P37" s="11" t="s">
        <v>144</v>
      </c>
      <c r="Q37" s="11">
        <f>Tableau14[[#This Row],[F &amp; S crashes2015]]/4</f>
        <v>2</v>
      </c>
      <c r="R37" s="8" t="s">
        <v>144</v>
      </c>
      <c r="S37" s="23">
        <f>Tableau14[[#This Row],[VEHIC KM / JOUR2015]]/Tableau14[[#This Row],[TMJA2015 (vehi/jour)]]</f>
        <v>12</v>
      </c>
      <c r="T37" s="8">
        <v>0</v>
      </c>
      <c r="U37" s="8">
        <v>1</v>
      </c>
      <c r="V37" s="8">
        <v>60</v>
      </c>
      <c r="W37" s="8">
        <v>31</v>
      </c>
      <c r="X37" s="8">
        <v>43</v>
      </c>
      <c r="Y37" s="8">
        <v>7</v>
      </c>
      <c r="Z37" s="8">
        <v>5</v>
      </c>
      <c r="AA37" s="8">
        <f>Tableau14[[#This Row],[F Crashes trancon]]+Tableau14[[#This Row],[S crashes trancon]]</f>
        <v>12</v>
      </c>
      <c r="AB37" s="24">
        <f>IF(Tableau14[[#This Row],[F Crashes trancon]]&lt;&gt; 0, Tableau14[[#This Row],[F&amp;S crashes tronçon ]]/Tableau14[[#This Row],[F Crashes trancon]], 1)</f>
        <v>1.7142857142857142</v>
      </c>
      <c r="AC37" s="23">
        <f>(Tableau14[[#This Row],[F&amp;S crashes tronçon ]]/Tableau14[[#This Row],[BILLION VEH KM TRAVELLED2015]])</f>
        <v>146.5015789207668</v>
      </c>
      <c r="AD37" s="26" t="s">
        <v>144</v>
      </c>
      <c r="AE37" s="27">
        <f>Tableau14[[#This Row],[F&amp;S crashes tronçon ]]/Tableau14[[#This Row],[LENTGH SECTION(KM)]]</f>
        <v>1</v>
      </c>
      <c r="AF37" s="8" t="s">
        <v>144</v>
      </c>
      <c r="AG37" s="8">
        <v>1.74</v>
      </c>
      <c r="AH37" s="8" t="s">
        <v>212</v>
      </c>
      <c r="AI37" s="8" t="s">
        <v>212</v>
      </c>
      <c r="AJ37" s="8" t="s">
        <v>212</v>
      </c>
      <c r="AK37" s="8" t="s">
        <v>211</v>
      </c>
      <c r="AL37" s="8">
        <v>1</v>
      </c>
      <c r="AM37" s="8">
        <v>0</v>
      </c>
      <c r="AN37" s="8">
        <v>23267</v>
      </c>
      <c r="AO37" s="8">
        <v>23979</v>
      </c>
      <c r="AP37" s="44">
        <v>0</v>
      </c>
      <c r="AQ37" s="44">
        <v>0</v>
      </c>
      <c r="AR37" s="8">
        <v>111</v>
      </c>
      <c r="AS37" s="8">
        <v>208</v>
      </c>
      <c r="AT37" s="8">
        <v>67</v>
      </c>
      <c r="AU37" s="8">
        <v>357</v>
      </c>
      <c r="AV37" s="44">
        <f>IF(Tableau14[[#This Row],[Moyenne Journalière Infrations 2016]]&gt;0, Tableau14[[#This Row],[Moyenne Journalière Infrations 2016]]-Tableau14[[#This Row],[Moyenne Journalière Infrations 2017]],0)</f>
        <v>44</v>
      </c>
      <c r="AW37" s="44">
        <f>IF(Tableau14[[#This Row],[Moyenne Journalière Infrations 2015]]&gt;0, Tableau14[[#This Row],[Moyenne Journalière Infrations 2015]]-Tableau14[[#This Row],[Moyenne Journalière Infrations 2016]],0)</f>
        <v>0</v>
      </c>
      <c r="AX37" s="8">
        <v>2</v>
      </c>
      <c r="AY37" s="8" t="s">
        <v>384</v>
      </c>
      <c r="AZ37" s="8" t="s">
        <v>371</v>
      </c>
      <c r="BA37" s="8" t="s">
        <v>407</v>
      </c>
      <c r="BB37" s="8">
        <v>1</v>
      </c>
      <c r="BC37" s="8">
        <v>3</v>
      </c>
      <c r="BD37" s="8">
        <f>Tableau14[[#This Row],[S crashes2016]]+Tableau14[[#This Row],[F crashes2016]]</f>
        <v>4</v>
      </c>
      <c r="BE37" s="12">
        <f>IF(Tableau14[[#This Row],[F crashes2016]] &lt;&gt; 0, Tableau14[[#This Row],[F &amp; S crashes2016]]/Tableau14[[#This Row],[F crashes2016]], 1)</f>
        <v>4</v>
      </c>
      <c r="BF37" s="8">
        <v>18875</v>
      </c>
      <c r="BG37" s="8">
        <v>226500</v>
      </c>
      <c r="BH37" s="8">
        <f>(Tableau14[[#This Row],[VEHIC KM / JOUR2016]]*365)/1000000000</f>
        <v>8.2672499999999996E-2</v>
      </c>
      <c r="BI37" s="8">
        <f>(Tableau14[[#This Row],[F &amp; S crashes2016]]/Tableau14[[#This Row],[BILLION VEH KM TRAVELLED2016]])</f>
        <v>48.383682603042125</v>
      </c>
      <c r="BJ37" t="s">
        <v>146</v>
      </c>
      <c r="BK37" s="8">
        <f>Tableau14[[#This Row],[F &amp; S crashes2016]]/4</f>
        <v>1</v>
      </c>
      <c r="BL37" s="27">
        <f>Tableau14[[#This Row],[CRASH RISK2016]]-Tableau14[[#This Row],[CRASH RISK2015]]</f>
        <v>-49.284036677469082</v>
      </c>
      <c r="BM37" s="27">
        <f>Tableau14[[#This Row],[CRASH DENSITY2016]]-Tableau14[[#This Row],[CRASH DENSITY2015]]</f>
        <v>-1</v>
      </c>
    </row>
    <row r="38" spans="1:65" ht="28.8" x14ac:dyDescent="0.3">
      <c r="A38" s="28">
        <f t="shared" si="0"/>
        <v>37</v>
      </c>
      <c r="B38" s="8" t="s">
        <v>306</v>
      </c>
      <c r="C38" s="11" t="s">
        <v>330</v>
      </c>
      <c r="D38" s="49" t="s">
        <v>346</v>
      </c>
      <c r="E38" s="50" t="s">
        <v>347</v>
      </c>
      <c r="F38" s="8">
        <v>73.3</v>
      </c>
      <c r="G38" s="8" t="s">
        <v>132</v>
      </c>
      <c r="H38" s="8">
        <v>0</v>
      </c>
      <c r="I38" s="8">
        <v>0</v>
      </c>
      <c r="J38" s="8">
        <f>Tableau14[[#This Row],[F crashes2015]]+Tableau14[[#This Row],[S crashes2015]]</f>
        <v>0</v>
      </c>
      <c r="K38" s="33">
        <f>IF(Tableau14[[#This Row],[F crashes2015]] &lt;&gt; 0, Tableau14[[#This Row],[F &amp; S crashes2015]]/Tableau14[[#This Row],[F crashes2015]], 1)</f>
        <v>1</v>
      </c>
      <c r="L38" s="8">
        <v>16271</v>
      </c>
      <c r="M38" s="8">
        <v>165964</v>
      </c>
      <c r="N38" s="26">
        <f>(Tableau14[[#This Row],[VEHIC KM / JOUR2015]]*365)/1000000000</f>
        <v>6.0576860000000003E-2</v>
      </c>
      <c r="O38" s="26">
        <f>(Tableau14[[#This Row],[F &amp; S crashes2015]]/Tableau14[[#This Row],[BILLION VEH KM TRAVELLED2015]])</f>
        <v>0</v>
      </c>
      <c r="P38" s="11" t="s">
        <v>143</v>
      </c>
      <c r="Q38" s="34">
        <f>Tableau14[[#This Row],[F &amp; S crashes2015]]/4</f>
        <v>0</v>
      </c>
      <c r="R38" s="11"/>
      <c r="S38" s="23">
        <f>Tableau14[[#This Row],[VEHIC KM / JOUR2015]]/Tableau14[[#This Row],[TMJA2015 (vehi/jour)]]</f>
        <v>10.19998770819249</v>
      </c>
      <c r="T38" s="8"/>
      <c r="U38" s="8"/>
      <c r="V38" s="8">
        <v>60</v>
      </c>
      <c r="W38" s="8"/>
      <c r="X38" s="8"/>
      <c r="Y38" s="8"/>
      <c r="Z38" s="8"/>
      <c r="AA38" s="26">
        <f>Tableau14[[#This Row],[F Crashes trancon]]+Tableau14[[#This Row],[S crashes trancon]]</f>
        <v>0</v>
      </c>
      <c r="AB38" s="23">
        <f>IF(Tableau14[[#This Row],[F Crashes trancon]]&lt;&gt; 0, Tableau14[[#This Row],[F&amp;S crashes tronçon ]]/Tableau14[[#This Row],[F Crashes trancon]], 1)</f>
        <v>1</v>
      </c>
      <c r="AC38" s="23">
        <f>(Tableau14[[#This Row],[F&amp;S crashes tronçon ]]/Tableau14[[#This Row],[BILLION VEH KM TRAVELLED2015]])</f>
        <v>0</v>
      </c>
      <c r="AD38" s="26"/>
      <c r="AE38" s="27">
        <f>Tableau14[[#This Row],[F&amp;S crashes tronçon ]]/Tableau14[[#This Row],[LENTGH SECTION(KM)]]</f>
        <v>0</v>
      </c>
      <c r="AF38" s="8"/>
      <c r="AG38" s="8">
        <v>7.66</v>
      </c>
      <c r="AH38" s="8" t="s">
        <v>212</v>
      </c>
      <c r="AI38" s="8" t="s">
        <v>212</v>
      </c>
      <c r="AJ38" s="8" t="s">
        <v>212</v>
      </c>
      <c r="AK38" s="8" t="s">
        <v>211</v>
      </c>
      <c r="AL38" s="8">
        <v>1</v>
      </c>
      <c r="AM38" s="8"/>
      <c r="AN38" s="8"/>
      <c r="AO38" s="8"/>
      <c r="AP38" s="8">
        <v>565</v>
      </c>
      <c r="AQ38" s="8">
        <v>3</v>
      </c>
      <c r="AR38" s="8">
        <v>356</v>
      </c>
      <c r="AS38" s="8">
        <v>248</v>
      </c>
      <c r="AT38" s="8">
        <v>162</v>
      </c>
      <c r="AU38" s="8">
        <v>364</v>
      </c>
      <c r="AV38" s="44">
        <f>IF(Tableau14[[#This Row],[Moyenne Journalière Infrations 2016]]&gt;0, Tableau14[[#This Row],[Moyenne Journalière Infrations 2016]]-Tableau14[[#This Row],[Moyenne Journalière Infrations 2017]],0)</f>
        <v>194</v>
      </c>
      <c r="AW38" s="44">
        <f>IF(Tableau14[[#This Row],[Moyenne Journalière Infrations 2015]]&gt;0, Tableau14[[#This Row],[Moyenne Journalière Infrations 2015]]-Tableau14[[#This Row],[Moyenne Journalière Infrations 2016]],0)</f>
        <v>209</v>
      </c>
      <c r="AX38" s="8">
        <v>2</v>
      </c>
      <c r="AY38" s="8" t="s">
        <v>385</v>
      </c>
      <c r="AZ38" s="8" t="s">
        <v>371</v>
      </c>
      <c r="BA38" s="8" t="s">
        <v>408</v>
      </c>
      <c r="BB38" s="8">
        <v>1</v>
      </c>
      <c r="BC38" s="8">
        <v>0</v>
      </c>
      <c r="BD38" s="8">
        <f>Tableau14[[#This Row],[S crashes2016]]+Tableau14[[#This Row],[F crashes2016]]</f>
        <v>1</v>
      </c>
      <c r="BE38" s="12">
        <f>IF(Tableau14[[#This Row],[F crashes2016]] &lt;&gt; 0, Tableau14[[#This Row],[F &amp; S crashes2016]]/Tableau14[[#This Row],[F crashes2016]], 1)</f>
        <v>1</v>
      </c>
      <c r="BF38" s="8">
        <v>16256</v>
      </c>
      <c r="BG38" s="8">
        <v>165811</v>
      </c>
      <c r="BH38" s="8">
        <f>(Tableau14[[#This Row],[VEHIC KM / JOUR2016]]*365)/1000000000</f>
        <v>6.0521014999999997E-2</v>
      </c>
      <c r="BI38" s="8">
        <f>(Tableau14[[#This Row],[F &amp; S crashes2016]]/Tableau14[[#This Row],[BILLION VEH KM TRAVELLED2016]])</f>
        <v>16.523186202346409</v>
      </c>
      <c r="BJ38" s="44" t="s">
        <v>144</v>
      </c>
      <c r="BK38" s="8">
        <f>Tableau14[[#This Row],[F &amp; S crashes2016]]/4</f>
        <v>0.25</v>
      </c>
      <c r="BL38" s="27">
        <f>Tableau14[[#This Row],[CRASH RISK2016]]-Tableau14[[#This Row],[CRASH RISK2015]]</f>
        <v>16.523186202346409</v>
      </c>
      <c r="BM38" s="27">
        <f>Tableau14[[#This Row],[CRASH DENSITY2016]]-Tableau14[[#This Row],[CRASH DENSITY2015]]</f>
        <v>0.25</v>
      </c>
    </row>
    <row r="39" spans="1:65" ht="28.8" x14ac:dyDescent="0.3">
      <c r="A39" s="28">
        <f t="shared" si="0"/>
        <v>38</v>
      </c>
      <c r="B39" s="8" t="s">
        <v>307</v>
      </c>
      <c r="C39" s="11" t="s">
        <v>331</v>
      </c>
      <c r="D39" s="49" t="s">
        <v>346</v>
      </c>
      <c r="E39" s="50" t="s">
        <v>348</v>
      </c>
      <c r="F39" s="8">
        <v>73.349999999999994</v>
      </c>
      <c r="G39" s="8" t="s">
        <v>132</v>
      </c>
      <c r="H39" s="8">
        <v>0</v>
      </c>
      <c r="I39" s="8">
        <v>0</v>
      </c>
      <c r="J39" s="8">
        <f>Tableau14[[#This Row],[F crashes2015]]+Tableau14[[#This Row],[S crashes2015]]</f>
        <v>0</v>
      </c>
      <c r="K39" s="33">
        <f>IF(Tableau14[[#This Row],[F crashes2015]] &lt;&gt; 0, Tableau14[[#This Row],[F &amp; S crashes2015]]/Tableau14[[#This Row],[F crashes2015]], 1)</f>
        <v>1</v>
      </c>
      <c r="L39" s="8">
        <v>16271</v>
      </c>
      <c r="M39" s="8">
        <v>165964</v>
      </c>
      <c r="N39" s="26">
        <f>(Tableau14[[#This Row],[VEHIC KM / JOUR2015]]*365)/1000000000</f>
        <v>6.0576860000000003E-2</v>
      </c>
      <c r="O39" s="26">
        <f>(Tableau14[[#This Row],[F &amp; S crashes2015]]/Tableau14[[#This Row],[BILLION VEH KM TRAVELLED2015]])</f>
        <v>0</v>
      </c>
      <c r="P39" s="11" t="s">
        <v>143</v>
      </c>
      <c r="Q39" s="34">
        <f>Tableau14[[#This Row],[F &amp; S crashes2015]]/4</f>
        <v>0</v>
      </c>
      <c r="R39" s="11"/>
      <c r="S39" s="23">
        <f>Tableau14[[#This Row],[VEHIC KM / JOUR2015]]/Tableau14[[#This Row],[TMJA2015 (vehi/jour)]]</f>
        <v>10.19998770819249</v>
      </c>
      <c r="T39" s="8"/>
      <c r="U39" s="8"/>
      <c r="V39" s="8">
        <v>60</v>
      </c>
      <c r="W39" s="8"/>
      <c r="X39" s="8"/>
      <c r="Y39" s="8"/>
      <c r="Z39" s="8"/>
      <c r="AA39" s="26">
        <f>Tableau14[[#This Row],[F Crashes trancon]]+Tableau14[[#This Row],[S crashes trancon]]</f>
        <v>0</v>
      </c>
      <c r="AB39" s="23">
        <f>IF(Tableau14[[#This Row],[F Crashes trancon]]&lt;&gt; 0, Tableau14[[#This Row],[F&amp;S crashes tronçon ]]/Tableau14[[#This Row],[F Crashes trancon]], 1)</f>
        <v>1</v>
      </c>
      <c r="AC39" s="23">
        <f>(Tableau14[[#This Row],[F&amp;S crashes tronçon ]]/Tableau14[[#This Row],[BILLION VEH KM TRAVELLED2015]])</f>
        <v>0</v>
      </c>
      <c r="AD39" s="26"/>
      <c r="AE39" s="27">
        <f>Tableau14[[#This Row],[F&amp;S crashes tronçon ]]/Tableau14[[#This Row],[LENTGH SECTION(KM)]]</f>
        <v>0</v>
      </c>
      <c r="AF39" s="8"/>
      <c r="AG39" s="8">
        <v>7.66</v>
      </c>
      <c r="AH39" s="8" t="s">
        <v>212</v>
      </c>
      <c r="AI39" s="8" t="s">
        <v>212</v>
      </c>
      <c r="AJ39" s="8" t="s">
        <v>212</v>
      </c>
      <c r="AK39" s="8" t="s">
        <v>211</v>
      </c>
      <c r="AL39" s="8">
        <v>1</v>
      </c>
      <c r="AM39" s="8"/>
      <c r="AN39" s="8"/>
      <c r="AO39" s="8"/>
      <c r="AP39" s="8">
        <v>509</v>
      </c>
      <c r="AQ39" s="8">
        <v>83</v>
      </c>
      <c r="AR39" s="8">
        <v>305</v>
      </c>
      <c r="AS39" s="8">
        <v>358</v>
      </c>
      <c r="AT39" s="8">
        <v>112</v>
      </c>
      <c r="AU39" s="8">
        <v>364</v>
      </c>
      <c r="AV39" s="44">
        <f>IF(Tableau14[[#This Row],[Moyenne Journalière Infrations 2016]]&gt;0, Tableau14[[#This Row],[Moyenne Journalière Infrations 2016]]-Tableau14[[#This Row],[Moyenne Journalière Infrations 2017]],0)</f>
        <v>193</v>
      </c>
      <c r="AW39" s="44">
        <f>IF(Tableau14[[#This Row],[Moyenne Journalière Infrations 2015]]&gt;0, Tableau14[[#This Row],[Moyenne Journalière Infrations 2015]]-Tableau14[[#This Row],[Moyenne Journalière Infrations 2016]],0)</f>
        <v>204</v>
      </c>
      <c r="AX39" s="8">
        <v>2</v>
      </c>
      <c r="AY39" s="8" t="s">
        <v>384</v>
      </c>
      <c r="AZ39" s="8" t="s">
        <v>371</v>
      </c>
      <c r="BA39" s="8" t="s">
        <v>409</v>
      </c>
      <c r="BB39" s="8">
        <v>1</v>
      </c>
      <c r="BC39" s="8">
        <v>0</v>
      </c>
      <c r="BD39" s="8">
        <f>Tableau14[[#This Row],[S crashes2016]]+Tableau14[[#This Row],[F crashes2016]]</f>
        <v>1</v>
      </c>
      <c r="BE39" s="12">
        <f>IF(Tableau14[[#This Row],[F crashes2016]] &lt;&gt; 0, Tableau14[[#This Row],[F &amp; S crashes2016]]/Tableau14[[#This Row],[F crashes2016]], 1)</f>
        <v>1</v>
      </c>
      <c r="BF39" s="8">
        <v>16256</v>
      </c>
      <c r="BG39" s="8">
        <v>165811</v>
      </c>
      <c r="BH39" s="8">
        <f>(Tableau14[[#This Row],[VEHIC KM / JOUR2016]]*365)/1000000000</f>
        <v>6.0521014999999997E-2</v>
      </c>
      <c r="BI39" s="8">
        <f>(Tableau14[[#This Row],[F &amp; S crashes2016]]/Tableau14[[#This Row],[BILLION VEH KM TRAVELLED2016]])</f>
        <v>16.523186202346409</v>
      </c>
      <c r="BJ39" s="44" t="s">
        <v>144</v>
      </c>
      <c r="BK39" s="8">
        <f>Tableau14[[#This Row],[F &amp; S crashes2016]]/4</f>
        <v>0.25</v>
      </c>
      <c r="BL39" s="27">
        <f>Tableau14[[#This Row],[CRASH RISK2016]]-Tableau14[[#This Row],[CRASH RISK2015]]</f>
        <v>16.523186202346409</v>
      </c>
      <c r="BM39" s="27">
        <f>Tableau14[[#This Row],[CRASH DENSITY2016]]-Tableau14[[#This Row],[CRASH DENSITY2015]]</f>
        <v>0.25</v>
      </c>
    </row>
    <row r="40" spans="1:65" x14ac:dyDescent="0.3">
      <c r="A40" s="28">
        <f t="shared" si="0"/>
        <v>39</v>
      </c>
      <c r="B40" s="8" t="s">
        <v>126</v>
      </c>
      <c r="C40" s="11" t="s">
        <v>90</v>
      </c>
      <c r="D40" s="8" t="s">
        <v>91</v>
      </c>
      <c r="E40" s="8" t="s">
        <v>92</v>
      </c>
      <c r="F40" s="8">
        <v>83.2</v>
      </c>
      <c r="G40" s="31" t="s">
        <v>132</v>
      </c>
      <c r="H40" s="8">
        <v>0</v>
      </c>
      <c r="I40" s="8">
        <v>0</v>
      </c>
      <c r="J40" s="8">
        <f>Tableau14[[#This Row],[F crashes2015]]+Tableau14[[#This Row],[S crashes2015]]</f>
        <v>0</v>
      </c>
      <c r="K40" s="12">
        <f>IF(Tableau14[[#This Row],[F crashes2015]] &lt;&gt; 0, Tableau14[[#This Row],[F &amp; S crashes2015]]/Tableau14[[#This Row],[F crashes2015]], 1)</f>
        <v>1</v>
      </c>
      <c r="L40" s="8">
        <v>6285</v>
      </c>
      <c r="M40" s="8">
        <v>236945</v>
      </c>
      <c r="N40" s="8">
        <f>(Tableau14[[#This Row],[VEHIC KM / JOUR2015]]*365)/1000000000</f>
        <v>8.6484925000000004E-2</v>
      </c>
      <c r="O40" s="8">
        <f>(Tableau14[[#This Row],[F &amp; S crashes2015]]/Tableau14[[#This Row],[BILLION VEH KM TRAVELLED2015]])</f>
        <v>0</v>
      </c>
      <c r="P40" s="11" t="s">
        <v>143</v>
      </c>
      <c r="Q40" s="11">
        <f>Tableau14[[#This Row],[F &amp; S crashes2015]]/4</f>
        <v>0</v>
      </c>
      <c r="R40" s="11" t="s">
        <v>143</v>
      </c>
      <c r="S40" s="23">
        <f>Tableau14[[#This Row],[VEHIC KM / JOUR2015]]/Tableau14[[#This Row],[TMJA2015 (vehi/jour)]]</f>
        <v>37.700079554494828</v>
      </c>
      <c r="T40" s="8">
        <v>1</v>
      </c>
      <c r="U40" s="8">
        <v>1</v>
      </c>
      <c r="V40" s="8">
        <v>100</v>
      </c>
      <c r="W40" s="8">
        <v>75</v>
      </c>
      <c r="X40" s="8">
        <v>112.7</v>
      </c>
      <c r="Y40" s="8">
        <v>3</v>
      </c>
      <c r="Z40" s="8">
        <v>3</v>
      </c>
      <c r="AA40" s="8">
        <f>Tableau14[[#This Row],[F Crashes trancon]]+Tableau14[[#This Row],[S crashes trancon]]</f>
        <v>6</v>
      </c>
      <c r="AB40" s="24">
        <f>IF(Tableau14[[#This Row],[F Crashes trancon]]&lt;&gt; 0, Tableau14[[#This Row],[F&amp;S crashes tronçon ]]/Tableau14[[#This Row],[F Crashes trancon]], 1)</f>
        <v>2</v>
      </c>
      <c r="AC40" s="23">
        <f>(Tableau14[[#This Row],[F&amp;S crashes tronçon ]]/Tableau14[[#This Row],[BILLION VEH KM TRAVELLED2015]])</f>
        <v>69.376252566560012</v>
      </c>
      <c r="AD40" s="26" t="s">
        <v>144</v>
      </c>
      <c r="AE40" s="27">
        <f>Tableau14[[#This Row],[F&amp;S crashes tronçon ]]/Tableau14[[#This Row],[LENTGH SECTION(KM)]]</f>
        <v>0.15915085779400284</v>
      </c>
      <c r="AF40" s="8" t="s">
        <v>168</v>
      </c>
      <c r="AG40" s="8">
        <v>6.57</v>
      </c>
      <c r="AH40" s="8" t="s">
        <v>212</v>
      </c>
      <c r="AI40" s="8" t="s">
        <v>212</v>
      </c>
      <c r="AJ40" s="8" t="s">
        <v>212</v>
      </c>
      <c r="AK40" s="8" t="s">
        <v>211</v>
      </c>
      <c r="AL40" s="8">
        <v>3.59</v>
      </c>
      <c r="AM40" s="8">
        <v>0</v>
      </c>
      <c r="AN40" s="8">
        <v>354</v>
      </c>
      <c r="AO40" s="8">
        <v>32475</v>
      </c>
      <c r="AP40" s="44">
        <v>0</v>
      </c>
      <c r="AQ40" s="44">
        <v>0</v>
      </c>
      <c r="AR40" s="8">
        <v>2</v>
      </c>
      <c r="AS40" s="8">
        <v>145</v>
      </c>
      <c r="AT40" s="8">
        <v>97</v>
      </c>
      <c r="AU40" s="8">
        <v>332</v>
      </c>
      <c r="AV40" s="44">
        <f>IF(Tableau14[[#This Row],[Moyenne Journalière Infrations 2016]]&gt;0, Tableau14[[#This Row],[Moyenne Journalière Infrations 2016]]-Tableau14[[#This Row],[Moyenne Journalière Infrations 2017]],0)</f>
        <v>-95</v>
      </c>
      <c r="AW40" s="44">
        <f>IF(Tableau14[[#This Row],[Moyenne Journalière Infrations 2015]]&gt;0, Tableau14[[#This Row],[Moyenne Journalière Infrations 2015]]-Tableau14[[#This Row],[Moyenne Journalière Infrations 2016]],0)</f>
        <v>0</v>
      </c>
      <c r="AX40" s="8">
        <v>2</v>
      </c>
      <c r="AY40" s="8" t="s">
        <v>384</v>
      </c>
      <c r="AZ40" s="8" t="s">
        <v>371</v>
      </c>
      <c r="BA40" s="8" t="s">
        <v>410</v>
      </c>
      <c r="BB40" s="8">
        <v>1</v>
      </c>
      <c r="BC40" s="8">
        <v>0</v>
      </c>
      <c r="BD40" s="8">
        <f>Tableau14[[#This Row],[S crashes2016]]+Tableau14[[#This Row],[F crashes2016]]</f>
        <v>1</v>
      </c>
      <c r="BE40" s="12">
        <f>IF(Tableau14[[#This Row],[F crashes2016]] &lt;&gt; 0, Tableau14[[#This Row],[F &amp; S crashes2016]]/Tableau14[[#This Row],[F crashes2016]], 1)</f>
        <v>1</v>
      </c>
      <c r="BF40" s="8">
        <v>5868</v>
      </c>
      <c r="BG40" s="8">
        <v>221224</v>
      </c>
      <c r="BH40" s="8">
        <f>(Tableau14[[#This Row],[VEHIC KM / JOUR2016]]*365)/1000000000</f>
        <v>8.0746760000000001E-2</v>
      </c>
      <c r="BI40" s="8">
        <f>(Tableau14[[#This Row],[F &amp; S crashes2016]]/Tableau14[[#This Row],[BILLION VEH KM TRAVELLED2016]])</f>
        <v>12.384397838377664</v>
      </c>
      <c r="BJ40" t="s">
        <v>146</v>
      </c>
      <c r="BK40" s="8">
        <f>Tableau14[[#This Row],[F &amp; S crashes2016]]/4</f>
        <v>0.25</v>
      </c>
      <c r="BL40" s="27">
        <f>Tableau14[[#This Row],[CRASH RISK2016]]-Tableau14[[#This Row],[CRASH RISK2015]]</f>
        <v>12.384397838377664</v>
      </c>
      <c r="BM40" s="27">
        <f>Tableau14[[#This Row],[CRASH DENSITY2016]]-Tableau14[[#This Row],[CRASH DENSITY2015]]</f>
        <v>0.25</v>
      </c>
    </row>
    <row r="41" spans="1:65" x14ac:dyDescent="0.3">
      <c r="A41" s="28">
        <f t="shared" si="0"/>
        <v>40</v>
      </c>
      <c r="B41" s="8" t="s">
        <v>127</v>
      </c>
      <c r="C41" s="11" t="s">
        <v>93</v>
      </c>
      <c r="D41" s="8" t="s">
        <v>91</v>
      </c>
      <c r="E41" s="8" t="s">
        <v>94</v>
      </c>
      <c r="F41" s="8">
        <v>83.26</v>
      </c>
      <c r="G41" s="31" t="s">
        <v>132</v>
      </c>
      <c r="H41" s="8">
        <v>0</v>
      </c>
      <c r="I41" s="8">
        <v>0</v>
      </c>
      <c r="J41" s="8">
        <f>Tableau14[[#This Row],[F crashes2015]]+Tableau14[[#This Row],[S crashes2015]]</f>
        <v>0</v>
      </c>
      <c r="K41" s="12">
        <f>IF(Tableau14[[#This Row],[F crashes2015]] &lt;&gt; 0, Tableau14[[#This Row],[F &amp; S crashes2015]]/Tableau14[[#This Row],[F crashes2015]], 1)</f>
        <v>1</v>
      </c>
      <c r="L41" s="8">
        <v>6285</v>
      </c>
      <c r="M41" s="8">
        <v>236945</v>
      </c>
      <c r="N41" s="8">
        <f>(Tableau14[[#This Row],[VEHIC KM / JOUR2015]]*365)/1000000000</f>
        <v>8.6484925000000004E-2</v>
      </c>
      <c r="O41" s="8">
        <f>(Tableau14[[#This Row],[F &amp; S crashes2015]]/Tableau14[[#This Row],[BILLION VEH KM TRAVELLED2015]])</f>
        <v>0</v>
      </c>
      <c r="P41" s="11" t="s">
        <v>143</v>
      </c>
      <c r="Q41" s="11">
        <f>Tableau14[[#This Row],[F &amp; S crashes2015]]/4</f>
        <v>0</v>
      </c>
      <c r="R41" s="11" t="s">
        <v>143</v>
      </c>
      <c r="S41" s="23">
        <f>Tableau14[[#This Row],[VEHIC KM / JOUR2015]]/Tableau14[[#This Row],[TMJA2015 (vehi/jour)]]</f>
        <v>37.700079554494828</v>
      </c>
      <c r="T41" s="8">
        <v>1</v>
      </c>
      <c r="U41" s="8">
        <v>1</v>
      </c>
      <c r="V41" s="8">
        <v>80</v>
      </c>
      <c r="W41" s="8">
        <v>75</v>
      </c>
      <c r="X41" s="8">
        <v>112.7</v>
      </c>
      <c r="Y41" s="8">
        <v>3</v>
      </c>
      <c r="Z41" s="8">
        <v>3</v>
      </c>
      <c r="AA41" s="8">
        <f>Tableau14[[#This Row],[F Crashes trancon]]+Tableau14[[#This Row],[S crashes trancon]]</f>
        <v>6</v>
      </c>
      <c r="AB41" s="24">
        <f>IF(Tableau14[[#This Row],[F Crashes trancon]]&lt;&gt; 0, Tableau14[[#This Row],[F&amp;S crashes tronçon ]]/Tableau14[[#This Row],[F Crashes trancon]], 1)</f>
        <v>2</v>
      </c>
      <c r="AC41" s="23">
        <f>(Tableau14[[#This Row],[F&amp;S crashes tronçon ]]/Tableau14[[#This Row],[BILLION VEH KM TRAVELLED2015]])</f>
        <v>69.376252566560012</v>
      </c>
      <c r="AD41" s="26" t="s">
        <v>144</v>
      </c>
      <c r="AE41" s="27">
        <f>Tableau14[[#This Row],[F&amp;S crashes tronçon ]]/Tableau14[[#This Row],[LENTGH SECTION(KM)]]</f>
        <v>0.15915085779400284</v>
      </c>
      <c r="AF41" s="8" t="s">
        <v>168</v>
      </c>
      <c r="AG41" s="8">
        <v>6.57</v>
      </c>
      <c r="AH41" s="8" t="s">
        <v>212</v>
      </c>
      <c r="AI41" s="8" t="s">
        <v>212</v>
      </c>
      <c r="AJ41" s="8" t="s">
        <v>212</v>
      </c>
      <c r="AK41" s="8" t="s">
        <v>211</v>
      </c>
      <c r="AL41" s="8">
        <v>3.59</v>
      </c>
      <c r="AM41" s="8">
        <v>128</v>
      </c>
      <c r="AN41" s="8">
        <v>8173</v>
      </c>
      <c r="AO41" s="8">
        <v>3215</v>
      </c>
      <c r="AP41" s="8">
        <v>42</v>
      </c>
      <c r="AQ41" s="8">
        <v>3</v>
      </c>
      <c r="AR41" s="8">
        <v>29</v>
      </c>
      <c r="AS41" s="8">
        <v>276</v>
      </c>
      <c r="AT41" s="8">
        <v>15</v>
      </c>
      <c r="AU41" s="8">
        <v>207</v>
      </c>
      <c r="AV41" s="44">
        <f>IF(Tableau14[[#This Row],[Moyenne Journalière Infrations 2016]]&gt;0, Tableau14[[#This Row],[Moyenne Journalière Infrations 2016]]-Tableau14[[#This Row],[Moyenne Journalière Infrations 2017]],0)</f>
        <v>14</v>
      </c>
      <c r="AW41" s="44">
        <f>IF(Tableau14[[#This Row],[Moyenne Journalière Infrations 2015]]&gt;0, Tableau14[[#This Row],[Moyenne Journalière Infrations 2015]]-Tableau14[[#This Row],[Moyenne Journalière Infrations 2016]],0)</f>
        <v>13</v>
      </c>
      <c r="AX41" s="8">
        <v>2</v>
      </c>
      <c r="AY41" s="8" t="s">
        <v>385</v>
      </c>
      <c r="AZ41" s="8" t="s">
        <v>371</v>
      </c>
      <c r="BA41" s="8" t="s">
        <v>411</v>
      </c>
      <c r="BB41" s="8">
        <v>1</v>
      </c>
      <c r="BC41" s="8">
        <v>0</v>
      </c>
      <c r="BD41" s="8">
        <f>Tableau14[[#This Row],[S crashes2016]]+Tableau14[[#This Row],[F crashes2016]]</f>
        <v>1</v>
      </c>
      <c r="BE41" s="12">
        <f>IF(Tableau14[[#This Row],[F crashes2016]] &lt;&gt; 0, Tableau14[[#This Row],[F &amp; S crashes2016]]/Tableau14[[#This Row],[F crashes2016]], 1)</f>
        <v>1</v>
      </c>
      <c r="BF41" s="8">
        <v>5868</v>
      </c>
      <c r="BG41" s="8">
        <v>221224</v>
      </c>
      <c r="BH41" s="8">
        <f>(Tableau14[[#This Row],[VEHIC KM / JOUR2016]]*365)/1000000000</f>
        <v>8.0746760000000001E-2</v>
      </c>
      <c r="BI41" s="8">
        <f>(Tableau14[[#This Row],[F &amp; S crashes2016]]/Tableau14[[#This Row],[BILLION VEH KM TRAVELLED2016]])</f>
        <v>12.384397838377664</v>
      </c>
      <c r="BJ41" t="s">
        <v>146</v>
      </c>
      <c r="BK41" s="8">
        <f>Tableau14[[#This Row],[F &amp; S crashes2016]]/4</f>
        <v>0.25</v>
      </c>
      <c r="BL41" s="27">
        <f>Tableau14[[#This Row],[CRASH RISK2016]]-Tableau14[[#This Row],[CRASH RISK2015]]</f>
        <v>12.384397838377664</v>
      </c>
      <c r="BM41" s="27">
        <f>Tableau14[[#This Row],[CRASH DENSITY2016]]-Tableau14[[#This Row],[CRASH DENSITY2015]]</f>
        <v>0.25</v>
      </c>
    </row>
    <row r="42" spans="1:65" ht="28.8" x14ac:dyDescent="0.3">
      <c r="A42" s="28">
        <f t="shared" si="0"/>
        <v>41</v>
      </c>
      <c r="B42" s="8" t="s">
        <v>308</v>
      </c>
      <c r="C42" s="11" t="s">
        <v>332</v>
      </c>
      <c r="D42" s="49" t="s">
        <v>73</v>
      </c>
      <c r="E42" s="50" t="s">
        <v>349</v>
      </c>
      <c r="F42" s="8">
        <v>188.9</v>
      </c>
      <c r="G42" s="8" t="s">
        <v>132</v>
      </c>
      <c r="H42" s="8">
        <v>0</v>
      </c>
      <c r="I42" s="8">
        <v>1</v>
      </c>
      <c r="J42" s="8">
        <f>Tableau14[[#This Row],[F crashes2015]]+Tableau14[[#This Row],[S crashes2015]]</f>
        <v>1</v>
      </c>
      <c r="K42" s="33">
        <f>IF(Tableau14[[#This Row],[F crashes2015]] &lt;&gt; 0, Tableau14[[#This Row],[F &amp; S crashes2015]]/Tableau14[[#This Row],[F crashes2015]], 1)</f>
        <v>1</v>
      </c>
      <c r="L42" s="8">
        <v>5246</v>
      </c>
      <c r="M42" s="8">
        <v>199348</v>
      </c>
      <c r="N42" s="26">
        <f>(Tableau14[[#This Row],[VEHIC KM / JOUR2015]]*365)/1000000000</f>
        <v>7.2762019999999997E-2</v>
      </c>
      <c r="O42" s="26">
        <f>(Tableau14[[#This Row],[F &amp; S crashes2015]]/Tableau14[[#This Row],[BILLION VEH KM TRAVELLED2015]])</f>
        <v>13.743433730949196</v>
      </c>
      <c r="P42" s="11" t="s">
        <v>146</v>
      </c>
      <c r="Q42" s="34">
        <f>Tableau14[[#This Row],[F &amp; S crashes2015]]/4</f>
        <v>0.25</v>
      </c>
      <c r="R42" s="11"/>
      <c r="S42" s="23">
        <f>Tableau14[[#This Row],[VEHIC KM / JOUR2015]]/Tableau14[[#This Row],[TMJA2015 (vehi/jour)]]</f>
        <v>38</v>
      </c>
      <c r="T42" s="8"/>
      <c r="U42" s="8"/>
      <c r="V42" s="8">
        <v>100</v>
      </c>
      <c r="W42" s="8"/>
      <c r="X42" s="8"/>
      <c r="Y42" s="8"/>
      <c r="Z42" s="8"/>
      <c r="AA42" s="26">
        <f>Tableau14[[#This Row],[F Crashes trancon]]+Tableau14[[#This Row],[S crashes trancon]]</f>
        <v>0</v>
      </c>
      <c r="AB42" s="23">
        <f>IF(Tableau14[[#This Row],[F Crashes trancon]]&lt;&gt; 0, Tableau14[[#This Row],[F&amp;S crashes tronçon ]]/Tableau14[[#This Row],[F Crashes trancon]], 1)</f>
        <v>1</v>
      </c>
      <c r="AC42" s="23">
        <f>(Tableau14[[#This Row],[F&amp;S crashes tronçon ]]/Tableau14[[#This Row],[BILLION VEH KM TRAVELLED2015]])</f>
        <v>0</v>
      </c>
      <c r="AD42" s="26"/>
      <c r="AE42" s="27">
        <f>Tableau14[[#This Row],[F&amp;S crashes tronçon ]]/Tableau14[[#This Row],[LENTGH SECTION(KM)]]</f>
        <v>0</v>
      </c>
      <c r="AF42" s="8"/>
      <c r="AG42" s="8">
        <v>1</v>
      </c>
      <c r="AH42" s="8" t="s">
        <v>212</v>
      </c>
      <c r="AI42" s="8" t="s">
        <v>212</v>
      </c>
      <c r="AJ42" s="8" t="s">
        <v>212</v>
      </c>
      <c r="AK42" s="8" t="s">
        <v>211</v>
      </c>
      <c r="AL42" s="8">
        <v>1</v>
      </c>
      <c r="AM42" s="8"/>
      <c r="AN42" s="8"/>
      <c r="AO42" s="8"/>
      <c r="AP42" s="44">
        <v>0</v>
      </c>
      <c r="AQ42" s="44">
        <v>0</v>
      </c>
      <c r="AR42" s="8">
        <v>16</v>
      </c>
      <c r="AS42" s="8">
        <v>212</v>
      </c>
      <c r="AT42" s="8">
        <v>10</v>
      </c>
      <c r="AU42" s="8">
        <v>289</v>
      </c>
      <c r="AV42" s="44">
        <f>IF(Tableau14[[#This Row],[Moyenne Journalière Infrations 2016]]&gt;0, Tableau14[[#This Row],[Moyenne Journalière Infrations 2016]]-Tableau14[[#This Row],[Moyenne Journalière Infrations 2017]],0)</f>
        <v>6</v>
      </c>
      <c r="AW42" s="44">
        <f>IF(Tableau14[[#This Row],[Moyenne Journalière Infrations 2015]]&gt;0, Tableau14[[#This Row],[Moyenne Journalière Infrations 2015]]-Tableau14[[#This Row],[Moyenne Journalière Infrations 2016]],0)</f>
        <v>0</v>
      </c>
      <c r="AX42" s="8">
        <v>2</v>
      </c>
      <c r="AY42" s="8" t="s">
        <v>384</v>
      </c>
      <c r="AZ42" s="8" t="s">
        <v>371</v>
      </c>
      <c r="BA42" s="8" t="s">
        <v>412</v>
      </c>
      <c r="BB42" s="8">
        <v>0</v>
      </c>
      <c r="BC42" s="8">
        <v>0</v>
      </c>
      <c r="BD42" s="8">
        <f>Tableau14[[#This Row],[S crashes2016]]+Tableau14[[#This Row],[F crashes2016]]</f>
        <v>0</v>
      </c>
      <c r="BE42" s="12">
        <f>IF(Tableau14[[#This Row],[F crashes2016]] &lt;&gt; 0, Tableau14[[#This Row],[F &amp; S crashes2016]]/Tableau14[[#This Row],[F crashes2016]], 1)</f>
        <v>1</v>
      </c>
      <c r="BF42" s="8">
        <v>5830</v>
      </c>
      <c r="BG42" s="8">
        <v>221540</v>
      </c>
      <c r="BH42" s="8">
        <f>(Tableau14[[#This Row],[VEHIC KM / JOUR2016]]*365)/1000000000</f>
        <v>8.0862100000000006E-2</v>
      </c>
      <c r="BI42" s="8">
        <f>(Tableau14[[#This Row],[F &amp; S crashes2016]]/Tableau14[[#This Row],[BILLION VEH KM TRAVELLED2016]])</f>
        <v>0</v>
      </c>
      <c r="BJ42" s="8" t="s">
        <v>143</v>
      </c>
      <c r="BK42" s="8">
        <f>Tableau14[[#This Row],[F &amp; S crashes2016]]/4</f>
        <v>0</v>
      </c>
      <c r="BL42" s="27">
        <f>Tableau14[[#This Row],[CRASH RISK2016]]-Tableau14[[#This Row],[CRASH RISK2015]]</f>
        <v>-13.743433730949196</v>
      </c>
      <c r="BM42" s="27">
        <f>Tableau14[[#This Row],[CRASH DENSITY2016]]-Tableau14[[#This Row],[CRASH DENSITY2015]]</f>
        <v>-0.25</v>
      </c>
    </row>
    <row r="43" spans="1:65" x14ac:dyDescent="0.3">
      <c r="A43" s="28">
        <f t="shared" si="0"/>
        <v>42</v>
      </c>
      <c r="B43" s="8" t="s">
        <v>120</v>
      </c>
      <c r="C43" s="11" t="s">
        <v>72</v>
      </c>
      <c r="D43" s="8" t="s">
        <v>73</v>
      </c>
      <c r="E43" s="8" t="s">
        <v>74</v>
      </c>
      <c r="F43" s="8">
        <v>189</v>
      </c>
      <c r="G43" s="31" t="s">
        <v>132</v>
      </c>
      <c r="H43" s="8">
        <v>0</v>
      </c>
      <c r="I43" s="8">
        <v>1</v>
      </c>
      <c r="J43" s="8">
        <f>Tableau14[[#This Row],[F crashes2015]]+Tableau14[[#This Row],[S crashes2015]]</f>
        <v>1</v>
      </c>
      <c r="K43" s="12">
        <f>IF(Tableau14[[#This Row],[F crashes2015]] &lt;&gt; 0, Tableau14[[#This Row],[F &amp; S crashes2015]]/Tableau14[[#This Row],[F crashes2015]], 1)</f>
        <v>1</v>
      </c>
      <c r="L43" s="8">
        <v>5246</v>
      </c>
      <c r="M43" s="8">
        <v>199348</v>
      </c>
      <c r="N43" s="8">
        <f>(Tableau14[[#This Row],[VEHIC KM / JOUR2015]]*365)/1000000000</f>
        <v>7.2762019999999997E-2</v>
      </c>
      <c r="O43" s="23">
        <f>(Tableau14[[#This Row],[F &amp; S crashes2015]]/Tableau14[[#This Row],[BILLION VEH KM TRAVELLED2015]])</f>
        <v>13.743433730949196</v>
      </c>
      <c r="P43" s="11" t="s">
        <v>146</v>
      </c>
      <c r="Q43" s="11">
        <f>Tableau14[[#This Row],[F &amp; S crashes2015]]/4</f>
        <v>0.25</v>
      </c>
      <c r="R43" s="8" t="s">
        <v>144</v>
      </c>
      <c r="S43" s="23">
        <f>Tableau14[[#This Row],[VEHIC KM / JOUR2015]]/Tableau14[[#This Row],[TMJA2015 (vehi/jour)]]</f>
        <v>38</v>
      </c>
      <c r="T43" s="8">
        <v>1</v>
      </c>
      <c r="U43" s="8">
        <v>1</v>
      </c>
      <c r="V43" s="8">
        <v>100</v>
      </c>
      <c r="W43" s="8">
        <v>171</v>
      </c>
      <c r="X43" s="8">
        <v>209</v>
      </c>
      <c r="Y43" s="8">
        <v>4</v>
      </c>
      <c r="Z43" s="8">
        <v>4</v>
      </c>
      <c r="AA43" s="8">
        <f>Tableau14[[#This Row],[F Crashes trancon]]+Tableau14[[#This Row],[S crashes trancon]]</f>
        <v>8</v>
      </c>
      <c r="AB43" s="24">
        <f>IF(Tableau14[[#This Row],[F Crashes trancon]]&lt;&gt; 0, Tableau14[[#This Row],[F&amp;S crashes tronçon ]]/Tableau14[[#This Row],[F Crashes trancon]], 1)</f>
        <v>2</v>
      </c>
      <c r="AC43" s="23">
        <f>(Tableau14[[#This Row],[F&amp;S crashes tronçon ]]/Tableau14[[#This Row],[BILLION VEH KM TRAVELLED2015]])</f>
        <v>109.94746984759357</v>
      </c>
      <c r="AD43" s="26" t="s">
        <v>144</v>
      </c>
      <c r="AE43" s="27">
        <f>Tableau14[[#This Row],[F&amp;S crashes tronçon ]]/Tableau14[[#This Row],[LENTGH SECTION(KM)]]</f>
        <v>0.21052631578947367</v>
      </c>
      <c r="AF43" s="8" t="s">
        <v>168</v>
      </c>
      <c r="AG43" s="8">
        <v>0.16</v>
      </c>
      <c r="AH43" s="8" t="s">
        <v>212</v>
      </c>
      <c r="AI43" s="8" t="s">
        <v>212</v>
      </c>
      <c r="AJ43" s="8" t="s">
        <v>212</v>
      </c>
      <c r="AK43" s="8" t="s">
        <v>211</v>
      </c>
      <c r="AL43" s="8">
        <v>1</v>
      </c>
      <c r="AM43" s="8">
        <v>0</v>
      </c>
      <c r="AN43" s="8">
        <v>42</v>
      </c>
      <c r="AO43" s="8">
        <v>1987</v>
      </c>
      <c r="AP43" s="44">
        <v>0</v>
      </c>
      <c r="AQ43" s="44">
        <v>0</v>
      </c>
      <c r="AR43" s="8">
        <v>5</v>
      </c>
      <c r="AS43" s="8">
        <v>8</v>
      </c>
      <c r="AT43" s="8">
        <v>11</v>
      </c>
      <c r="AU43" s="8">
        <v>178</v>
      </c>
      <c r="AV43" s="44">
        <f>IF(Tableau14[[#This Row],[Moyenne Journalière Infrations 2016]]&gt;0, Tableau14[[#This Row],[Moyenne Journalière Infrations 2016]]-Tableau14[[#This Row],[Moyenne Journalière Infrations 2017]],0)</f>
        <v>-6</v>
      </c>
      <c r="AW43" s="44">
        <f>IF(Tableau14[[#This Row],[Moyenne Journalière Infrations 2015]]&gt;0, Tableau14[[#This Row],[Moyenne Journalière Infrations 2015]]-Tableau14[[#This Row],[Moyenne Journalière Infrations 2016]],0)</f>
        <v>0</v>
      </c>
      <c r="AX43" s="8">
        <v>2</v>
      </c>
      <c r="AY43" s="8" t="s">
        <v>384</v>
      </c>
      <c r="AZ43" s="8" t="s">
        <v>371</v>
      </c>
      <c r="BA43" s="8" t="s">
        <v>413</v>
      </c>
      <c r="BB43" s="8">
        <v>0</v>
      </c>
      <c r="BC43" s="8">
        <v>0</v>
      </c>
      <c r="BD43" s="8">
        <f>Tableau14[[#This Row],[S crashes2016]]+Tableau14[[#This Row],[F crashes2016]]</f>
        <v>0</v>
      </c>
      <c r="BE43" s="12">
        <f>IF(Tableau14[[#This Row],[F crashes2016]] &lt;&gt; 0, Tableau14[[#This Row],[F &amp; S crashes2016]]/Tableau14[[#This Row],[F crashes2016]], 1)</f>
        <v>1</v>
      </c>
      <c r="BF43" s="8">
        <v>5830</v>
      </c>
      <c r="BG43" s="8">
        <v>221540</v>
      </c>
      <c r="BH43" s="8">
        <f>(Tableau14[[#This Row],[VEHIC KM / JOUR2016]]*365)/1000000000</f>
        <v>8.0862100000000006E-2</v>
      </c>
      <c r="BI43" s="8">
        <f>(Tableau14[[#This Row],[F &amp; S crashes2016]]/Tableau14[[#This Row],[BILLION VEH KM TRAVELLED2016]])</f>
        <v>0</v>
      </c>
      <c r="BJ43" s="8" t="s">
        <v>143</v>
      </c>
      <c r="BK43" s="8">
        <f>Tableau14[[#This Row],[F &amp; S crashes2016]]/4</f>
        <v>0</v>
      </c>
      <c r="BL43" s="27">
        <f>Tableau14[[#This Row],[CRASH RISK2016]]-Tableau14[[#This Row],[CRASH RISK2015]]</f>
        <v>-13.743433730949196</v>
      </c>
      <c r="BM43" s="27">
        <f>Tableau14[[#This Row],[CRASH DENSITY2016]]-Tableau14[[#This Row],[CRASH DENSITY2015]]</f>
        <v>-0.25</v>
      </c>
    </row>
    <row r="44" spans="1:65" s="17" customFormat="1" ht="26.4" customHeight="1" x14ac:dyDescent="0.3">
      <c r="A44" s="28">
        <f t="shared" si="0"/>
        <v>43</v>
      </c>
      <c r="B44" s="8" t="s">
        <v>309</v>
      </c>
      <c r="C44" s="11" t="s">
        <v>321</v>
      </c>
      <c r="D44" s="49" t="s">
        <v>350</v>
      </c>
      <c r="E44" s="50" t="s">
        <v>351</v>
      </c>
      <c r="F44" s="8">
        <v>18.8</v>
      </c>
      <c r="G44" s="8" t="s">
        <v>364</v>
      </c>
      <c r="H44" s="8">
        <v>0</v>
      </c>
      <c r="I44" s="8">
        <v>0</v>
      </c>
      <c r="J44" s="8">
        <f>Tableau14[[#This Row],[F crashes2015]]+Tableau14[[#This Row],[S crashes2015]]</f>
        <v>0</v>
      </c>
      <c r="K44" s="33">
        <f>IF(Tableau14[[#This Row],[F crashes2015]] &lt;&gt; 0, Tableau14[[#This Row],[F &amp; S crashes2015]]/Tableau14[[#This Row],[F crashes2015]], 1)</f>
        <v>1</v>
      </c>
      <c r="L44" s="8">
        <v>20247</v>
      </c>
      <c r="M44" s="8">
        <v>406965</v>
      </c>
      <c r="N44" s="26">
        <f>(Tableau14[[#This Row],[VEHIC KM / JOUR2015]]*365)/1000000000</f>
        <v>0.148542225</v>
      </c>
      <c r="O44" s="26">
        <f>(Tableau14[[#This Row],[F &amp; S crashes2015]]/Tableau14[[#This Row],[BILLION VEH KM TRAVELLED2015]])</f>
        <v>0</v>
      </c>
      <c r="P44" s="11" t="s">
        <v>143</v>
      </c>
      <c r="Q44" s="34">
        <f>Tableau14[[#This Row],[F &amp; S crashes2015]]/4</f>
        <v>0</v>
      </c>
      <c r="R44" s="11"/>
      <c r="S44" s="23">
        <f>Tableau14[[#This Row],[VEHIC KM / JOUR2015]]/Tableau14[[#This Row],[TMJA2015 (vehi/jour)]]</f>
        <v>20.100014817009928</v>
      </c>
      <c r="T44" s="8"/>
      <c r="U44" s="8"/>
      <c r="V44" s="8">
        <v>60</v>
      </c>
      <c r="W44" s="8"/>
      <c r="X44" s="8"/>
      <c r="Y44" s="8"/>
      <c r="Z44" s="8"/>
      <c r="AA44" s="26">
        <f>Tableau14[[#This Row],[F Crashes trancon]]+Tableau14[[#This Row],[S crashes trancon]]</f>
        <v>0</v>
      </c>
      <c r="AB44" s="23">
        <f>IF(Tableau14[[#This Row],[F Crashes trancon]]&lt;&gt; 0, Tableau14[[#This Row],[F&amp;S crashes tronçon ]]/Tableau14[[#This Row],[F Crashes trancon]], 1)</f>
        <v>1</v>
      </c>
      <c r="AC44" s="23">
        <f>(Tableau14[[#This Row],[F&amp;S crashes tronçon ]]/Tableau14[[#This Row],[BILLION VEH KM TRAVELLED2015]])</f>
        <v>0</v>
      </c>
      <c r="AD44" s="26"/>
      <c r="AE44" s="27">
        <f>Tableau14[[#This Row],[F&amp;S crashes tronçon ]]/Tableau14[[#This Row],[LENTGH SECTION(KM)]]</f>
        <v>0</v>
      </c>
      <c r="AF44" s="8"/>
      <c r="AG44" s="8">
        <v>1.1299999999999999</v>
      </c>
      <c r="AH44" s="8" t="s">
        <v>212</v>
      </c>
      <c r="AI44" s="8" t="s">
        <v>212</v>
      </c>
      <c r="AJ44" s="8" t="s">
        <v>212</v>
      </c>
      <c r="AK44" s="8" t="s">
        <v>212</v>
      </c>
      <c r="AL44" s="8">
        <v>4.5999999999999996</v>
      </c>
      <c r="AM44" s="8"/>
      <c r="AN44" s="8"/>
      <c r="AO44" s="8"/>
      <c r="AP44" s="8">
        <v>303</v>
      </c>
      <c r="AQ44" s="8">
        <v>175</v>
      </c>
      <c r="AR44" s="8">
        <v>365</v>
      </c>
      <c r="AS44" s="8">
        <v>307</v>
      </c>
      <c r="AT44" s="8">
        <v>250</v>
      </c>
      <c r="AU44" s="8">
        <v>253</v>
      </c>
      <c r="AV44" s="44">
        <f>IF(Tableau14[[#This Row],[Moyenne Journalière Infrations 2016]]&gt;0, Tableau14[[#This Row],[Moyenne Journalière Infrations 2016]]-Tableau14[[#This Row],[Moyenne Journalière Infrations 2017]],0)</f>
        <v>115</v>
      </c>
      <c r="AW44" s="44">
        <f>IF(Tableau14[[#This Row],[Moyenne Journalière Infrations 2015]]&gt;0, Tableau14[[#This Row],[Moyenne Journalière Infrations 2015]]-Tableau14[[#This Row],[Moyenne Journalière Infrations 2016]],0)</f>
        <v>-62</v>
      </c>
      <c r="AX44" s="8">
        <v>4</v>
      </c>
      <c r="AY44" s="8" t="s">
        <v>384</v>
      </c>
      <c r="AZ44" s="8" t="s">
        <v>371</v>
      </c>
      <c r="BA44" s="8" t="s">
        <v>414</v>
      </c>
      <c r="BB44" s="8">
        <v>0</v>
      </c>
      <c r="BC44" s="8">
        <v>0</v>
      </c>
      <c r="BD44" s="16">
        <f>Tableau14[[#This Row],[S crashes2016]]+Tableau14[[#This Row],[F crashes2016]]</f>
        <v>0</v>
      </c>
      <c r="BE44" s="12">
        <f>IF(Tableau14[[#This Row],[F crashes2016]] &lt;&gt; 0, Tableau14[[#This Row],[F &amp; S crashes2016]]/Tableau14[[#This Row],[F crashes2016]], 1)</f>
        <v>1</v>
      </c>
      <c r="BF44" s="8">
        <v>17448</v>
      </c>
      <c r="BG44" s="8">
        <v>350705</v>
      </c>
      <c r="BH44" s="16">
        <f>(Tableau14[[#This Row],[VEHIC KM / JOUR2016]]*365)/1000000000</f>
        <v>0.12800732500000001</v>
      </c>
      <c r="BI44" s="16">
        <f>(Tableau14[[#This Row],[F &amp; S crashes2016]]/Tableau14[[#This Row],[BILLION VEH KM TRAVELLED2016]])</f>
        <v>0</v>
      </c>
      <c r="BJ44" s="8" t="s">
        <v>143</v>
      </c>
      <c r="BK44" s="16">
        <f>Tableau14[[#This Row],[F &amp; S crashes2016]]/4</f>
        <v>0</v>
      </c>
      <c r="BL44" s="39">
        <f>Tableau14[[#This Row],[CRASH RISK2016]]-Tableau14[[#This Row],[CRASH RISK2015]]</f>
        <v>0</v>
      </c>
      <c r="BM44" s="39">
        <f>Tableau14[[#This Row],[CRASH DENSITY2016]]-Tableau14[[#This Row],[CRASH DENSITY2015]]</f>
        <v>0</v>
      </c>
    </row>
    <row r="45" spans="1:65" s="17" customFormat="1" ht="26.4" customHeight="1" x14ac:dyDescent="0.3">
      <c r="A45" s="28">
        <f t="shared" si="0"/>
        <v>44</v>
      </c>
      <c r="B45" s="47" t="s">
        <v>310</v>
      </c>
      <c r="C45" s="11" t="s">
        <v>322</v>
      </c>
      <c r="D45" s="49" t="s">
        <v>352</v>
      </c>
      <c r="E45" s="50" t="s">
        <v>353</v>
      </c>
      <c r="F45" s="8">
        <v>4.9000000000000004</v>
      </c>
      <c r="G45" s="8" t="s">
        <v>364</v>
      </c>
      <c r="H45" s="8">
        <v>0</v>
      </c>
      <c r="I45" s="8">
        <v>0</v>
      </c>
      <c r="J45" s="8">
        <f>Tableau14[[#This Row],[F crashes2015]]+Tableau14[[#This Row],[S crashes2015]]</f>
        <v>0</v>
      </c>
      <c r="K45" s="33">
        <f>IF(Tableau14[[#This Row],[F crashes2015]] &lt;&gt; 0, Tableau14[[#This Row],[F &amp; S crashes2015]]/Tableau14[[#This Row],[F crashes2015]], 1)</f>
        <v>1</v>
      </c>
      <c r="L45" s="8">
        <v>20247</v>
      </c>
      <c r="M45" s="8">
        <v>406965</v>
      </c>
      <c r="N45" s="26">
        <f>(Tableau14[[#This Row],[VEHIC KM / JOUR2015]]*365)/1000000000</f>
        <v>0.148542225</v>
      </c>
      <c r="O45" s="26">
        <f>(Tableau14[[#This Row],[F &amp; S crashes2015]]/Tableau14[[#This Row],[BILLION VEH KM TRAVELLED2015]])</f>
        <v>0</v>
      </c>
      <c r="P45" s="11" t="s">
        <v>143</v>
      </c>
      <c r="Q45" s="34">
        <f>Tableau14[[#This Row],[F &amp; S crashes2015]]/4</f>
        <v>0</v>
      </c>
      <c r="R45" s="11"/>
      <c r="S45" s="23">
        <f>Tableau14[[#This Row],[VEHIC KM / JOUR2015]]/Tableau14[[#This Row],[TMJA2015 (vehi/jour)]]</f>
        <v>20.100014817009928</v>
      </c>
      <c r="T45" s="8"/>
      <c r="U45" s="8"/>
      <c r="V45" s="8">
        <v>60</v>
      </c>
      <c r="W45" s="8"/>
      <c r="X45" s="8"/>
      <c r="Y45" s="8"/>
      <c r="Z45" s="8"/>
      <c r="AA45" s="26">
        <f>Tableau14[[#This Row],[F Crashes trancon]]+Tableau14[[#This Row],[S crashes trancon]]</f>
        <v>0</v>
      </c>
      <c r="AB45" s="23">
        <f>IF(Tableau14[[#This Row],[F Crashes trancon]]&lt;&gt; 0, Tableau14[[#This Row],[F&amp;S crashes tronçon ]]/Tableau14[[#This Row],[F Crashes trancon]], 1)</f>
        <v>1</v>
      </c>
      <c r="AC45" s="23">
        <f>(Tableau14[[#This Row],[F&amp;S crashes tronçon ]]/Tableau14[[#This Row],[BILLION VEH KM TRAVELLED2015]])</f>
        <v>0</v>
      </c>
      <c r="AD45" s="26"/>
      <c r="AE45" s="27">
        <f>Tableau14[[#This Row],[F&amp;S crashes tronçon ]]/Tableau14[[#This Row],[LENTGH SECTION(KM)]]</f>
        <v>0</v>
      </c>
      <c r="AF45" s="8"/>
      <c r="AG45" s="8">
        <v>1.18</v>
      </c>
      <c r="AH45" s="8" t="s">
        <v>212</v>
      </c>
      <c r="AI45" s="8" t="s">
        <v>212</v>
      </c>
      <c r="AJ45" s="8" t="s">
        <v>212</v>
      </c>
      <c r="AK45" s="8" t="s">
        <v>212</v>
      </c>
      <c r="AL45" s="8">
        <v>2.83</v>
      </c>
      <c r="AM45" s="8"/>
      <c r="AN45" s="8"/>
      <c r="AO45" s="8"/>
      <c r="AP45" s="8">
        <v>229</v>
      </c>
      <c r="AQ45" s="8">
        <v>94</v>
      </c>
      <c r="AR45" s="8">
        <v>177</v>
      </c>
      <c r="AS45" s="8">
        <v>119</v>
      </c>
      <c r="AT45" s="8">
        <v>119</v>
      </c>
      <c r="AU45" s="8">
        <v>318</v>
      </c>
      <c r="AV45" s="44">
        <f>IF(Tableau14[[#This Row],[Moyenne Journalière Infrations 2016]]&gt;0, Tableau14[[#This Row],[Moyenne Journalière Infrations 2016]]-Tableau14[[#This Row],[Moyenne Journalière Infrations 2017]],0)</f>
        <v>58</v>
      </c>
      <c r="AW45" s="44">
        <f>IF(Tableau14[[#This Row],[Moyenne Journalière Infrations 2015]]&gt;0, Tableau14[[#This Row],[Moyenne Journalière Infrations 2015]]-Tableau14[[#This Row],[Moyenne Journalière Infrations 2016]],0)</f>
        <v>52</v>
      </c>
      <c r="AX45" s="8">
        <v>4</v>
      </c>
      <c r="AY45" s="8" t="s">
        <v>384</v>
      </c>
      <c r="AZ45" s="8" t="s">
        <v>371</v>
      </c>
      <c r="BA45" s="8" t="s">
        <v>415</v>
      </c>
      <c r="BB45" s="8">
        <v>0</v>
      </c>
      <c r="BC45" s="8">
        <v>0</v>
      </c>
      <c r="BD45" s="16">
        <f>Tableau14[[#This Row],[S crashes2016]]+Tableau14[[#This Row],[F crashes2016]]</f>
        <v>0</v>
      </c>
      <c r="BE45" s="12">
        <f>IF(Tableau14[[#This Row],[F crashes2016]] &lt;&gt; 0, Tableau14[[#This Row],[F &amp; S crashes2016]]/Tableau14[[#This Row],[F crashes2016]], 1)</f>
        <v>1</v>
      </c>
      <c r="BF45" s="8">
        <v>17448</v>
      </c>
      <c r="BG45" s="8">
        <v>350705</v>
      </c>
      <c r="BH45" s="16">
        <f>(Tableau14[[#This Row],[VEHIC KM / JOUR2016]]*365)/1000000000</f>
        <v>0.12800732500000001</v>
      </c>
      <c r="BI45" s="16">
        <f>(Tableau14[[#This Row],[F &amp; S crashes2016]]/Tableau14[[#This Row],[BILLION VEH KM TRAVELLED2016]])</f>
        <v>0</v>
      </c>
      <c r="BJ45" s="8" t="s">
        <v>143</v>
      </c>
      <c r="BK45" s="16">
        <f>Tableau14[[#This Row],[F &amp; S crashes2016]]/4</f>
        <v>0</v>
      </c>
      <c r="BL45" s="39">
        <f>Tableau14[[#This Row],[CRASH RISK2016]]-Tableau14[[#This Row],[CRASH RISK2015]]</f>
        <v>0</v>
      </c>
      <c r="BM45" s="39">
        <f>Tableau14[[#This Row],[CRASH DENSITY2016]]-Tableau14[[#This Row],[CRASH DENSITY2015]]</f>
        <v>0</v>
      </c>
    </row>
    <row r="46" spans="1:65" s="17" customFormat="1" ht="26.4" customHeight="1" x14ac:dyDescent="0.3">
      <c r="A46" s="28">
        <f t="shared" si="0"/>
        <v>45</v>
      </c>
      <c r="B46" s="47" t="s">
        <v>107</v>
      </c>
      <c r="C46" s="11" t="s">
        <v>38</v>
      </c>
      <c r="D46" s="8" t="s">
        <v>39</v>
      </c>
      <c r="E46" s="8" t="s">
        <v>40</v>
      </c>
      <c r="F46" s="8">
        <v>103.2</v>
      </c>
      <c r="G46" s="22" t="s">
        <v>134</v>
      </c>
      <c r="H46" s="8">
        <v>4</v>
      </c>
      <c r="I46" s="8">
        <v>7</v>
      </c>
      <c r="J46" s="8">
        <f>Tableau14[[#This Row],[F crashes2015]]+Tableau14[[#This Row],[S crashes2015]]</f>
        <v>11</v>
      </c>
      <c r="K46" s="24">
        <f>IF(Tableau14[[#This Row],[F crashes2015]] &lt;&gt; 0, Tableau14[[#This Row],[F &amp; S crashes2015]]/Tableau14[[#This Row],[F crashes2015]], 1)</f>
        <v>2.75</v>
      </c>
      <c r="L46" s="8">
        <v>9899</v>
      </c>
      <c r="M46" s="8">
        <v>294990</v>
      </c>
      <c r="N46" s="8">
        <f>(Tableau14[[#This Row],[VEHIC KM / JOUR2015]]*365)/1000000000</f>
        <v>0.10767135</v>
      </c>
      <c r="O46" s="23">
        <f>(Tableau14[[#This Row],[F &amp; S crashes2015]]/Tableau14[[#This Row],[BILLION VEH KM TRAVELLED2015]])</f>
        <v>102.1627387415501</v>
      </c>
      <c r="P46" s="11" t="s">
        <v>144</v>
      </c>
      <c r="Q46" s="11">
        <f>Tableau14[[#This Row],[F &amp; S crashes2015]]/4</f>
        <v>2.75</v>
      </c>
      <c r="R46" s="8" t="s">
        <v>144</v>
      </c>
      <c r="S46" s="23">
        <f>Tableau14[[#This Row],[VEHIC KM / JOUR2015]]/Tableau14[[#This Row],[TMJA2015 (vehi/jour)]]</f>
        <v>29.799979795938984</v>
      </c>
      <c r="T46" s="8">
        <v>1</v>
      </c>
      <c r="U46" s="8">
        <v>1</v>
      </c>
      <c r="V46" s="8">
        <v>60</v>
      </c>
      <c r="W46" s="8">
        <v>82</v>
      </c>
      <c r="X46" s="8">
        <v>111.8</v>
      </c>
      <c r="Y46" s="8">
        <v>11</v>
      </c>
      <c r="Z46" s="8">
        <v>11</v>
      </c>
      <c r="AA46" s="8">
        <f>Tableau14[[#This Row],[F Crashes trancon]]+Tableau14[[#This Row],[S crashes trancon]]</f>
        <v>22</v>
      </c>
      <c r="AB46" s="24">
        <f>IF(Tableau14[[#This Row],[F Crashes trancon]]&lt;&gt; 0, Tableau14[[#This Row],[F&amp;S crashes tronçon ]]/Tableau14[[#This Row],[F Crashes trancon]], 1)</f>
        <v>2</v>
      </c>
      <c r="AC46" s="23">
        <f>(Tableau14[[#This Row],[F&amp;S crashes tronçon ]]/Tableau14[[#This Row],[BILLION VEH KM TRAVELLED2015]])</f>
        <v>204.3254774831002</v>
      </c>
      <c r="AD46" s="26" t="s">
        <v>144</v>
      </c>
      <c r="AE46" s="27">
        <f>Tableau14[[#This Row],[F&amp;S crashes tronçon ]]/Tableau14[[#This Row],[LENTGH SECTION(KM)]]</f>
        <v>0.73825553408590117</v>
      </c>
      <c r="AF46" s="8" t="s">
        <v>144</v>
      </c>
      <c r="AG46" s="8">
        <v>4.7699999999999996</v>
      </c>
      <c r="AH46" s="8" t="s">
        <v>212</v>
      </c>
      <c r="AI46" s="8" t="s">
        <v>212</v>
      </c>
      <c r="AJ46" s="8" t="s">
        <v>212</v>
      </c>
      <c r="AK46" s="8" t="s">
        <v>211</v>
      </c>
      <c r="AL46" s="8">
        <v>1</v>
      </c>
      <c r="AM46" s="8">
        <v>0</v>
      </c>
      <c r="AN46" s="8">
        <v>0</v>
      </c>
      <c r="AO46" s="8">
        <v>24545</v>
      </c>
      <c r="AP46" s="44">
        <v>0</v>
      </c>
      <c r="AQ46" s="44">
        <v>0</v>
      </c>
      <c r="AR46" s="8">
        <v>0</v>
      </c>
      <c r="AS46" s="8">
        <v>0</v>
      </c>
      <c r="AT46" s="8">
        <v>322</v>
      </c>
      <c r="AU46" s="8">
        <v>76</v>
      </c>
      <c r="AV46" s="44">
        <f>IF(Tableau14[[#This Row],[Moyenne Journalière Infrations 2016]]&gt;0, Tableau14[[#This Row],[Moyenne Journalière Infrations 2016]]-Tableau14[[#This Row],[Moyenne Journalière Infrations 2017]],0)</f>
        <v>0</v>
      </c>
      <c r="AW46" s="44">
        <f>IF(Tableau14[[#This Row],[Moyenne Journalière Infrations 2015]]&gt;0, Tableau14[[#This Row],[Moyenne Journalière Infrations 2015]]-Tableau14[[#This Row],[Moyenne Journalière Infrations 2016]],0)</f>
        <v>0</v>
      </c>
      <c r="AX46" s="8">
        <v>4</v>
      </c>
      <c r="AY46" s="8" t="s">
        <v>385</v>
      </c>
      <c r="AZ46" s="8" t="s">
        <v>371</v>
      </c>
      <c r="BA46" s="8" t="s">
        <v>416</v>
      </c>
      <c r="BB46" s="8">
        <v>1</v>
      </c>
      <c r="BC46" s="8">
        <v>3</v>
      </c>
      <c r="BD46" s="16">
        <f>Tableau14[[#This Row],[S crashes2016]]+Tableau14[[#This Row],[F crashes2016]]</f>
        <v>4</v>
      </c>
      <c r="BE46" s="12">
        <f>IF(Tableau14[[#This Row],[F crashes2016]] &lt;&gt; 0, Tableau14[[#This Row],[F &amp; S crashes2016]]/Tableau14[[#This Row],[F crashes2016]], 1)</f>
        <v>4</v>
      </c>
      <c r="BF46" s="8">
        <v>10166</v>
      </c>
      <c r="BG46" s="8">
        <v>302947</v>
      </c>
      <c r="BH46" s="16">
        <f>(Tableau14[[#This Row],[VEHIC KM / JOUR2016]]*365)/1000000000</f>
        <v>0.11057565499999999</v>
      </c>
      <c r="BI46" s="16">
        <f>(Tableau14[[#This Row],[F &amp; S crashes2016]]/Tableau14[[#This Row],[BILLION VEH KM TRAVELLED2016]])</f>
        <v>36.174327884379252</v>
      </c>
      <c r="BJ46" t="s">
        <v>146</v>
      </c>
      <c r="BK46" s="16">
        <f>Tableau14[[#This Row],[F &amp; S crashes2016]]/4</f>
        <v>1</v>
      </c>
      <c r="BL46" s="39">
        <f>Tableau14[[#This Row],[CRASH RISK2016]]-Tableau14[[#This Row],[CRASH RISK2015]]</f>
        <v>-65.988410857170848</v>
      </c>
      <c r="BM46" s="39">
        <f>Tableau14[[#This Row],[CRASH DENSITY2016]]-Tableau14[[#This Row],[CRASH DENSITY2015]]</f>
        <v>-1.75</v>
      </c>
    </row>
    <row r="47" spans="1:65" s="17" customFormat="1" ht="26.4" customHeight="1" x14ac:dyDescent="0.3">
      <c r="A47" s="28">
        <f t="shared" si="0"/>
        <v>46</v>
      </c>
      <c r="B47" s="47" t="s">
        <v>101</v>
      </c>
      <c r="C47" s="11" t="s">
        <v>23</v>
      </c>
      <c r="D47" s="8" t="s">
        <v>24</v>
      </c>
      <c r="E47" s="8" t="s">
        <v>25</v>
      </c>
      <c r="F47" s="8">
        <v>424.5</v>
      </c>
      <c r="G47" s="22" t="s">
        <v>134</v>
      </c>
      <c r="H47" s="8">
        <v>4</v>
      </c>
      <c r="I47" s="8">
        <v>0</v>
      </c>
      <c r="J47" s="8">
        <f>Tableau14[[#This Row],[F crashes2015]]+Tableau14[[#This Row],[S crashes2015]]</f>
        <v>4</v>
      </c>
      <c r="K47" s="12">
        <f>IF(Tableau14[[#This Row],[F crashes2015]] &lt;&gt; 0, Tableau14[[#This Row],[F &amp; S crashes2015]]/Tableau14[[#This Row],[F crashes2015]], 1)</f>
        <v>1</v>
      </c>
      <c r="L47" s="8">
        <v>7266</v>
      </c>
      <c r="M47" s="8">
        <v>247044</v>
      </c>
      <c r="N47" s="8">
        <f>(Tableau14[[#This Row],[VEHIC KM / JOUR2015]]*365)/1000000000</f>
        <v>9.0171059999999997E-2</v>
      </c>
      <c r="O47" s="23">
        <f>(Tableau14[[#This Row],[F &amp; S crashes2015]]/Tableau14[[#This Row],[BILLION VEH KM TRAVELLED2015]])</f>
        <v>44.360130622840636</v>
      </c>
      <c r="P47" s="11" t="s">
        <v>144</v>
      </c>
      <c r="Q47" s="11">
        <f>Tableau14[[#This Row],[F &amp; S crashes2015]]/4</f>
        <v>1</v>
      </c>
      <c r="R47" s="8" t="s">
        <v>144</v>
      </c>
      <c r="S47" s="23">
        <f>Tableau14[[#This Row],[VEHIC KM / JOUR2015]]/Tableau14[[#This Row],[TMJA2015 (vehi/jour)]]</f>
        <v>34</v>
      </c>
      <c r="T47" s="8">
        <v>1</v>
      </c>
      <c r="U47" s="8">
        <v>1</v>
      </c>
      <c r="V47" s="8">
        <v>60</v>
      </c>
      <c r="W47" s="8">
        <v>403</v>
      </c>
      <c r="X47" s="8">
        <v>437</v>
      </c>
      <c r="Y47" s="8">
        <v>15</v>
      </c>
      <c r="Z47" s="8">
        <v>8</v>
      </c>
      <c r="AA47" s="8">
        <f>Tableau14[[#This Row],[F Crashes trancon]]+Tableau14[[#This Row],[S crashes trancon]]</f>
        <v>23</v>
      </c>
      <c r="AB47" s="24">
        <f>IF(Tableau14[[#This Row],[F Crashes trancon]]&lt;&gt; 0, Tableau14[[#This Row],[F&amp;S crashes tronçon ]]/Tableau14[[#This Row],[F Crashes trancon]], 1)</f>
        <v>1.5333333333333334</v>
      </c>
      <c r="AC47" s="23">
        <f>(Tableau14[[#This Row],[F&amp;S crashes tronçon ]]/Tableau14[[#This Row],[BILLION VEH KM TRAVELLED2015]])</f>
        <v>255.07075108133364</v>
      </c>
      <c r="AD47" s="26" t="s">
        <v>144</v>
      </c>
      <c r="AE47" s="27">
        <f>Tableau14[[#This Row],[F&amp;S crashes tronçon ]]/Tableau14[[#This Row],[LENTGH SECTION(KM)]]</f>
        <v>0.67647058823529416</v>
      </c>
      <c r="AF47" s="8" t="s">
        <v>144</v>
      </c>
      <c r="AG47" s="8">
        <v>3.5</v>
      </c>
      <c r="AH47" s="8" t="s">
        <v>212</v>
      </c>
      <c r="AI47" s="8" t="s">
        <v>212</v>
      </c>
      <c r="AJ47" s="8" t="s">
        <v>212</v>
      </c>
      <c r="AK47" s="8" t="s">
        <v>211</v>
      </c>
      <c r="AL47" s="8">
        <v>1</v>
      </c>
      <c r="AM47" s="8">
        <v>0</v>
      </c>
      <c r="AN47" s="8">
        <v>0</v>
      </c>
      <c r="AO47" s="8">
        <v>0</v>
      </c>
      <c r="AP47" s="44">
        <v>0</v>
      </c>
      <c r="AQ47" s="44">
        <v>0</v>
      </c>
      <c r="AR47" s="8">
        <v>0</v>
      </c>
      <c r="AS47" s="8">
        <v>0</v>
      </c>
      <c r="AT47" s="8">
        <v>0</v>
      </c>
      <c r="AU47" s="8">
        <v>0</v>
      </c>
      <c r="AV47" s="44">
        <f>IF(Tableau14[[#This Row],[Moyenne Journalière Infrations 2016]]&gt;0, Tableau14[[#This Row],[Moyenne Journalière Infrations 2016]]-Tableau14[[#This Row],[Moyenne Journalière Infrations 2017]],0)</f>
        <v>0</v>
      </c>
      <c r="AW47" s="44">
        <f>IF(Tableau14[[#This Row],[Moyenne Journalière Infrations 2015]]&gt;0, Tableau14[[#This Row],[Moyenne Journalière Infrations 2015]]-Tableau14[[#This Row],[Moyenne Journalière Infrations 2016]],0)</f>
        <v>0</v>
      </c>
      <c r="AX47" s="8" t="s">
        <v>218</v>
      </c>
      <c r="AY47" s="8" t="s">
        <v>218</v>
      </c>
      <c r="AZ47" s="8" t="s">
        <v>218</v>
      </c>
      <c r="BA47" s="8" t="s">
        <v>218</v>
      </c>
      <c r="BB47" s="8">
        <v>1</v>
      </c>
      <c r="BC47" s="8">
        <v>1</v>
      </c>
      <c r="BD47" s="16">
        <f>Tableau14[[#This Row],[S crashes2016]]+Tableau14[[#This Row],[F crashes2016]]</f>
        <v>2</v>
      </c>
      <c r="BE47" s="12">
        <f>IF(Tableau14[[#This Row],[F crashes2016]] &lt;&gt; 0, Tableau14[[#This Row],[F &amp; S crashes2016]]/Tableau14[[#This Row],[F crashes2016]], 1)</f>
        <v>2</v>
      </c>
      <c r="BF47" s="8">
        <v>7044</v>
      </c>
      <c r="BG47" s="8">
        <v>239496</v>
      </c>
      <c r="BH47" s="16">
        <f>(Tableau14[[#This Row],[VEHIC KM / JOUR2016]]*365)/1000000000</f>
        <v>8.741604E-2</v>
      </c>
      <c r="BI47" s="16">
        <f>(Tableau14[[#This Row],[F &amp; S crashes2016]]/Tableau14[[#This Row],[BILLION VEH KM TRAVELLED2016]])</f>
        <v>22.879096330604771</v>
      </c>
      <c r="BJ47" t="s">
        <v>146</v>
      </c>
      <c r="BK47" s="16">
        <f>Tableau14[[#This Row],[F &amp; S crashes2016]]/4</f>
        <v>0.5</v>
      </c>
      <c r="BL47" s="39">
        <f>Tableau14[[#This Row],[CRASH RISK2016]]-Tableau14[[#This Row],[CRASH RISK2015]]</f>
        <v>-21.481034292235865</v>
      </c>
      <c r="BM47" s="39">
        <f>Tableau14[[#This Row],[CRASH DENSITY2016]]-Tableau14[[#This Row],[CRASH DENSITY2015]]</f>
        <v>-0.5</v>
      </c>
    </row>
    <row r="48" spans="1:65" s="17" customFormat="1" ht="26.4" customHeight="1" x14ac:dyDescent="0.3">
      <c r="A48" s="28">
        <f t="shared" si="0"/>
        <v>47</v>
      </c>
      <c r="B48" s="41" t="s">
        <v>229</v>
      </c>
      <c r="C48" s="11" t="s">
        <v>227</v>
      </c>
      <c r="D48" s="10" t="s">
        <v>286</v>
      </c>
      <c r="E48" s="10" t="s">
        <v>231</v>
      </c>
      <c r="F48" s="8">
        <v>79</v>
      </c>
      <c r="G48" s="22" t="s">
        <v>234</v>
      </c>
      <c r="H48" s="26">
        <v>1</v>
      </c>
      <c r="I48" s="26">
        <v>1</v>
      </c>
      <c r="J48" s="8">
        <f>Tableau14[[#This Row],[F crashes2015]]+Tableau14[[#This Row],[S crashes2015]]</f>
        <v>2</v>
      </c>
      <c r="K48" s="33">
        <f>IF(Tableau14[[#This Row],[F crashes2015]] &lt;&gt; 0, Tableau14[[#This Row],[F &amp; S crashes2015]]/Tableau14[[#This Row],[F crashes2015]], 1)</f>
        <v>2</v>
      </c>
      <c r="L48" s="8">
        <v>42523</v>
      </c>
      <c r="M48" s="8">
        <v>212614</v>
      </c>
      <c r="N48" s="26">
        <f>(Tableau14[[#This Row],[VEHIC KM / JOUR2015]]*365)/1000000000</f>
        <v>7.7604110000000004E-2</v>
      </c>
      <c r="O48" s="26">
        <f>(Tableau14[[#This Row],[F &amp; S crashes2015]]/Tableau14[[#This Row],[BILLION VEH KM TRAVELLED2015]])</f>
        <v>25.771830899162428</v>
      </c>
      <c r="P48" s="11" t="s">
        <v>146</v>
      </c>
      <c r="Q48" s="34">
        <f>Tableau14[[#This Row],[F &amp; S crashes2015]]/4</f>
        <v>0.5</v>
      </c>
      <c r="R48" s="11"/>
      <c r="S48" s="23">
        <f>Tableau14[[#This Row],[VEHIC KM / JOUR2015]]/Tableau14[[#This Row],[TMJA2015 (vehi/jour)]]</f>
        <v>4.9999764833149118</v>
      </c>
      <c r="T48" s="8"/>
      <c r="U48" s="8"/>
      <c r="V48" s="8">
        <v>120</v>
      </c>
      <c r="W48" s="8"/>
      <c r="X48" s="8"/>
      <c r="Y48" s="8"/>
      <c r="Z48" s="8"/>
      <c r="AA48" s="26">
        <f>Tableau14[[#This Row],[F Crashes trancon]]+Tableau14[[#This Row],[S crashes trancon]]</f>
        <v>0</v>
      </c>
      <c r="AB48" s="24">
        <f>IF(Tableau14[[#This Row],[F Crashes trancon]]&lt;&gt; 0, Tableau14[[#This Row],[F&amp;S crashes tronçon ]]/Tableau14[[#This Row],[F Crashes trancon]], 1)</f>
        <v>1</v>
      </c>
      <c r="AC48" s="23">
        <f>(Tableau14[[#This Row],[F&amp;S crashes tronçon ]]/Tableau14[[#This Row],[BILLION VEH KM TRAVELLED2015]])</f>
        <v>0</v>
      </c>
      <c r="AD48" s="26"/>
      <c r="AE48" s="27">
        <f>Tableau14[[#This Row],[F&amp;S crashes tronçon ]]/Tableau14[[#This Row],[LENTGH SECTION(KM)]]</f>
        <v>0</v>
      </c>
      <c r="AF48" s="8"/>
      <c r="AG48" s="8"/>
      <c r="AH48" s="8" t="s">
        <v>211</v>
      </c>
      <c r="AI48" s="8" t="s">
        <v>211</v>
      </c>
      <c r="AJ48" s="8" t="s">
        <v>212</v>
      </c>
      <c r="AK48" s="8" t="s">
        <v>218</v>
      </c>
      <c r="AL48" s="8" t="s">
        <v>218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44">
        <f>IF(Tableau14[[#This Row],[Moyenne Journalière Infrations 2016]]&gt;0, Tableau14[[#This Row],[Moyenne Journalière Infrations 2016]]-Tableau14[[#This Row],[Moyenne Journalière Infrations 2017]],0)</f>
        <v>0</v>
      </c>
      <c r="AW48" s="44">
        <f>IF(Tableau14[[#This Row],[Moyenne Journalière Infrations 2015]]&gt;0, Tableau14[[#This Row],[Moyenne Journalière Infrations 2015]]-Tableau14[[#This Row],[Moyenne Journalière Infrations 2016]],0)</f>
        <v>0</v>
      </c>
      <c r="AX48" s="8" t="s">
        <v>218</v>
      </c>
      <c r="AY48" s="8" t="s">
        <v>218</v>
      </c>
      <c r="AZ48" s="8" t="s">
        <v>218</v>
      </c>
      <c r="BA48" s="8" t="s">
        <v>218</v>
      </c>
      <c r="BB48" s="16">
        <v>1</v>
      </c>
      <c r="BC48" s="16">
        <v>1</v>
      </c>
      <c r="BD48" s="16">
        <f>Tableau14[[#This Row],[S crashes2016]]+Tableau14[[#This Row],[F crashes2016]]</f>
        <v>2</v>
      </c>
      <c r="BE48" s="12">
        <f>IF(Tableau14[[#This Row],[F crashes2016]] &lt;&gt; 0, Tableau14[[#This Row],[F &amp; S crashes2016]]/Tableau14[[#This Row],[F crashes2016]], 1)</f>
        <v>2</v>
      </c>
      <c r="BF48" s="8">
        <v>47130</v>
      </c>
      <c r="BG48" s="8">
        <v>235648</v>
      </c>
      <c r="BH48" s="16">
        <f>(Tableau14[[#This Row],[VEHIC KM / JOUR2016]]*365)/1000000000</f>
        <v>8.6011519999999994E-2</v>
      </c>
      <c r="BI48" s="16">
        <f>(Tableau14[[#This Row],[F &amp; S crashes2016]]/Tableau14[[#This Row],[BILLION VEH KM TRAVELLED2016]])</f>
        <v>23.252699173320039</v>
      </c>
      <c r="BJ48" t="s">
        <v>146</v>
      </c>
      <c r="BK48" s="16">
        <f>Tableau14[[#This Row],[F &amp; S crashes2016]]/4</f>
        <v>0.5</v>
      </c>
      <c r="BL48" s="77">
        <f>Tableau14[[#This Row],[CRASH RISK2016]]-Tableau14[[#This Row],[CRASH RISK2015]]</f>
        <v>-2.5191317258423886</v>
      </c>
      <c r="BM48" s="77">
        <f>Tableau14[[#This Row],[CRASH DENSITY2016]]-Tableau14[[#This Row],[CRASH DENSITY2015]]</f>
        <v>0</v>
      </c>
    </row>
    <row r="49" spans="1:65" s="17" customFormat="1" ht="25.8" customHeight="1" x14ac:dyDescent="0.3">
      <c r="A49" s="28">
        <f t="shared" si="0"/>
        <v>48</v>
      </c>
      <c r="B49" s="41" t="s">
        <v>230</v>
      </c>
      <c r="C49" s="11" t="s">
        <v>228</v>
      </c>
      <c r="D49" s="9" t="s">
        <v>232</v>
      </c>
      <c r="E49" s="10" t="s">
        <v>233</v>
      </c>
      <c r="F49" s="8">
        <v>85.97</v>
      </c>
      <c r="G49" s="22" t="s">
        <v>234</v>
      </c>
      <c r="H49" s="26">
        <v>1</v>
      </c>
      <c r="I49" s="26">
        <v>1</v>
      </c>
      <c r="J49" s="8">
        <f>Tableau14[[#This Row],[F crashes2015]]+Tableau14[[#This Row],[S crashes2015]]</f>
        <v>2</v>
      </c>
      <c r="K49" s="33">
        <f>IF(Tableau14[[#This Row],[F crashes2015]] &lt;&gt; 0, Tableau14[[#This Row],[F &amp; S crashes2015]]/Tableau14[[#This Row],[F crashes2015]], 1)</f>
        <v>2</v>
      </c>
      <c r="L49" s="8">
        <v>49015</v>
      </c>
      <c r="M49" s="8">
        <v>318601</v>
      </c>
      <c r="N49" s="26">
        <f>(Tableau14[[#This Row],[VEHIC KM / JOUR2015]]*365)/1000000000</f>
        <v>0.11628936500000001</v>
      </c>
      <c r="O49" s="26">
        <f>(Tableau14[[#This Row],[F &amp; S crashes2015]]/Tableau14[[#This Row],[BILLION VEH KM TRAVELLED2015]])</f>
        <v>17.19847726402152</v>
      </c>
      <c r="P49" s="11" t="s">
        <v>146</v>
      </c>
      <c r="Q49" s="34">
        <f>Tableau14[[#This Row],[F &amp; S crashes2015]]/4</f>
        <v>0.5</v>
      </c>
      <c r="R49" s="11"/>
      <c r="S49" s="23">
        <f>Tableau14[[#This Row],[VEHIC KM / JOUR2015]]/Tableau14[[#This Row],[TMJA2015 (vehi/jour)]]</f>
        <v>6.5000714067122312</v>
      </c>
      <c r="T49" s="8"/>
      <c r="U49" s="8"/>
      <c r="V49" s="8">
        <v>120</v>
      </c>
      <c r="W49" s="8"/>
      <c r="X49" s="8"/>
      <c r="Y49" s="8"/>
      <c r="Z49" s="8"/>
      <c r="AA49" s="26">
        <f>Tableau14[[#This Row],[F Crashes trancon]]+Tableau14[[#This Row],[S crashes trancon]]</f>
        <v>0</v>
      </c>
      <c r="AB49" s="24">
        <f>IF(Tableau14[[#This Row],[F Crashes trancon]]&lt;&gt; 0, Tableau14[[#This Row],[F&amp;S crashes tronçon ]]/Tableau14[[#This Row],[F Crashes trancon]], 1)</f>
        <v>1</v>
      </c>
      <c r="AC49" s="23">
        <f>(Tableau14[[#This Row],[F&amp;S crashes tronçon ]]/Tableau14[[#This Row],[BILLION VEH KM TRAVELLED2015]])</f>
        <v>0</v>
      </c>
      <c r="AD49" s="26"/>
      <c r="AE49" s="27">
        <f>Tableau14[[#This Row],[F&amp;S crashes tronçon ]]/Tableau14[[#This Row],[LENTGH SECTION(KM)]]</f>
        <v>0</v>
      </c>
      <c r="AF49" s="8"/>
      <c r="AG49" s="8"/>
      <c r="AH49" s="8" t="s">
        <v>211</v>
      </c>
      <c r="AI49" s="8" t="s">
        <v>212</v>
      </c>
      <c r="AJ49" s="8" t="s">
        <v>212</v>
      </c>
      <c r="AK49" s="8" t="s">
        <v>218</v>
      </c>
      <c r="AL49" s="8" t="s">
        <v>218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44">
        <f>IF(Tableau14[[#This Row],[Moyenne Journalière Infrations 2016]]&gt;0, Tableau14[[#This Row],[Moyenne Journalière Infrations 2016]]-Tableau14[[#This Row],[Moyenne Journalière Infrations 2017]],0)</f>
        <v>0</v>
      </c>
      <c r="AW49" s="44">
        <f>IF(Tableau14[[#This Row],[Moyenne Journalière Infrations 2015]]&gt;0, Tableau14[[#This Row],[Moyenne Journalière Infrations 2015]]-Tableau14[[#This Row],[Moyenne Journalière Infrations 2016]],0)</f>
        <v>0</v>
      </c>
      <c r="AX49" s="8" t="s">
        <v>218</v>
      </c>
      <c r="AY49" s="8" t="s">
        <v>218</v>
      </c>
      <c r="AZ49" s="8" t="s">
        <v>218</v>
      </c>
      <c r="BA49" s="8" t="s">
        <v>218</v>
      </c>
      <c r="BB49" s="16">
        <v>0</v>
      </c>
      <c r="BC49" s="16">
        <v>1</v>
      </c>
      <c r="BD49" s="16">
        <f>Tableau14[[#This Row],[S crashes2016]]+Tableau14[[#This Row],[F crashes2016]]</f>
        <v>1</v>
      </c>
      <c r="BE49" s="12">
        <f>IF(Tableau14[[#This Row],[F crashes2016]] &lt;&gt; 0, Tableau14[[#This Row],[F &amp; S crashes2016]]/Tableau14[[#This Row],[F crashes2016]], 1)</f>
        <v>1</v>
      </c>
      <c r="BF49" s="8">
        <v>53556</v>
      </c>
      <c r="BG49" s="8">
        <v>348111</v>
      </c>
      <c r="BH49" s="16">
        <f>(Tableau14[[#This Row],[VEHIC KM / JOUR2016]]*365)/1000000000</f>
        <v>0.12706051500000001</v>
      </c>
      <c r="BI49" s="16">
        <f>(Tableau14[[#This Row],[F &amp; S crashes2016]]/Tableau14[[#This Row],[BILLION VEH KM TRAVELLED2016]])</f>
        <v>7.8702655974596034</v>
      </c>
      <c r="BJ49" t="s">
        <v>147</v>
      </c>
      <c r="BK49" s="16">
        <f>Tableau14[[#This Row],[F &amp; S crashes2016]]/4</f>
        <v>0.25</v>
      </c>
      <c r="BL49" s="77">
        <f>Tableau14[[#This Row],[CRASH RISK2016]]-Tableau14[[#This Row],[CRASH RISK2015]]</f>
        <v>-9.3282116665619164</v>
      </c>
      <c r="BM49" s="77">
        <f>Tableau14[[#This Row],[CRASH DENSITY2016]]-Tableau14[[#This Row],[CRASH DENSITY2015]]</f>
        <v>-0.25</v>
      </c>
    </row>
    <row r="50" spans="1:65" s="17" customFormat="1" ht="26.4" customHeight="1" x14ac:dyDescent="0.3">
      <c r="A50" s="28">
        <f t="shared" si="0"/>
        <v>49</v>
      </c>
      <c r="B50" s="54" t="s">
        <v>181</v>
      </c>
      <c r="C50" s="19" t="s">
        <v>223</v>
      </c>
      <c r="D50" s="14" t="s">
        <v>203</v>
      </c>
      <c r="E50" s="15" t="s">
        <v>204</v>
      </c>
      <c r="F50" s="16">
        <v>90.8</v>
      </c>
      <c r="G50" s="16" t="s">
        <v>234</v>
      </c>
      <c r="H50" s="36">
        <v>1</v>
      </c>
      <c r="I50" s="36">
        <v>0</v>
      </c>
      <c r="J50" s="16">
        <f>Tableau14[[#This Row],[F crashes2015]]+Tableau14[[#This Row],[S crashes2015]]</f>
        <v>1</v>
      </c>
      <c r="K50" s="36">
        <f>IF(Tableau14[[#This Row],[F crashes2015]] &lt;&gt; 0, Tableau14[[#This Row],[F &amp; S crashes2015]]/Tableau14[[#This Row],[F crashes2015]], 1)</f>
        <v>1</v>
      </c>
      <c r="L50" s="16">
        <v>18763</v>
      </c>
      <c r="M50" s="16">
        <v>300209</v>
      </c>
      <c r="N50" s="36">
        <f>(Tableau14[[#This Row],[VEHIC KM / JOUR2015]]*365)/1000000000</f>
        <v>0.109576285</v>
      </c>
      <c r="O50" s="36">
        <f>(Tableau14[[#This Row],[F &amp; S crashes2015]]/Tableau14[[#This Row],[BILLION VEH KM TRAVELLED2015]])</f>
        <v>9.1260622679441994</v>
      </c>
      <c r="P50" s="11" t="s">
        <v>146</v>
      </c>
      <c r="Q50" s="37">
        <f>Tableau14[[#This Row],[F &amp; S crashes2015]]/4</f>
        <v>0.25</v>
      </c>
      <c r="R50" s="13"/>
      <c r="S50" s="38">
        <f>Tableau14[[#This Row],[VEHIC KM / JOUR2015]]/Tableau14[[#This Row],[TMJA2015 (vehi/jour)]]</f>
        <v>16.000053296381175</v>
      </c>
      <c r="T50" s="8">
        <v>1</v>
      </c>
      <c r="U50" s="8">
        <v>1</v>
      </c>
      <c r="V50" s="8">
        <v>120</v>
      </c>
      <c r="W50" s="16">
        <v>87</v>
      </c>
      <c r="X50" s="16">
        <v>103</v>
      </c>
      <c r="Y50" s="16"/>
      <c r="Z50" s="16"/>
      <c r="AA50" s="36">
        <f>Tableau14[[#This Row],[F Crashes trancon]]+Tableau14[[#This Row],[S crashes trancon]]</f>
        <v>0</v>
      </c>
      <c r="AB50" s="38">
        <f>IF(Tableau14[[#This Row],[F Crashes trancon]]&lt;&gt; 0, Tableau14[[#This Row],[F&amp;S crashes tronçon ]]/Tableau14[[#This Row],[F Crashes trancon]], 1)</f>
        <v>1</v>
      </c>
      <c r="AC50" s="38">
        <f>(Tableau14[[#This Row],[F&amp;S crashes tronçon ]]/Tableau14[[#This Row],[BILLION VEH KM TRAVELLED2015]])</f>
        <v>0</v>
      </c>
      <c r="AD50" s="36"/>
      <c r="AE50" s="39">
        <f>Tableau14[[#This Row],[F&amp;S crashes tronçon ]]/Tableau14[[#This Row],[LENTGH SECTION(KM)]]</f>
        <v>0</v>
      </c>
      <c r="AF50" s="16"/>
      <c r="AG50" s="8" t="s">
        <v>218</v>
      </c>
      <c r="AH50" s="8" t="s">
        <v>211</v>
      </c>
      <c r="AI50" s="8" t="s">
        <v>212</v>
      </c>
      <c r="AJ50" s="8" t="s">
        <v>211</v>
      </c>
      <c r="AK50" s="8" t="s">
        <v>218</v>
      </c>
      <c r="AL50" s="8" t="s">
        <v>218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44">
        <f>IF(Tableau14[[#This Row],[Moyenne Journalière Infrations 2016]]&gt;0, Tableau14[[#This Row],[Moyenne Journalière Infrations 2016]]-Tableau14[[#This Row],[Moyenne Journalière Infrations 2017]],0)</f>
        <v>0</v>
      </c>
      <c r="AW50" s="44">
        <f>IF(Tableau14[[#This Row],[Moyenne Journalière Infrations 2015]]&gt;0, Tableau14[[#This Row],[Moyenne Journalière Infrations 2015]]-Tableau14[[#This Row],[Moyenne Journalière Infrations 2016]],0)</f>
        <v>0</v>
      </c>
      <c r="AX50" s="8" t="s">
        <v>218</v>
      </c>
      <c r="AY50" s="8" t="s">
        <v>218</v>
      </c>
      <c r="AZ50" s="8" t="s">
        <v>218</v>
      </c>
      <c r="BA50" s="8" t="s">
        <v>218</v>
      </c>
      <c r="BB50" s="16">
        <v>0</v>
      </c>
      <c r="BC50" s="16">
        <v>0</v>
      </c>
      <c r="BD50" s="16">
        <f>Tableau14[[#This Row],[S crashes2016]]+Tableau14[[#This Row],[F crashes2016]]</f>
        <v>0</v>
      </c>
      <c r="BE50" s="12">
        <f>IF(Tableau14[[#This Row],[F crashes2016]] &lt;&gt; 0, Tableau14[[#This Row],[F &amp; S crashes2016]]/Tableau14[[#This Row],[F crashes2016]], 1)</f>
        <v>1</v>
      </c>
      <c r="BF50" s="8">
        <v>20576</v>
      </c>
      <c r="BG50" s="8">
        <v>329223</v>
      </c>
      <c r="BH50" s="16">
        <f>(Tableau14[[#This Row],[VEHIC KM / JOUR2016]]*365)/1000000000</f>
        <v>0.120166395</v>
      </c>
      <c r="BI50" s="16">
        <f>(Tableau14[[#This Row],[F &amp; S crashes2016]]/Tableau14[[#This Row],[BILLION VEH KM TRAVELLED2016]])</f>
        <v>0</v>
      </c>
      <c r="BJ50" s="8" t="s">
        <v>143</v>
      </c>
      <c r="BK50" s="16">
        <f>Tableau14[[#This Row],[F &amp; S crashes2016]]/4</f>
        <v>0</v>
      </c>
      <c r="BL50" s="77">
        <f>Tableau14[[#This Row],[CRASH RISK2016]]-Tableau14[[#This Row],[CRASH RISK2015]]</f>
        <v>-9.1260622679441994</v>
      </c>
      <c r="BM50" s="77">
        <f>Tableau14[[#This Row],[CRASH DENSITY2016]]-Tableau14[[#This Row],[CRASH DENSITY2015]]</f>
        <v>-0.25</v>
      </c>
    </row>
    <row r="51" spans="1:65" s="17" customFormat="1" ht="26.4" customHeight="1" x14ac:dyDescent="0.3">
      <c r="A51" s="28">
        <f t="shared" si="0"/>
        <v>50</v>
      </c>
      <c r="B51" s="54" t="s">
        <v>182</v>
      </c>
      <c r="C51" s="11" t="s">
        <v>175</v>
      </c>
      <c r="D51" s="9" t="s">
        <v>205</v>
      </c>
      <c r="E51" s="10" t="s">
        <v>206</v>
      </c>
      <c r="F51" s="8">
        <v>20</v>
      </c>
      <c r="G51" s="8" t="s">
        <v>207</v>
      </c>
      <c r="H51" s="26">
        <v>0</v>
      </c>
      <c r="I51" s="26">
        <v>2</v>
      </c>
      <c r="J51" s="8">
        <f>Tableau14[[#This Row],[F crashes2015]]+Tableau14[[#This Row],[S crashes2015]]</f>
        <v>2</v>
      </c>
      <c r="K51" s="33">
        <f>IF(Tableau14[[#This Row],[F crashes2015]] &lt;&gt; 0, Tableau14[[#This Row],[F &amp; S crashes2015]]/Tableau14[[#This Row],[F crashes2015]], 1)</f>
        <v>1</v>
      </c>
      <c r="L51" s="8">
        <v>34208</v>
      </c>
      <c r="M51" s="8">
        <v>649954</v>
      </c>
      <c r="N51" s="26">
        <f>(Tableau14[[#This Row],[VEHIC KM / JOUR2015]]*365)/1000000000</f>
        <v>0.23723321</v>
      </c>
      <c r="O51" s="26">
        <f>(Tableau14[[#This Row],[F &amp; S crashes2015]]/Tableau14[[#This Row],[BILLION VEH KM TRAVELLED2015]])</f>
        <v>8.4305228597631849</v>
      </c>
      <c r="P51" s="11" t="s">
        <v>146</v>
      </c>
      <c r="Q51" s="34">
        <f>Tableau14[[#This Row],[F &amp; S crashes2015]]/4</f>
        <v>0.5</v>
      </c>
      <c r="R51" s="11"/>
      <c r="S51" s="23">
        <f>Tableau14[[#This Row],[VEHIC KM / JOUR2015]]/Tableau14[[#This Row],[TMJA2015 (vehi/jour)]]</f>
        <v>19.00005846585594</v>
      </c>
      <c r="T51" s="8">
        <v>1</v>
      </c>
      <c r="U51" s="8">
        <v>1</v>
      </c>
      <c r="V51" s="8">
        <v>120</v>
      </c>
      <c r="W51" s="8">
        <v>13</v>
      </c>
      <c r="X51" s="8">
        <v>32</v>
      </c>
      <c r="Y51" s="8"/>
      <c r="Z51" s="8"/>
      <c r="AA51" s="26">
        <f>Tableau14[[#This Row],[F Crashes trancon]]+Tableau14[[#This Row],[S crashes trancon]]</f>
        <v>0</v>
      </c>
      <c r="AB51" s="23">
        <f>IF(Tableau14[[#This Row],[F Crashes trancon]]&lt;&gt; 0, Tableau14[[#This Row],[F&amp;S crashes tronçon ]]/Tableau14[[#This Row],[F Crashes trancon]], 1)</f>
        <v>1</v>
      </c>
      <c r="AC51" s="23">
        <f>(Tableau14[[#This Row],[F&amp;S crashes tronçon ]]/Tableau14[[#This Row],[BILLION VEH KM TRAVELLED2015]])</f>
        <v>0</v>
      </c>
      <c r="AD51" s="26"/>
      <c r="AE51" s="27">
        <f>Tableau14[[#This Row],[F&amp;S crashes tronçon ]]/Tableau14[[#This Row],[LENTGH SECTION(KM)]]</f>
        <v>0</v>
      </c>
      <c r="AF51" s="8"/>
      <c r="AG51" s="8" t="s">
        <v>218</v>
      </c>
      <c r="AH51" s="8" t="s">
        <v>211</v>
      </c>
      <c r="AI51" s="8" t="s">
        <v>211</v>
      </c>
      <c r="AJ51" s="8" t="s">
        <v>212</v>
      </c>
      <c r="AK51" s="8" t="s">
        <v>218</v>
      </c>
      <c r="AL51" s="8" t="s">
        <v>218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44">
        <f>IF(Tableau14[[#This Row],[Moyenne Journalière Infrations 2016]]&gt;0, Tableau14[[#This Row],[Moyenne Journalière Infrations 2016]]-Tableau14[[#This Row],[Moyenne Journalière Infrations 2017]],0)</f>
        <v>0</v>
      </c>
      <c r="AW51" s="44">
        <f>IF(Tableau14[[#This Row],[Moyenne Journalière Infrations 2015]]&gt;0, Tableau14[[#This Row],[Moyenne Journalière Infrations 2015]]-Tableau14[[#This Row],[Moyenne Journalière Infrations 2016]],0)</f>
        <v>0</v>
      </c>
      <c r="AX51" s="8" t="s">
        <v>218</v>
      </c>
      <c r="AY51" s="8" t="s">
        <v>218</v>
      </c>
      <c r="AZ51" s="8" t="s">
        <v>218</v>
      </c>
      <c r="BA51" s="8" t="s">
        <v>218</v>
      </c>
      <c r="BB51" s="16">
        <v>1</v>
      </c>
      <c r="BC51" s="16">
        <v>0</v>
      </c>
      <c r="BD51" s="16">
        <f>Tableau14[[#This Row],[S crashes2016]]+Tableau14[[#This Row],[F crashes2016]]</f>
        <v>1</v>
      </c>
      <c r="BE51" s="12">
        <f>IF(Tableau14[[#This Row],[F crashes2016]] &lt;&gt; 0, Tableau14[[#This Row],[F &amp; S crashes2016]]/Tableau14[[#This Row],[F crashes2016]], 1)</f>
        <v>1</v>
      </c>
      <c r="BF51" s="8">
        <v>36399</v>
      </c>
      <c r="BG51" s="8">
        <v>691578</v>
      </c>
      <c r="BH51" s="16">
        <f>(Tableau14[[#This Row],[VEHIC KM / JOUR2016]]*365)/1000000000</f>
        <v>0.25242597</v>
      </c>
      <c r="BI51" s="16">
        <f>(Tableau14[[#This Row],[F &amp; S crashes2016]]/Tableau14[[#This Row],[BILLION VEH KM TRAVELLED2016]])</f>
        <v>3.9615575212011662</v>
      </c>
      <c r="BJ51" t="s">
        <v>468</v>
      </c>
      <c r="BK51" s="16">
        <f>Tableau14[[#This Row],[F &amp; S crashes2016]]/4</f>
        <v>0.25</v>
      </c>
      <c r="BL51" s="77">
        <f>Tableau14[[#This Row],[CRASH RISK2016]]-Tableau14[[#This Row],[CRASH RISK2015]]</f>
        <v>-4.4689653385620183</v>
      </c>
      <c r="BM51" s="77">
        <f>Tableau14[[#This Row],[CRASH DENSITY2016]]-Tableau14[[#This Row],[CRASH DENSITY2015]]</f>
        <v>-0.25</v>
      </c>
    </row>
    <row r="52" spans="1:65" s="17" customFormat="1" ht="26.4" customHeight="1" x14ac:dyDescent="0.3">
      <c r="A52" s="28">
        <f t="shared" si="0"/>
        <v>51</v>
      </c>
      <c r="B52" s="53" t="s">
        <v>183</v>
      </c>
      <c r="C52" s="11" t="s">
        <v>176</v>
      </c>
      <c r="D52" s="9" t="s">
        <v>205</v>
      </c>
      <c r="E52" s="10" t="s">
        <v>206</v>
      </c>
      <c r="F52" s="8">
        <v>20.100000000000001</v>
      </c>
      <c r="G52" s="8" t="s">
        <v>207</v>
      </c>
      <c r="H52" s="26">
        <v>0</v>
      </c>
      <c r="I52" s="26">
        <v>2</v>
      </c>
      <c r="J52" s="8">
        <f>Tableau14[[#This Row],[F crashes2015]]+Tableau14[[#This Row],[S crashes2015]]</f>
        <v>2</v>
      </c>
      <c r="K52" s="33">
        <f>IF(Tableau14[[#This Row],[F crashes2015]] &lt;&gt; 0, Tableau14[[#This Row],[F &amp; S crashes2015]]/Tableau14[[#This Row],[F crashes2015]], 1)</f>
        <v>1</v>
      </c>
      <c r="L52" s="8">
        <v>34208</v>
      </c>
      <c r="M52" s="8">
        <v>649954</v>
      </c>
      <c r="N52" s="26">
        <f>(Tableau14[[#This Row],[VEHIC KM / JOUR2015]]*365)/1000000000</f>
        <v>0.23723321</v>
      </c>
      <c r="O52" s="26">
        <f>(Tableau14[[#This Row],[F &amp; S crashes2015]]/Tableau14[[#This Row],[BILLION VEH KM TRAVELLED2015]])</f>
        <v>8.4305228597631849</v>
      </c>
      <c r="P52" s="11" t="s">
        <v>146</v>
      </c>
      <c r="Q52" s="34">
        <f>Tableau14[[#This Row],[F &amp; S crashes2015]]/4</f>
        <v>0.5</v>
      </c>
      <c r="R52" s="11"/>
      <c r="S52" s="23">
        <f>Tableau14[[#This Row],[VEHIC KM / JOUR2015]]/Tableau14[[#This Row],[TMJA2015 (vehi/jour)]]</f>
        <v>19.00005846585594</v>
      </c>
      <c r="T52" s="8">
        <v>1</v>
      </c>
      <c r="U52" s="8">
        <v>1</v>
      </c>
      <c r="V52" s="8">
        <v>120</v>
      </c>
      <c r="W52" s="8">
        <v>13</v>
      </c>
      <c r="X52" s="8">
        <v>32</v>
      </c>
      <c r="Y52" s="8"/>
      <c r="Z52" s="8"/>
      <c r="AA52" s="26">
        <f>Tableau14[[#This Row],[F Crashes trancon]]+Tableau14[[#This Row],[S crashes trancon]]</f>
        <v>0</v>
      </c>
      <c r="AB52" s="23">
        <f>IF(Tableau14[[#This Row],[F Crashes trancon]]&lt;&gt; 0, Tableau14[[#This Row],[F&amp;S crashes tronçon ]]/Tableau14[[#This Row],[F Crashes trancon]], 1)</f>
        <v>1</v>
      </c>
      <c r="AC52" s="23">
        <f>(Tableau14[[#This Row],[F&amp;S crashes tronçon ]]/Tableau14[[#This Row],[BILLION VEH KM TRAVELLED2015]])</f>
        <v>0</v>
      </c>
      <c r="AD52" s="26"/>
      <c r="AE52" s="27">
        <f>Tableau14[[#This Row],[F&amp;S crashes tronçon ]]/Tableau14[[#This Row],[LENTGH SECTION(KM)]]</f>
        <v>0</v>
      </c>
      <c r="AF52" s="8"/>
      <c r="AG52" s="8" t="s">
        <v>218</v>
      </c>
      <c r="AH52" s="8" t="s">
        <v>211</v>
      </c>
      <c r="AI52" s="8" t="s">
        <v>211</v>
      </c>
      <c r="AJ52" s="8" t="s">
        <v>212</v>
      </c>
      <c r="AK52" s="8" t="s">
        <v>218</v>
      </c>
      <c r="AL52" s="8" t="s">
        <v>218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44">
        <f>IF(Tableau14[[#This Row],[Moyenne Journalière Infrations 2016]]&gt;0, Tableau14[[#This Row],[Moyenne Journalière Infrations 2016]]-Tableau14[[#This Row],[Moyenne Journalière Infrations 2017]],0)</f>
        <v>0</v>
      </c>
      <c r="AW52" s="44">
        <f>IF(Tableau14[[#This Row],[Moyenne Journalière Infrations 2015]]&gt;0, Tableau14[[#This Row],[Moyenne Journalière Infrations 2015]]-Tableau14[[#This Row],[Moyenne Journalière Infrations 2016]],0)</f>
        <v>0</v>
      </c>
      <c r="AX52" s="8" t="s">
        <v>218</v>
      </c>
      <c r="AY52" s="8" t="s">
        <v>218</v>
      </c>
      <c r="AZ52" s="8" t="s">
        <v>218</v>
      </c>
      <c r="BA52" s="8" t="s">
        <v>218</v>
      </c>
      <c r="BB52" s="16">
        <v>1</v>
      </c>
      <c r="BC52" s="16">
        <v>0</v>
      </c>
      <c r="BD52" s="16">
        <f>Tableau14[[#This Row],[S crashes2016]]+Tableau14[[#This Row],[F crashes2016]]</f>
        <v>1</v>
      </c>
      <c r="BE52" s="12">
        <f>IF(Tableau14[[#This Row],[F crashes2016]] &lt;&gt; 0, Tableau14[[#This Row],[F &amp; S crashes2016]]/Tableau14[[#This Row],[F crashes2016]], 1)</f>
        <v>1</v>
      </c>
      <c r="BF52" s="8">
        <v>36399</v>
      </c>
      <c r="BG52" s="8">
        <v>691578</v>
      </c>
      <c r="BH52" s="16">
        <f>(Tableau14[[#This Row],[VEHIC KM / JOUR2016]]*365)/1000000000</f>
        <v>0.25242597</v>
      </c>
      <c r="BI52" s="16">
        <f>(Tableau14[[#This Row],[F &amp; S crashes2016]]/Tableau14[[#This Row],[BILLION VEH KM TRAVELLED2016]])</f>
        <v>3.9615575212011662</v>
      </c>
      <c r="BJ52" t="s">
        <v>468</v>
      </c>
      <c r="BK52" s="16">
        <f>Tableau14[[#This Row],[F &amp; S crashes2016]]/4</f>
        <v>0.25</v>
      </c>
      <c r="BL52" s="77">
        <f>Tableau14[[#This Row],[CRASH RISK2016]]-Tableau14[[#This Row],[CRASH RISK2015]]</f>
        <v>-4.4689653385620183</v>
      </c>
      <c r="BM52" s="77">
        <f>Tableau14[[#This Row],[CRASH DENSITY2016]]-Tableau14[[#This Row],[CRASH DENSITY2015]]</f>
        <v>-0.25</v>
      </c>
    </row>
    <row r="53" spans="1:65" s="17" customFormat="1" ht="26.4" customHeight="1" x14ac:dyDescent="0.3">
      <c r="A53" s="28">
        <f t="shared" si="0"/>
        <v>52</v>
      </c>
      <c r="B53" s="47" t="s">
        <v>184</v>
      </c>
      <c r="C53" s="18" t="s">
        <v>222</v>
      </c>
      <c r="D53" s="9" t="s">
        <v>195</v>
      </c>
      <c r="E53" s="10" t="s">
        <v>196</v>
      </c>
      <c r="F53" s="8">
        <v>1.67</v>
      </c>
      <c r="G53" s="8" t="s">
        <v>234</v>
      </c>
      <c r="H53" s="26">
        <v>3</v>
      </c>
      <c r="I53" s="26">
        <v>4</v>
      </c>
      <c r="J53" s="8">
        <f>Tableau14[[#This Row],[F crashes2015]]+Tableau14[[#This Row],[S crashes2015]]</f>
        <v>7</v>
      </c>
      <c r="K53" s="33">
        <f>IF(Tableau14[[#This Row],[F crashes2015]] &lt;&gt; 0, Tableau14[[#This Row],[F &amp; S crashes2015]]/Tableau14[[#This Row],[F crashes2015]], 1)</f>
        <v>2.3333333333333335</v>
      </c>
      <c r="L53" s="8">
        <v>57943</v>
      </c>
      <c r="M53" s="8">
        <v>985031</v>
      </c>
      <c r="N53" s="26">
        <f>(Tableau14[[#This Row],[VEHIC KM / JOUR2015]]*365)/1000000000</f>
        <v>0.359536315</v>
      </c>
      <c r="O53" s="26">
        <f>(Tableau14[[#This Row],[F &amp; S crashes2015]]/Tableau14[[#This Row],[BILLION VEH KM TRAVELLED2015]])</f>
        <v>19.469521458493006</v>
      </c>
      <c r="P53" t="s">
        <v>147</v>
      </c>
      <c r="Q53" s="34">
        <f>Tableau14[[#This Row],[F &amp; S crashes2015]]/4</f>
        <v>1.75</v>
      </c>
      <c r="R53" s="11"/>
      <c r="S53" s="23">
        <f>Tableau14[[#This Row],[VEHIC KM / JOUR2015]]/Tableau14[[#This Row],[TMJA2015 (vehi/jour)]]</f>
        <v>17</v>
      </c>
      <c r="T53" s="8">
        <v>1</v>
      </c>
      <c r="U53" s="8">
        <v>1</v>
      </c>
      <c r="V53" s="8">
        <v>120</v>
      </c>
      <c r="W53" s="8">
        <v>0</v>
      </c>
      <c r="X53" s="8">
        <v>17</v>
      </c>
      <c r="Y53" s="8"/>
      <c r="Z53" s="8"/>
      <c r="AA53" s="26">
        <f>Tableau14[[#This Row],[F Crashes trancon]]+Tableau14[[#This Row],[S crashes trancon]]</f>
        <v>0</v>
      </c>
      <c r="AB53" s="23">
        <f>IF(Tableau14[[#This Row],[F Crashes trancon]]&lt;&gt; 0, Tableau14[[#This Row],[F&amp;S crashes tronçon ]]/Tableau14[[#This Row],[F Crashes trancon]], 1)</f>
        <v>1</v>
      </c>
      <c r="AC53" s="23">
        <f>(Tableau14[[#This Row],[F&amp;S crashes tronçon ]]/Tableau14[[#This Row],[BILLION VEH KM TRAVELLED2015]])</f>
        <v>0</v>
      </c>
      <c r="AD53" s="26"/>
      <c r="AE53" s="27">
        <f>Tableau14[[#This Row],[F&amp;S crashes tronçon ]]/Tableau14[[#This Row],[LENTGH SECTION(KM)]]</f>
        <v>0</v>
      </c>
      <c r="AF53" s="8"/>
      <c r="AG53" s="8" t="s">
        <v>218</v>
      </c>
      <c r="AH53" s="8" t="s">
        <v>211</v>
      </c>
      <c r="AI53" s="8" t="s">
        <v>212</v>
      </c>
      <c r="AJ53" s="8" t="s">
        <v>212</v>
      </c>
      <c r="AK53" s="8" t="s">
        <v>218</v>
      </c>
      <c r="AL53" s="8" t="s">
        <v>218</v>
      </c>
      <c r="AM53" s="8">
        <v>0</v>
      </c>
      <c r="AN53" s="8">
        <v>35853</v>
      </c>
      <c r="AO53" s="8">
        <v>29388</v>
      </c>
      <c r="AP53" s="8">
        <v>0</v>
      </c>
      <c r="AQ53" s="8">
        <v>0</v>
      </c>
      <c r="AR53" s="8">
        <v>187</v>
      </c>
      <c r="AS53" s="8">
        <v>191</v>
      </c>
      <c r="AT53" s="8">
        <v>131</v>
      </c>
      <c r="AU53" s="8">
        <v>224</v>
      </c>
      <c r="AV53" s="44">
        <f>IF(Tableau14[[#This Row],[Moyenne Journalière Infrations 2016]]&gt;0, Tableau14[[#This Row],[Moyenne Journalière Infrations 2016]]-Tableau14[[#This Row],[Moyenne Journalière Infrations 2017]],0)</f>
        <v>56</v>
      </c>
      <c r="AW53" s="44">
        <f>IF(Tableau14[[#This Row],[Moyenne Journalière Infrations 2015]]&gt;0, Tableau14[[#This Row],[Moyenne Journalière Infrations 2015]]-Tableau14[[#This Row],[Moyenne Journalière Infrations 2016]],0)</f>
        <v>0</v>
      </c>
      <c r="AX53" s="8">
        <v>3</v>
      </c>
      <c r="AY53" s="8" t="s">
        <v>218</v>
      </c>
      <c r="AZ53" s="8" t="s">
        <v>417</v>
      </c>
      <c r="BA53" s="8" t="s">
        <v>418</v>
      </c>
      <c r="BB53" s="16">
        <v>3</v>
      </c>
      <c r="BC53" s="16">
        <v>2</v>
      </c>
      <c r="BD53" s="16">
        <f>Tableau14[[#This Row],[S crashes2016]]+Tableau14[[#This Row],[F crashes2016]]</f>
        <v>5</v>
      </c>
      <c r="BE53" s="12">
        <f>IF(Tableau14[[#This Row],[F crashes2016]] &lt;&gt; 0, Tableau14[[#This Row],[F &amp; S crashes2016]]/Tableau14[[#This Row],[F crashes2016]], 1)</f>
        <v>1.6666666666666667</v>
      </c>
      <c r="BF53" s="8">
        <v>62479</v>
      </c>
      <c r="BG53" s="8">
        <v>1062135</v>
      </c>
      <c r="BH53" s="16">
        <f>(Tableau14[[#This Row],[VEHIC KM / JOUR2016]]*365)/1000000000</f>
        <v>0.38767927499999999</v>
      </c>
      <c r="BI53" s="16">
        <f>(Tableau14[[#This Row],[F &amp; S crashes2016]]/Tableau14[[#This Row],[BILLION VEH KM TRAVELLED2016]])</f>
        <v>12.897258952003561</v>
      </c>
      <c r="BJ53" t="s">
        <v>147</v>
      </c>
      <c r="BK53" s="16">
        <f>Tableau14[[#This Row],[F &amp; S crashes2016]]/4</f>
        <v>1.25</v>
      </c>
      <c r="BL53" s="77">
        <f>Tableau14[[#This Row],[CRASH RISK2016]]-Tableau14[[#This Row],[CRASH RISK2015]]</f>
        <v>-6.5722625064894444</v>
      </c>
      <c r="BM53" s="77">
        <f>Tableau14[[#This Row],[CRASH DENSITY2016]]-Tableau14[[#This Row],[CRASH DENSITY2015]]</f>
        <v>-0.5</v>
      </c>
    </row>
    <row r="54" spans="1:65" s="17" customFormat="1" ht="26.4" customHeight="1" x14ac:dyDescent="0.3">
      <c r="A54" s="28">
        <f t="shared" si="0"/>
        <v>53</v>
      </c>
      <c r="B54" s="54" t="s">
        <v>185</v>
      </c>
      <c r="C54" s="19" t="s">
        <v>221</v>
      </c>
      <c r="D54" s="9" t="s">
        <v>197</v>
      </c>
      <c r="E54" s="10" t="s">
        <v>198</v>
      </c>
      <c r="F54" s="8">
        <v>9.65</v>
      </c>
      <c r="G54" s="8" t="s">
        <v>234</v>
      </c>
      <c r="H54" s="26">
        <v>1</v>
      </c>
      <c r="I54" s="26">
        <v>1</v>
      </c>
      <c r="J54" s="8">
        <v>0</v>
      </c>
      <c r="K54" s="33">
        <f>IF(Tableau14[[#This Row],[F crashes2015]] &lt;&gt; 0, Tableau14[[#This Row],[F &amp; S crashes2015]]/Tableau14[[#This Row],[F crashes2015]], 1)</f>
        <v>0</v>
      </c>
      <c r="L54" s="8">
        <v>57943</v>
      </c>
      <c r="M54" s="8">
        <v>985031</v>
      </c>
      <c r="N54" s="26">
        <f>(Tableau14[[#This Row],[VEHIC KM / JOUR2015]]*365)/1000000000</f>
        <v>0.359536315</v>
      </c>
      <c r="O54" s="26">
        <f>(Tableau14[[#This Row],[F &amp; S crashes2015]]/Tableau14[[#This Row],[BILLION VEH KM TRAVELLED2015]])</f>
        <v>0</v>
      </c>
      <c r="P54" s="11" t="s">
        <v>143</v>
      </c>
      <c r="Q54" s="34">
        <f>Tableau14[[#This Row],[F &amp; S crashes2015]]/4</f>
        <v>0</v>
      </c>
      <c r="R54" s="11"/>
      <c r="S54" s="23">
        <f>Tableau14[[#This Row],[VEHIC KM / JOUR2015]]/Tableau14[[#This Row],[TMJA2015 (vehi/jour)]]</f>
        <v>17</v>
      </c>
      <c r="T54" s="8">
        <v>1</v>
      </c>
      <c r="U54" s="8">
        <v>1</v>
      </c>
      <c r="V54" s="8">
        <v>120</v>
      </c>
      <c r="W54" s="8">
        <v>0</v>
      </c>
      <c r="X54" s="8">
        <v>17</v>
      </c>
      <c r="Y54" s="8"/>
      <c r="Z54" s="8"/>
      <c r="AA54" s="26">
        <f>Tableau14[[#This Row],[F Crashes trancon]]+Tableau14[[#This Row],[S crashes trancon]]</f>
        <v>0</v>
      </c>
      <c r="AB54" s="23">
        <f>IF(Tableau14[[#This Row],[F Crashes trancon]]&lt;&gt; 0, Tableau14[[#This Row],[F&amp;S crashes tronçon ]]/Tableau14[[#This Row],[F Crashes trancon]], 1)</f>
        <v>1</v>
      </c>
      <c r="AC54" s="23">
        <f>(Tableau14[[#This Row],[F&amp;S crashes tronçon ]]/Tableau14[[#This Row],[BILLION VEH KM TRAVELLED2015]])</f>
        <v>0</v>
      </c>
      <c r="AD54" s="26"/>
      <c r="AE54" s="27">
        <f>Tableau14[[#This Row],[F&amp;S crashes tronçon ]]/Tableau14[[#This Row],[LENTGH SECTION(KM)]]</f>
        <v>0</v>
      </c>
      <c r="AF54" s="8"/>
      <c r="AG54" s="8" t="s">
        <v>218</v>
      </c>
      <c r="AH54" s="8" t="s">
        <v>211</v>
      </c>
      <c r="AI54" s="8" t="s">
        <v>212</v>
      </c>
      <c r="AJ54" s="8" t="s">
        <v>212</v>
      </c>
      <c r="AK54" s="8" t="s">
        <v>218</v>
      </c>
      <c r="AL54" s="8" t="s">
        <v>218</v>
      </c>
      <c r="AM54" s="8">
        <v>134</v>
      </c>
      <c r="AN54" s="8">
        <v>56754</v>
      </c>
      <c r="AO54" s="8">
        <v>13896</v>
      </c>
      <c r="AP54" s="8">
        <v>134</v>
      </c>
      <c r="AQ54" s="8">
        <v>1</v>
      </c>
      <c r="AR54" s="8">
        <v>227</v>
      </c>
      <c r="AS54" s="8">
        <v>249</v>
      </c>
      <c r="AT54" s="8">
        <v>144</v>
      </c>
      <c r="AU54" s="8">
        <v>96</v>
      </c>
      <c r="AV54" s="44">
        <f>IF(Tableau14[[#This Row],[Moyenne Journalière Infrations 2016]]&gt;0, Tableau14[[#This Row],[Moyenne Journalière Infrations 2016]]-Tableau14[[#This Row],[Moyenne Journalière Infrations 2017]],0)</f>
        <v>83</v>
      </c>
      <c r="AW54" s="44">
        <f>IF(Tableau14[[#This Row],[Moyenne Journalière Infrations 2015]]&gt;0, Tableau14[[#This Row],[Moyenne Journalière Infrations 2015]]-Tableau14[[#This Row],[Moyenne Journalière Infrations 2016]],0)</f>
        <v>-93</v>
      </c>
      <c r="AX54" s="8">
        <v>3</v>
      </c>
      <c r="AY54" s="8" t="s">
        <v>218</v>
      </c>
      <c r="AZ54" s="8" t="s">
        <v>417</v>
      </c>
      <c r="BA54" s="8" t="s">
        <v>419</v>
      </c>
      <c r="BB54" s="16">
        <v>1</v>
      </c>
      <c r="BC54" s="16">
        <v>1</v>
      </c>
      <c r="BD54" s="16">
        <f>Tableau14[[#This Row],[S crashes2016]]+Tableau14[[#This Row],[F crashes2016]]</f>
        <v>2</v>
      </c>
      <c r="BE54" s="12">
        <f>IF(Tableau14[[#This Row],[F crashes2016]] &lt;&gt; 0, Tableau14[[#This Row],[F &amp; S crashes2016]]/Tableau14[[#This Row],[F crashes2016]], 1)</f>
        <v>2</v>
      </c>
      <c r="BF54" s="8">
        <v>62479</v>
      </c>
      <c r="BG54" s="8">
        <v>1062135</v>
      </c>
      <c r="BH54" s="16">
        <f>(Tableau14[[#This Row],[VEHIC KM / JOUR2016]]*365)/1000000000</f>
        <v>0.38767927499999999</v>
      </c>
      <c r="BI54" s="16">
        <f>(Tableau14[[#This Row],[F &amp; S crashes2016]]/Tableau14[[#This Row],[BILLION VEH KM TRAVELLED2016]])</f>
        <v>5.1589035808014243</v>
      </c>
      <c r="BJ54" t="s">
        <v>468</v>
      </c>
      <c r="BK54" s="16">
        <f>Tableau14[[#This Row],[F &amp; S crashes2016]]/4</f>
        <v>0.5</v>
      </c>
      <c r="BL54" s="77">
        <f>Tableau14[[#This Row],[CRASH RISK2016]]-Tableau14[[#This Row],[CRASH RISK2015]]</f>
        <v>5.1589035808014243</v>
      </c>
      <c r="BM54" s="77">
        <f>Tableau14[[#This Row],[CRASH DENSITY2016]]-Tableau14[[#This Row],[CRASH DENSITY2015]]</f>
        <v>0.5</v>
      </c>
    </row>
    <row r="55" spans="1:65" s="17" customFormat="1" ht="26.4" customHeight="1" x14ac:dyDescent="0.3">
      <c r="A55" s="28">
        <f t="shared" si="0"/>
        <v>54</v>
      </c>
      <c r="B55" s="47" t="s">
        <v>311</v>
      </c>
      <c r="C55" s="11" t="s">
        <v>365</v>
      </c>
      <c r="D55" s="9" t="s">
        <v>354</v>
      </c>
      <c r="E55" s="10" t="s">
        <v>355</v>
      </c>
      <c r="F55" s="8">
        <v>24.87</v>
      </c>
      <c r="G55" s="8" t="s">
        <v>234</v>
      </c>
      <c r="H55" s="26">
        <v>2</v>
      </c>
      <c r="I55" s="26">
        <v>3</v>
      </c>
      <c r="J55" s="8">
        <f>Tableau14[[#This Row],[F crashes2015]]+Tableau14[[#This Row],[S crashes2015]]</f>
        <v>5</v>
      </c>
      <c r="K55" s="33">
        <f>IF(Tableau14[[#This Row],[F crashes2015]] &lt;&gt; 0, Tableau14[[#This Row],[F &amp; S crashes2015]]/Tableau14[[#This Row],[F crashes2015]], 1)</f>
        <v>2.5</v>
      </c>
      <c r="L55" s="8">
        <v>54565</v>
      </c>
      <c r="M55" s="8">
        <v>654777</v>
      </c>
      <c r="N55" s="26">
        <f>(Tableau14[[#This Row],[VEHIC KM / JOUR2015]]*365)/1000000000</f>
        <v>0.238993605</v>
      </c>
      <c r="O55" s="26">
        <f>(Tableau14[[#This Row],[F &amp; S crashes2015]]/Tableau14[[#This Row],[BILLION VEH KM TRAVELLED2015]])</f>
        <v>20.92106188364329</v>
      </c>
      <c r="P55" t="s">
        <v>147</v>
      </c>
      <c r="Q55" s="34">
        <f>Tableau14[[#This Row],[F &amp; S crashes2015]]/4</f>
        <v>1.25</v>
      </c>
      <c r="R55" s="11"/>
      <c r="S55" s="23">
        <f>Tableau14[[#This Row],[VEHIC KM / JOUR2015]]/Tableau14[[#This Row],[TMJA2015 (vehi/jour)]]</f>
        <v>11.999945019701274</v>
      </c>
      <c r="T55" s="8"/>
      <c r="U55" s="8"/>
      <c r="V55" s="8"/>
      <c r="W55" s="8"/>
      <c r="X55" s="8"/>
      <c r="Y55" s="8"/>
      <c r="Z55" s="8"/>
      <c r="AA55" s="26">
        <f>Tableau14[[#This Row],[F Crashes trancon]]+Tableau14[[#This Row],[S crashes trancon]]</f>
        <v>0</v>
      </c>
      <c r="AB55" s="23">
        <f>IF(Tableau14[[#This Row],[F Crashes trancon]]&lt;&gt; 0, Tableau14[[#This Row],[F&amp;S crashes tronçon ]]/Tableau14[[#This Row],[F Crashes trancon]], 1)</f>
        <v>1</v>
      </c>
      <c r="AC55" s="23">
        <f>(Tableau14[[#This Row],[F&amp;S crashes tronçon ]]/Tableau14[[#This Row],[BILLION VEH KM TRAVELLED2015]])</f>
        <v>0</v>
      </c>
      <c r="AD55" s="26"/>
      <c r="AE55" s="27">
        <f>Tableau14[[#This Row],[F&amp;S crashes tronçon ]]/Tableau14[[#This Row],[LENTGH SECTION(KM)]]</f>
        <v>0</v>
      </c>
      <c r="AF55" s="8"/>
      <c r="AG55" s="8" t="s">
        <v>218</v>
      </c>
      <c r="AH55" s="8" t="s">
        <v>212</v>
      </c>
      <c r="AI55" s="8" t="s">
        <v>212</v>
      </c>
      <c r="AJ55" s="8" t="s">
        <v>212</v>
      </c>
      <c r="AK55" s="8" t="s">
        <v>218</v>
      </c>
      <c r="AL55" s="8"/>
      <c r="AM55" s="8"/>
      <c r="AN55" s="8"/>
      <c r="AO55" s="8"/>
      <c r="AP55" s="8">
        <v>0</v>
      </c>
      <c r="AQ55" s="8">
        <v>0</v>
      </c>
      <c r="AR55" s="8">
        <v>467</v>
      </c>
      <c r="AS55" s="8">
        <v>148</v>
      </c>
      <c r="AT55" s="8">
        <v>307</v>
      </c>
      <c r="AU55" s="8">
        <v>25</v>
      </c>
      <c r="AV55" s="44">
        <f>IF(Tableau14[[#This Row],[Moyenne Journalière Infrations 2016]]&gt;0, Tableau14[[#This Row],[Moyenne Journalière Infrations 2016]]-Tableau14[[#This Row],[Moyenne Journalière Infrations 2017]],0)</f>
        <v>160</v>
      </c>
      <c r="AW55" s="44">
        <f>IF(Tableau14[[#This Row],[Moyenne Journalière Infrations 2015]]&gt;0, Tableau14[[#This Row],[Moyenne Journalière Infrations 2015]]-Tableau14[[#This Row],[Moyenne Journalière Infrations 2016]],0)</f>
        <v>0</v>
      </c>
      <c r="AX55" s="8">
        <v>3</v>
      </c>
      <c r="AY55" s="8" t="s">
        <v>218</v>
      </c>
      <c r="AZ55" s="8" t="s">
        <v>417</v>
      </c>
      <c r="BA55" s="8" t="s">
        <v>420</v>
      </c>
      <c r="BB55" s="16">
        <v>1</v>
      </c>
      <c r="BC55" s="16">
        <v>1</v>
      </c>
      <c r="BD55" s="16">
        <f>Tableau14[[#This Row],[S crashes2016]]+Tableau14[[#This Row],[F crashes2016]]</f>
        <v>2</v>
      </c>
      <c r="BE55" s="12">
        <f>IF(Tableau14[[#This Row],[F crashes2016]] &lt;&gt; 0, Tableau14[[#This Row],[F &amp; S crashes2016]]/Tableau14[[#This Row],[F crashes2016]], 1)</f>
        <v>2</v>
      </c>
      <c r="BF55" s="8">
        <v>58634</v>
      </c>
      <c r="BG55" s="8">
        <v>703613</v>
      </c>
      <c r="BH55" s="16">
        <f>(Tableau14[[#This Row],[VEHIC KM / JOUR2016]]*365)/1000000000</f>
        <v>0.25681874500000001</v>
      </c>
      <c r="BI55" s="16">
        <f>(Tableau14[[#This Row],[F &amp; S crashes2016]]/Tableau14[[#This Row],[BILLION VEH KM TRAVELLED2016]])</f>
        <v>7.7875935418966398</v>
      </c>
      <c r="BJ55" t="s">
        <v>468</v>
      </c>
      <c r="BK55" s="16">
        <f>Tableau14[[#This Row],[F &amp; S crashes2016]]/4</f>
        <v>0.5</v>
      </c>
      <c r="BL55" s="77">
        <f>Tableau14[[#This Row],[CRASH RISK2016]]-Tableau14[[#This Row],[CRASH RISK2015]]</f>
        <v>-13.133468341746649</v>
      </c>
      <c r="BM55" s="77">
        <f>Tableau14[[#This Row],[CRASH DENSITY2016]]-Tableau14[[#This Row],[CRASH DENSITY2015]]</f>
        <v>-0.75</v>
      </c>
    </row>
    <row r="56" spans="1:65" ht="28.8" x14ac:dyDescent="0.3">
      <c r="A56" s="28">
        <f t="shared" si="0"/>
        <v>55</v>
      </c>
      <c r="B56" s="8" t="s">
        <v>186</v>
      </c>
      <c r="C56" s="18" t="s">
        <v>219</v>
      </c>
      <c r="D56" s="9" t="s">
        <v>193</v>
      </c>
      <c r="E56" s="10" t="s">
        <v>194</v>
      </c>
      <c r="F56" s="8">
        <v>35</v>
      </c>
      <c r="G56" s="8" t="s">
        <v>234</v>
      </c>
      <c r="H56" s="26">
        <v>2</v>
      </c>
      <c r="I56" s="26">
        <v>2</v>
      </c>
      <c r="J56" s="8">
        <f>Tableau14[[#This Row],[F crashes2015]]+Tableau14[[#This Row],[S crashes2015]]</f>
        <v>4</v>
      </c>
      <c r="K56" s="33">
        <f>IF(Tableau14[[#This Row],[F crashes2015]] &lt;&gt; 0, Tableau14[[#This Row],[F &amp; S crashes2015]]/Tableau14[[#This Row],[F crashes2015]], 1)</f>
        <v>2</v>
      </c>
      <c r="L56" s="8">
        <v>50325</v>
      </c>
      <c r="M56" s="8">
        <v>1006492</v>
      </c>
      <c r="N56" s="26">
        <f>(Tableau14[[#This Row],[VEHIC KM / JOUR2015]]*365)/1000000000</f>
        <v>0.36736957999999997</v>
      </c>
      <c r="O56" s="26">
        <f>(Tableau14[[#This Row],[F &amp; S crashes2015]]/Tableau14[[#This Row],[BILLION VEH KM TRAVELLED2015]])</f>
        <v>10.88821779963382</v>
      </c>
      <c r="P56" t="s">
        <v>147</v>
      </c>
      <c r="Q56" s="34">
        <f>Tableau14[[#This Row],[F &amp; S crashes2015]]/4</f>
        <v>1</v>
      </c>
      <c r="R56" s="11"/>
      <c r="S56" s="23">
        <f>Tableau14[[#This Row],[VEHIC KM / JOUR2015]]/Tableau14[[#This Row],[TMJA2015 (vehi/jour)]]</f>
        <v>19.999841033283655</v>
      </c>
      <c r="T56" s="8">
        <v>1</v>
      </c>
      <c r="U56" s="8">
        <v>1</v>
      </c>
      <c r="V56" s="8">
        <v>120</v>
      </c>
      <c r="W56" s="8">
        <v>29</v>
      </c>
      <c r="X56" s="8">
        <v>49</v>
      </c>
      <c r="Y56" s="8"/>
      <c r="Z56" s="8"/>
      <c r="AA56" s="26">
        <f>Tableau14[[#This Row],[F Crashes trancon]]+Tableau14[[#This Row],[S crashes trancon]]</f>
        <v>0</v>
      </c>
      <c r="AB56" s="23">
        <f>IF(Tableau14[[#This Row],[F Crashes trancon]]&lt;&gt; 0, Tableau14[[#This Row],[F&amp;S crashes tronçon ]]/Tableau14[[#This Row],[F Crashes trancon]], 1)</f>
        <v>1</v>
      </c>
      <c r="AC56" s="23">
        <f>(Tableau14[[#This Row],[F&amp;S crashes tronçon ]]/Tableau14[[#This Row],[BILLION VEH KM TRAVELLED2015]])</f>
        <v>0</v>
      </c>
      <c r="AD56" s="26"/>
      <c r="AE56" s="27">
        <f>Tableau14[[#This Row],[F&amp;S crashes tronçon ]]/Tableau14[[#This Row],[LENTGH SECTION(KM)]]</f>
        <v>0</v>
      </c>
      <c r="AF56" s="8"/>
      <c r="AG56" s="8" t="s">
        <v>218</v>
      </c>
      <c r="AH56" s="8" t="s">
        <v>211</v>
      </c>
      <c r="AI56" s="8" t="s">
        <v>211</v>
      </c>
      <c r="AJ56" s="8" t="s">
        <v>212</v>
      </c>
      <c r="AK56" s="8" t="s">
        <v>218</v>
      </c>
      <c r="AL56" s="8" t="s">
        <v>218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44">
        <f>IF(Tableau14[[#This Row],[Moyenne Journalière Infrations 2016]]&gt;0, Tableau14[[#This Row],[Moyenne Journalière Infrations 2016]]-Tableau14[[#This Row],[Moyenne Journalière Infrations 2017]],0)</f>
        <v>0</v>
      </c>
      <c r="AW56" s="44">
        <f>IF(Tableau14[[#This Row],[Moyenne Journalière Infrations 2015]]&gt;0, Tableau14[[#This Row],[Moyenne Journalière Infrations 2015]]-Tableau14[[#This Row],[Moyenne Journalière Infrations 2016]],0)</f>
        <v>0</v>
      </c>
      <c r="AX56" s="8" t="s">
        <v>218</v>
      </c>
      <c r="AY56" s="8" t="s">
        <v>218</v>
      </c>
      <c r="AZ56" s="8" t="s">
        <v>218</v>
      </c>
      <c r="BA56" s="8" t="s">
        <v>218</v>
      </c>
      <c r="BB56" s="8">
        <v>1</v>
      </c>
      <c r="BC56" s="8">
        <v>1</v>
      </c>
      <c r="BD56" s="8">
        <f>Tableau14[[#This Row],[S crashes2016]]+Tableau14[[#This Row],[F crashes2016]]</f>
        <v>2</v>
      </c>
      <c r="BE56" s="12">
        <f>IF(Tableau14[[#This Row],[F crashes2016]] &lt;&gt; 0, Tableau14[[#This Row],[F &amp; S crashes2016]]/Tableau14[[#This Row],[F crashes2016]], 1)</f>
        <v>2</v>
      </c>
      <c r="BF56" s="8">
        <v>53986</v>
      </c>
      <c r="BG56" s="8">
        <v>1079722</v>
      </c>
      <c r="BH56" s="8">
        <f>(Tableau14[[#This Row],[VEHIC KM / JOUR2016]]*365)/1000000000</f>
        <v>0.39409853</v>
      </c>
      <c r="BI56" s="8">
        <f>(Tableau14[[#This Row],[F &amp; S crashes2016]]/Tableau14[[#This Row],[BILLION VEH KM TRAVELLED2016]])</f>
        <v>5.0748730273112157</v>
      </c>
      <c r="BJ56" t="s">
        <v>468</v>
      </c>
      <c r="BK56" s="8">
        <f>Tableau14[[#This Row],[F &amp; S crashes2016]]/4</f>
        <v>0.5</v>
      </c>
      <c r="BL56" s="78">
        <f>Tableau14[[#This Row],[CRASH RISK2016]]-Tableau14[[#This Row],[CRASH RISK2015]]</f>
        <v>-5.8133447723226039</v>
      </c>
      <c r="BM56" s="78">
        <f>Tableau14[[#This Row],[CRASH DENSITY2016]]-Tableau14[[#This Row],[CRASH DENSITY2015]]</f>
        <v>-0.5</v>
      </c>
    </row>
    <row r="57" spans="1:65" x14ac:dyDescent="0.3">
      <c r="A57" s="28">
        <f t="shared" si="0"/>
        <v>56</v>
      </c>
      <c r="B57" s="32" t="s">
        <v>187</v>
      </c>
      <c r="C57" s="11" t="s">
        <v>177</v>
      </c>
      <c r="D57" s="9" t="s">
        <v>191</v>
      </c>
      <c r="E57" s="10" t="s">
        <v>192</v>
      </c>
      <c r="F57" s="8">
        <v>5.8</v>
      </c>
      <c r="G57" s="8" t="s">
        <v>207</v>
      </c>
      <c r="H57" s="26">
        <v>1</v>
      </c>
      <c r="I57" s="26">
        <v>1</v>
      </c>
      <c r="J57" s="8">
        <f>Tableau14[[#This Row],[F crashes2015]]+Tableau14[[#This Row],[S crashes2015]]</f>
        <v>2</v>
      </c>
      <c r="K57" s="33">
        <f>IF(Tableau14[[#This Row],[F crashes2015]] &lt;&gt; 0, Tableau14[[#This Row],[F &amp; S crashes2015]]/Tableau14[[#This Row],[F crashes2015]], 1)</f>
        <v>2</v>
      </c>
      <c r="L57" s="8">
        <v>55874</v>
      </c>
      <c r="M57" s="8">
        <v>726356</v>
      </c>
      <c r="N57" s="26">
        <f>(Tableau14[[#This Row],[VEHIC KM / JOUR2015]]*365)/1000000000</f>
        <v>0.26511994</v>
      </c>
      <c r="O57" s="26">
        <f>(Tableau14[[#This Row],[F &amp; S crashes2015]]/Tableau14[[#This Row],[BILLION VEH KM TRAVELLED2015]])</f>
        <v>7.5437554791239014</v>
      </c>
      <c r="P57" t="s">
        <v>468</v>
      </c>
      <c r="Q57" s="34">
        <f>Tableau14[[#This Row],[F &amp; S crashes2015]]/4</f>
        <v>0.5</v>
      </c>
      <c r="R57" s="11"/>
      <c r="S57" s="23">
        <f>Tableau14[[#This Row],[VEHIC KM / JOUR2015]]/Tableau14[[#This Row],[TMJA2015 (vehi/jour)]]</f>
        <v>12.999892615527795</v>
      </c>
      <c r="T57" s="8">
        <v>1</v>
      </c>
      <c r="U57" s="8">
        <v>1</v>
      </c>
      <c r="V57" s="8">
        <v>120</v>
      </c>
      <c r="W57" s="8">
        <v>0</v>
      </c>
      <c r="X57" s="8">
        <v>13</v>
      </c>
      <c r="Y57" s="8"/>
      <c r="Z57" s="8"/>
      <c r="AA57" s="26">
        <f>Tableau14[[#This Row],[F Crashes trancon]]+Tableau14[[#This Row],[S crashes trancon]]</f>
        <v>0</v>
      </c>
      <c r="AB57" s="23">
        <f>IF(Tableau14[[#This Row],[F Crashes trancon]]&lt;&gt; 0, Tableau14[[#This Row],[F&amp;S crashes tronçon ]]/Tableau14[[#This Row],[F Crashes trancon]], 1)</f>
        <v>1</v>
      </c>
      <c r="AC57" s="23">
        <f>(Tableau14[[#This Row],[F&amp;S crashes tronçon ]]/Tableau14[[#This Row],[BILLION VEH KM TRAVELLED2015]])</f>
        <v>0</v>
      </c>
      <c r="AD57" s="26"/>
      <c r="AE57" s="27">
        <f>Tableau14[[#This Row],[F&amp;S crashes tronçon ]]/Tableau14[[#This Row],[LENTGH SECTION(KM)]]</f>
        <v>0</v>
      </c>
      <c r="AF57" s="8"/>
      <c r="AG57" s="8" t="s">
        <v>218</v>
      </c>
      <c r="AH57" s="8" t="s">
        <v>211</v>
      </c>
      <c r="AI57" s="8" t="s">
        <v>212</v>
      </c>
      <c r="AJ57" s="8" t="s">
        <v>212</v>
      </c>
      <c r="AK57" s="8" t="s">
        <v>218</v>
      </c>
      <c r="AL57" s="8" t="s">
        <v>218</v>
      </c>
      <c r="AM57" s="8">
        <v>0</v>
      </c>
      <c r="AN57" s="45">
        <v>0</v>
      </c>
      <c r="AO57" s="45">
        <v>0</v>
      </c>
      <c r="AP57" s="8">
        <v>0</v>
      </c>
      <c r="AQ57" s="8">
        <v>0</v>
      </c>
      <c r="AR57" s="45">
        <v>0</v>
      </c>
      <c r="AS57" s="45">
        <v>0</v>
      </c>
      <c r="AT57" s="45">
        <v>0</v>
      </c>
      <c r="AU57" s="45">
        <v>0</v>
      </c>
      <c r="AV57" s="44">
        <f>IF(Tableau14[[#This Row],[Moyenne Journalière Infrations 2016]]&gt;0, Tableau14[[#This Row],[Moyenne Journalière Infrations 2016]]-Tableau14[[#This Row],[Moyenne Journalière Infrations 2017]],0)</f>
        <v>0</v>
      </c>
      <c r="AW57" s="44">
        <f>IF(Tableau14[[#This Row],[Moyenne Journalière Infrations 2015]]&gt;0, Tableau14[[#This Row],[Moyenne Journalière Infrations 2015]]-Tableau14[[#This Row],[Moyenne Journalière Infrations 2016]],0)</f>
        <v>0</v>
      </c>
      <c r="AX57" s="8" t="s">
        <v>218</v>
      </c>
      <c r="AY57" s="8" t="s">
        <v>218</v>
      </c>
      <c r="AZ57" s="8" t="s">
        <v>218</v>
      </c>
      <c r="BA57" s="8" t="s">
        <v>218</v>
      </c>
      <c r="BB57" s="8">
        <v>1</v>
      </c>
      <c r="BC57" s="8">
        <v>1</v>
      </c>
      <c r="BD57" s="8">
        <f>Tableau14[[#This Row],[S crashes2016]]+Tableau14[[#This Row],[F crashes2016]]</f>
        <v>2</v>
      </c>
      <c r="BE57" s="12">
        <f>IF(Tableau14[[#This Row],[F crashes2016]] &lt;&gt; 0, Tableau14[[#This Row],[F &amp; S crashes2016]]/Tableau14[[#This Row],[F crashes2016]], 1)</f>
        <v>2</v>
      </c>
      <c r="BF57" s="8">
        <v>58966</v>
      </c>
      <c r="BG57" s="8">
        <v>766562</v>
      </c>
      <c r="BH57" s="8">
        <f>(Tableau14[[#This Row],[VEHIC KM / JOUR2016]]*365)/1000000000</f>
        <v>0.27979513</v>
      </c>
      <c r="BI57" s="8">
        <f>(Tableau14[[#This Row],[F &amp; S crashes2016]]/Tableau14[[#This Row],[BILLION VEH KM TRAVELLED2016]])</f>
        <v>7.1480872451210997</v>
      </c>
      <c r="BJ57" t="s">
        <v>468</v>
      </c>
      <c r="BK57" s="8">
        <f>Tableau14[[#This Row],[F &amp; S crashes2016]]/4</f>
        <v>0.5</v>
      </c>
      <c r="BL57" s="78">
        <f>Tableau14[[#This Row],[CRASH RISK2016]]-Tableau14[[#This Row],[CRASH RISK2015]]</f>
        <v>-0.39566823400280171</v>
      </c>
      <c r="BM57" s="78">
        <f>Tableau14[[#This Row],[CRASH DENSITY2016]]-Tableau14[[#This Row],[CRASH DENSITY2015]]</f>
        <v>0</v>
      </c>
    </row>
    <row r="58" spans="1:65" ht="28.8" x14ac:dyDescent="0.3">
      <c r="A58" s="28">
        <f t="shared" si="0"/>
        <v>57</v>
      </c>
      <c r="B58" s="53" t="s">
        <v>188</v>
      </c>
      <c r="C58" s="11" t="s">
        <v>178</v>
      </c>
      <c r="D58" s="9" t="s">
        <v>191</v>
      </c>
      <c r="E58" s="10" t="s">
        <v>192</v>
      </c>
      <c r="F58" s="8">
        <v>3.9</v>
      </c>
      <c r="G58" s="8" t="s">
        <v>207</v>
      </c>
      <c r="H58" s="26">
        <v>2</v>
      </c>
      <c r="I58" s="26">
        <v>1</v>
      </c>
      <c r="J58" s="8">
        <f>Tableau14[[#This Row],[F crashes2015]]+Tableau14[[#This Row],[S crashes2015]]</f>
        <v>3</v>
      </c>
      <c r="K58" s="33">
        <f>IF(Tableau14[[#This Row],[F crashes2015]] &lt;&gt; 0, Tableau14[[#This Row],[F &amp; S crashes2015]]/Tableau14[[#This Row],[F crashes2015]], 1)</f>
        <v>1.5</v>
      </c>
      <c r="L58" s="8">
        <v>55874</v>
      </c>
      <c r="M58" s="8">
        <v>726356</v>
      </c>
      <c r="N58" s="26">
        <f>(Tableau14[[#This Row],[VEHIC KM / JOUR2015]]*365)/1000000000</f>
        <v>0.26511994</v>
      </c>
      <c r="O58" s="26">
        <f>(Tableau14[[#This Row],[F &amp; S crashes2015]]/Tableau14[[#This Row],[BILLION VEH KM TRAVELLED2015]])</f>
        <v>11.315633218685852</v>
      </c>
      <c r="P58" t="s">
        <v>147</v>
      </c>
      <c r="Q58" s="34">
        <f>Tableau14[[#This Row],[F &amp; S crashes2015]]/4</f>
        <v>0.75</v>
      </c>
      <c r="R58" s="11"/>
      <c r="S58" s="23">
        <f>Tableau14[[#This Row],[VEHIC KM / JOUR2015]]/Tableau14[[#This Row],[TMJA2015 (vehi/jour)]]</f>
        <v>12.999892615527795</v>
      </c>
      <c r="T58" s="8">
        <v>1</v>
      </c>
      <c r="U58" s="8">
        <v>1</v>
      </c>
      <c r="V58" s="8">
        <v>120</v>
      </c>
      <c r="W58" s="8">
        <v>0</v>
      </c>
      <c r="X58" s="8">
        <v>13</v>
      </c>
      <c r="Y58" s="8"/>
      <c r="Z58" s="8"/>
      <c r="AA58" s="26">
        <f>Tableau14[[#This Row],[F Crashes trancon]]+Tableau14[[#This Row],[S crashes trancon]]</f>
        <v>0</v>
      </c>
      <c r="AB58" s="23">
        <f>IF(Tableau14[[#This Row],[F Crashes trancon]]&lt;&gt; 0, Tableau14[[#This Row],[F&amp;S crashes tronçon ]]/Tableau14[[#This Row],[F Crashes trancon]], 1)</f>
        <v>1</v>
      </c>
      <c r="AC58" s="23">
        <f>(Tableau14[[#This Row],[F&amp;S crashes tronçon ]]/Tableau14[[#This Row],[BILLION VEH KM TRAVELLED2015]])</f>
        <v>0</v>
      </c>
      <c r="AD58" s="26"/>
      <c r="AE58" s="27">
        <f>Tableau14[[#This Row],[F&amp;S crashes tronçon ]]/Tableau14[[#This Row],[LENTGH SECTION(KM)]]</f>
        <v>0</v>
      </c>
      <c r="AF58" s="8"/>
      <c r="AG58" s="8" t="s">
        <v>218</v>
      </c>
      <c r="AH58" s="8" t="s">
        <v>211</v>
      </c>
      <c r="AI58" s="8" t="s">
        <v>212</v>
      </c>
      <c r="AJ58" s="8" t="s">
        <v>212</v>
      </c>
      <c r="AK58" s="8" t="s">
        <v>218</v>
      </c>
      <c r="AL58" s="40" t="s">
        <v>218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44">
        <f>IF(Tableau14[[#This Row],[Moyenne Journalière Infrations 2016]]&gt;0, Tableau14[[#This Row],[Moyenne Journalière Infrations 2016]]-Tableau14[[#This Row],[Moyenne Journalière Infrations 2017]],0)</f>
        <v>0</v>
      </c>
      <c r="AW58" s="44">
        <f>IF(Tableau14[[#This Row],[Moyenne Journalière Infrations 2015]]&gt;0, Tableau14[[#This Row],[Moyenne Journalière Infrations 2015]]-Tableau14[[#This Row],[Moyenne Journalière Infrations 2016]],0)</f>
        <v>0</v>
      </c>
      <c r="AX58" s="8" t="s">
        <v>218</v>
      </c>
      <c r="AY58" s="8" t="s">
        <v>218</v>
      </c>
      <c r="AZ58" s="8" t="s">
        <v>218</v>
      </c>
      <c r="BA58" s="8" t="s">
        <v>218</v>
      </c>
      <c r="BB58" s="8">
        <v>1</v>
      </c>
      <c r="BC58" s="8">
        <v>1</v>
      </c>
      <c r="BD58" s="8">
        <f>Tableau14[[#This Row],[S crashes2016]]+Tableau14[[#This Row],[F crashes2016]]</f>
        <v>2</v>
      </c>
      <c r="BE58" s="12">
        <f>IF(Tableau14[[#This Row],[F crashes2016]] &lt;&gt; 0, Tableau14[[#This Row],[F &amp; S crashes2016]]/Tableau14[[#This Row],[F crashes2016]], 1)</f>
        <v>2</v>
      </c>
      <c r="BF58" s="8">
        <v>58966</v>
      </c>
      <c r="BG58" s="8">
        <v>766562</v>
      </c>
      <c r="BH58" s="8">
        <f>(Tableau14[[#This Row],[VEHIC KM / JOUR2016]]*365)/1000000000</f>
        <v>0.27979513</v>
      </c>
      <c r="BI58" s="8">
        <f>(Tableau14[[#This Row],[F &amp; S crashes2016]]/Tableau14[[#This Row],[BILLION VEH KM TRAVELLED2016]])</f>
        <v>7.1480872451210997</v>
      </c>
      <c r="BJ58" t="s">
        <v>468</v>
      </c>
      <c r="BK58" s="8">
        <f>Tableau14[[#This Row],[F &amp; S crashes2016]]/4</f>
        <v>0.5</v>
      </c>
      <c r="BL58" s="78">
        <f>Tableau14[[#This Row],[CRASH RISK2016]]-Tableau14[[#This Row],[CRASH RISK2015]]</f>
        <v>-4.167545973564752</v>
      </c>
      <c r="BM58" s="78">
        <f>Tableau14[[#This Row],[CRASH DENSITY2016]]-Tableau14[[#This Row],[CRASH DENSITY2015]]</f>
        <v>-0.25</v>
      </c>
    </row>
    <row r="59" spans="1:65" ht="28.8" x14ac:dyDescent="0.3">
      <c r="A59" s="28">
        <f t="shared" si="0"/>
        <v>58</v>
      </c>
      <c r="B59" s="47" t="s">
        <v>312</v>
      </c>
      <c r="C59" s="11" t="s">
        <v>323</v>
      </c>
      <c r="D59" s="9" t="s">
        <v>356</v>
      </c>
      <c r="E59" s="10" t="s">
        <v>357</v>
      </c>
      <c r="F59" s="8">
        <v>65</v>
      </c>
      <c r="G59" s="8" t="s">
        <v>207</v>
      </c>
      <c r="H59" s="26">
        <v>1</v>
      </c>
      <c r="I59" s="26">
        <v>0</v>
      </c>
      <c r="J59" s="8">
        <f>Tableau14[[#This Row],[F crashes2015]]+Tableau14[[#This Row],[S crashes2015]]</f>
        <v>1</v>
      </c>
      <c r="K59" s="33">
        <f>IF(Tableau14[[#This Row],[F crashes2015]] &lt;&gt; 0, Tableau14[[#This Row],[F &amp; S crashes2015]]/Tableau14[[#This Row],[F crashes2015]], 1)</f>
        <v>1</v>
      </c>
      <c r="L59" s="8">
        <v>13694</v>
      </c>
      <c r="M59" s="8">
        <v>862701</v>
      </c>
      <c r="N59" s="26">
        <f>(Tableau14[[#This Row],[VEHIC KM / JOUR2015]]*365)/1000000000</f>
        <v>0.31488586499999999</v>
      </c>
      <c r="O59" s="26">
        <f>(Tableau14[[#This Row],[F &amp; S crashes2015]]/Tableau14[[#This Row],[BILLION VEH KM TRAVELLED2015]])</f>
        <v>3.1757538560836958</v>
      </c>
      <c r="P59" t="s">
        <v>468</v>
      </c>
      <c r="Q59" s="34">
        <f>Tableau14[[#This Row],[F &amp; S crashes2015]]/4</f>
        <v>0.25</v>
      </c>
      <c r="R59" s="11"/>
      <c r="S59" s="23">
        <f>Tableau14[[#This Row],[VEHIC KM / JOUR2015]]/Tableau14[[#This Row],[TMJA2015 (vehi/jour)]]</f>
        <v>62.998466481670803</v>
      </c>
      <c r="T59" s="8"/>
      <c r="U59" s="8"/>
      <c r="V59" s="8"/>
      <c r="W59" s="8"/>
      <c r="X59" s="8"/>
      <c r="Y59" s="8"/>
      <c r="Z59" s="8"/>
      <c r="AA59" s="26">
        <f>Tableau14[[#This Row],[F Crashes trancon]]+Tableau14[[#This Row],[S crashes trancon]]</f>
        <v>0</v>
      </c>
      <c r="AB59" s="23">
        <f>IF(Tableau14[[#This Row],[F Crashes trancon]]&lt;&gt; 0, Tableau14[[#This Row],[F&amp;S crashes tronçon ]]/Tableau14[[#This Row],[F Crashes trancon]], 1)</f>
        <v>1</v>
      </c>
      <c r="AC59" s="23">
        <f>(Tableau14[[#This Row],[F&amp;S crashes tronçon ]]/Tableau14[[#This Row],[BILLION VEH KM TRAVELLED2015]])</f>
        <v>0</v>
      </c>
      <c r="AD59" s="26"/>
      <c r="AE59" s="27">
        <f>Tableau14[[#This Row],[F&amp;S crashes tronçon ]]/Tableau14[[#This Row],[LENTGH SECTION(KM)]]</f>
        <v>0</v>
      </c>
      <c r="AF59" s="8"/>
      <c r="AG59" s="8" t="s">
        <v>218</v>
      </c>
      <c r="AH59" s="8" t="s">
        <v>211</v>
      </c>
      <c r="AI59" s="8" t="s">
        <v>212</v>
      </c>
      <c r="AJ59" s="8" t="s">
        <v>212</v>
      </c>
      <c r="AK59" s="8" t="s">
        <v>218</v>
      </c>
      <c r="AL59" s="40"/>
      <c r="AM59" s="8"/>
      <c r="AN59" s="8"/>
      <c r="AO59" s="8"/>
      <c r="AP59" s="8">
        <v>224</v>
      </c>
      <c r="AQ59" s="8">
        <v>168</v>
      </c>
      <c r="AR59" s="8">
        <v>230</v>
      </c>
      <c r="AS59" s="8">
        <v>291</v>
      </c>
      <c r="AT59" s="8">
        <v>0</v>
      </c>
      <c r="AU59" s="8">
        <v>0</v>
      </c>
      <c r="AV59" s="44">
        <f>IF(Tableau14[[#This Row],[Moyenne Journalière Infrations 2016]]&gt;0, Tableau14[[#This Row],[Moyenne Journalière Infrations 2016]]-Tableau14[[#This Row],[Moyenne Journalière Infrations 2017]],0)</f>
        <v>230</v>
      </c>
      <c r="AW59" s="44">
        <f>IF(Tableau14[[#This Row],[Moyenne Journalière Infrations 2015]]&gt;0, Tableau14[[#This Row],[Moyenne Journalière Infrations 2015]]-Tableau14[[#This Row],[Moyenne Journalière Infrations 2016]],0)</f>
        <v>-6</v>
      </c>
      <c r="AX59" s="8">
        <v>2</v>
      </c>
      <c r="AY59" s="8" t="s">
        <v>218</v>
      </c>
      <c r="AZ59" s="8" t="s">
        <v>417</v>
      </c>
      <c r="BA59" s="8" t="s">
        <v>421</v>
      </c>
      <c r="BB59" s="8">
        <v>0</v>
      </c>
      <c r="BC59" s="8">
        <v>0</v>
      </c>
      <c r="BD59" s="8">
        <f>Tableau14[[#This Row],[S crashes2016]]+Tableau14[[#This Row],[F crashes2016]]</f>
        <v>0</v>
      </c>
      <c r="BE59" s="12">
        <f>IF(Tableau14[[#This Row],[F crashes2016]] &lt;&gt; 0, Tableau14[[#This Row],[F &amp; S crashes2016]]/Tableau14[[#This Row],[F crashes2016]], 1)</f>
        <v>1</v>
      </c>
      <c r="BF59" s="8">
        <v>14646</v>
      </c>
      <c r="BG59" s="8">
        <v>922723</v>
      </c>
      <c r="BH59" s="8">
        <f>(Tableau14[[#This Row],[VEHIC KM / JOUR2016]]*365)/1000000000</f>
        <v>0.33679389500000001</v>
      </c>
      <c r="BI59" s="8">
        <f>(Tableau14[[#This Row],[F &amp; S crashes2016]]/Tableau14[[#This Row],[BILLION VEH KM TRAVELLED2016]])</f>
        <v>0</v>
      </c>
      <c r="BJ59" s="8" t="s">
        <v>143</v>
      </c>
      <c r="BK59" s="8">
        <f>Tableau14[[#This Row],[F &amp; S crashes2016]]/4</f>
        <v>0</v>
      </c>
      <c r="BL59" s="78">
        <f>Tableau14[[#This Row],[CRASH RISK2016]]-Tableau14[[#This Row],[CRASH RISK2015]]</f>
        <v>-3.1757538560836958</v>
      </c>
      <c r="BM59" s="78">
        <f>Tableau14[[#This Row],[CRASH DENSITY2016]]-Tableau14[[#This Row],[CRASH DENSITY2015]]</f>
        <v>-0.25</v>
      </c>
    </row>
    <row r="60" spans="1:65" ht="28.8" x14ac:dyDescent="0.3">
      <c r="A60" s="28">
        <f t="shared" si="0"/>
        <v>59</v>
      </c>
      <c r="B60" s="41" t="s">
        <v>235</v>
      </c>
      <c r="C60" s="11" t="s">
        <v>246</v>
      </c>
      <c r="D60" s="9" t="s">
        <v>257</v>
      </c>
      <c r="E60" s="10" t="s">
        <v>258</v>
      </c>
      <c r="F60" s="8">
        <v>156.79</v>
      </c>
      <c r="G60" s="8" t="s">
        <v>207</v>
      </c>
      <c r="H60" s="26">
        <v>0</v>
      </c>
      <c r="I60" s="26">
        <v>0</v>
      </c>
      <c r="J60" s="8">
        <f>Tableau14[[#This Row],[F crashes2015]]+Tableau14[[#This Row],[S crashes2015]]</f>
        <v>0</v>
      </c>
      <c r="K60" s="33">
        <f>IF(Tableau14[[#This Row],[F crashes2015]] &lt;&gt; 0, Tableau14[[#This Row],[F &amp; S crashes2015]]/Tableau14[[#This Row],[F crashes2015]], 1)</f>
        <v>1</v>
      </c>
      <c r="L60" s="8">
        <v>13177</v>
      </c>
      <c r="M60" s="8">
        <v>421652</v>
      </c>
      <c r="N60" s="26">
        <f>(Tableau14[[#This Row],[VEHIC KM / JOUR2015]]*365)/1000000000</f>
        <v>0.15390297999999999</v>
      </c>
      <c r="O60" s="26">
        <f>(Tableau14[[#This Row],[F &amp; S crashes2015]]/Tableau14[[#This Row],[BILLION VEH KM TRAVELLED2015]])</f>
        <v>0</v>
      </c>
      <c r="P60" s="11" t="s">
        <v>143</v>
      </c>
      <c r="Q60" s="34">
        <f>Tableau14[[#This Row],[F &amp; S crashes2015]]/4</f>
        <v>0</v>
      </c>
      <c r="R60" s="11"/>
      <c r="S60" s="23">
        <f>Tableau14[[#This Row],[VEHIC KM / JOUR2015]]/Tableau14[[#This Row],[TMJA2015 (vehi/jour)]]</f>
        <v>31.999089322304016</v>
      </c>
      <c r="T60" s="8"/>
      <c r="U60" s="8"/>
      <c r="V60" s="8"/>
      <c r="W60" s="8"/>
      <c r="X60" s="8"/>
      <c r="Y60" s="8"/>
      <c r="Z60" s="8"/>
      <c r="AA60" s="26">
        <f>Tableau14[[#This Row],[F Crashes trancon]]+Tableau14[[#This Row],[S crashes trancon]]</f>
        <v>0</v>
      </c>
      <c r="AB60" s="23">
        <f>IF(Tableau14[[#This Row],[F Crashes trancon]]&lt;&gt; 0, Tableau14[[#This Row],[F&amp;S crashes tronçon ]]/Tableau14[[#This Row],[F Crashes trancon]], 1)</f>
        <v>1</v>
      </c>
      <c r="AC60" s="23">
        <f>(Tableau14[[#This Row],[F&amp;S crashes tronçon ]]/Tableau14[[#This Row],[BILLION VEH KM TRAVELLED2015]])</f>
        <v>0</v>
      </c>
      <c r="AD60" s="26"/>
      <c r="AE60" s="27">
        <f>Tableau14[[#This Row],[F&amp;S crashes tronçon ]]/Tableau14[[#This Row],[LENTGH SECTION(KM)]]</f>
        <v>0</v>
      </c>
      <c r="AF60" s="8"/>
      <c r="AG60" s="8" t="s">
        <v>218</v>
      </c>
      <c r="AH60" s="8" t="s">
        <v>212</v>
      </c>
      <c r="AI60" s="8" t="s">
        <v>212</v>
      </c>
      <c r="AJ60" s="8" t="s">
        <v>211</v>
      </c>
      <c r="AK60" s="8" t="s">
        <v>218</v>
      </c>
      <c r="AL60" s="40" t="s">
        <v>218</v>
      </c>
      <c r="AM60" s="8">
        <v>0</v>
      </c>
      <c r="AN60" s="16">
        <v>38696</v>
      </c>
      <c r="AO60" s="16">
        <v>48796</v>
      </c>
      <c r="AP60" s="8">
        <v>0</v>
      </c>
      <c r="AQ60" s="8">
        <v>0</v>
      </c>
      <c r="AR60" s="16">
        <v>170</v>
      </c>
      <c r="AS60" s="16">
        <v>227</v>
      </c>
      <c r="AT60" s="16">
        <v>140</v>
      </c>
      <c r="AU60" s="16">
        <v>348</v>
      </c>
      <c r="AV60" s="44">
        <f>IF(Tableau14[[#This Row],[Moyenne Journalière Infrations 2016]]&gt;0, Tableau14[[#This Row],[Moyenne Journalière Infrations 2016]]-Tableau14[[#This Row],[Moyenne Journalière Infrations 2017]],0)</f>
        <v>30</v>
      </c>
      <c r="AW60" s="44">
        <f>IF(Tableau14[[#This Row],[Moyenne Journalière Infrations 2015]]&gt;0, Tableau14[[#This Row],[Moyenne Journalière Infrations 2015]]-Tableau14[[#This Row],[Moyenne Journalière Infrations 2016]],0)</f>
        <v>0</v>
      </c>
      <c r="AX60" s="8">
        <v>2</v>
      </c>
      <c r="AY60" s="8" t="s">
        <v>218</v>
      </c>
      <c r="AZ60" s="8" t="s">
        <v>417</v>
      </c>
      <c r="BA60" s="8" t="s">
        <v>422</v>
      </c>
      <c r="BB60" s="8">
        <v>0</v>
      </c>
      <c r="BC60" s="8">
        <v>0</v>
      </c>
      <c r="BD60" s="8">
        <f>Tableau14[[#This Row],[S crashes2016]]+Tableau14[[#This Row],[F crashes2016]]</f>
        <v>0</v>
      </c>
      <c r="BE60" s="12">
        <f>IF(Tableau14[[#This Row],[F crashes2016]] &lt;&gt; 0, Tableau14[[#This Row],[F &amp; S crashes2016]]/Tableau14[[#This Row],[F crashes2016]], 1)</f>
        <v>1</v>
      </c>
      <c r="BF60" s="8">
        <v>14075</v>
      </c>
      <c r="BG60" s="8">
        <v>450388</v>
      </c>
      <c r="BH60" s="8">
        <f>(Tableau14[[#This Row],[VEHIC KM / JOUR2016]]*365)/1000000000</f>
        <v>0.16439161999999999</v>
      </c>
      <c r="BI60" s="8">
        <f>(Tableau14[[#This Row],[F &amp; S crashes2016]]/Tableau14[[#This Row],[BILLION VEH KM TRAVELLED2016]])</f>
        <v>0</v>
      </c>
      <c r="BJ60" s="8" t="s">
        <v>143</v>
      </c>
      <c r="BK60" s="8">
        <f>Tableau14[[#This Row],[F &amp; S crashes2016]]/4</f>
        <v>0</v>
      </c>
      <c r="BL60" s="78">
        <f>Tableau14[[#This Row],[CRASH RISK2016]]-Tableau14[[#This Row],[CRASH RISK2015]]</f>
        <v>0</v>
      </c>
      <c r="BM60" s="78">
        <f>Tableau14[[#This Row],[CRASH DENSITY2016]]-Tableau14[[#This Row],[CRASH DENSITY2015]]</f>
        <v>0</v>
      </c>
    </row>
    <row r="61" spans="1:65" ht="28.8" x14ac:dyDescent="0.3">
      <c r="A61" s="28">
        <f t="shared" si="0"/>
        <v>60</v>
      </c>
      <c r="B61" s="41" t="s">
        <v>236</v>
      </c>
      <c r="C61" s="11" t="s">
        <v>247</v>
      </c>
      <c r="D61" s="9" t="s">
        <v>259</v>
      </c>
      <c r="E61" s="10" t="s">
        <v>260</v>
      </c>
      <c r="F61" s="8">
        <v>194</v>
      </c>
      <c r="G61" s="8" t="s">
        <v>207</v>
      </c>
      <c r="H61" s="26">
        <v>0</v>
      </c>
      <c r="I61" s="26">
        <v>1</v>
      </c>
      <c r="J61" s="8">
        <f>Tableau14[[#This Row],[F crashes2015]]+Tableau14[[#This Row],[S crashes2015]]</f>
        <v>1</v>
      </c>
      <c r="K61" s="33">
        <f>IF(Tableau14[[#This Row],[F crashes2015]] &lt;&gt; 0, Tableau14[[#This Row],[F &amp; S crashes2015]]/Tableau14[[#This Row],[F crashes2015]], 1)</f>
        <v>1</v>
      </c>
      <c r="L61" s="8">
        <v>13054</v>
      </c>
      <c r="M61" s="8">
        <v>496058</v>
      </c>
      <c r="N61" s="26">
        <f>(Tableau14[[#This Row],[VEHIC KM / JOUR2015]]*365)/1000000000</f>
        <v>0.18106116999999999</v>
      </c>
      <c r="O61" s="26">
        <f>(Tableau14[[#This Row],[F &amp; S crashes2015]]/Tableau14[[#This Row],[BILLION VEH KM TRAVELLED2015]])</f>
        <v>5.5229953501349849</v>
      </c>
      <c r="P61" t="s">
        <v>147</v>
      </c>
      <c r="Q61" s="34">
        <f>Tableau14[[#This Row],[F &amp; S crashes2015]]/4</f>
        <v>0.25</v>
      </c>
      <c r="R61" s="11"/>
      <c r="S61" s="23">
        <f>Tableau14[[#This Row],[VEHIC KM / JOUR2015]]/Tableau14[[#This Row],[TMJA2015 (vehi/jour)]]</f>
        <v>38.000459629232417</v>
      </c>
      <c r="T61" s="8"/>
      <c r="U61" s="8"/>
      <c r="V61" s="8"/>
      <c r="W61" s="8"/>
      <c r="X61" s="8"/>
      <c r="Y61" s="8"/>
      <c r="Z61" s="8"/>
      <c r="AA61" s="26">
        <f>Tableau14[[#This Row],[F Crashes trancon]]+Tableau14[[#This Row],[S crashes trancon]]</f>
        <v>0</v>
      </c>
      <c r="AB61" s="23">
        <f>IF(Tableau14[[#This Row],[F Crashes trancon]]&lt;&gt; 0, Tableau14[[#This Row],[F&amp;S crashes tronçon ]]/Tableau14[[#This Row],[F Crashes trancon]], 1)</f>
        <v>1</v>
      </c>
      <c r="AC61" s="23">
        <f>(Tableau14[[#This Row],[F&amp;S crashes tronçon ]]/Tableau14[[#This Row],[BILLION VEH KM TRAVELLED2015]])</f>
        <v>0</v>
      </c>
      <c r="AD61" s="26"/>
      <c r="AE61" s="27">
        <f>Tableau14[[#This Row],[F&amp;S crashes tronçon ]]/Tableau14[[#This Row],[LENTGH SECTION(KM)]]</f>
        <v>0</v>
      </c>
      <c r="AF61" s="8"/>
      <c r="AG61" s="8" t="s">
        <v>218</v>
      </c>
      <c r="AH61" s="8" t="s">
        <v>211</v>
      </c>
      <c r="AI61" s="8" t="s">
        <v>211</v>
      </c>
      <c r="AJ61" s="8" t="s">
        <v>211</v>
      </c>
      <c r="AK61" s="8" t="s">
        <v>218</v>
      </c>
      <c r="AL61" s="40" t="s">
        <v>218</v>
      </c>
      <c r="AM61" s="16">
        <v>2606</v>
      </c>
      <c r="AN61" s="16">
        <v>58078</v>
      </c>
      <c r="AO61" s="16">
        <v>44583</v>
      </c>
      <c r="AP61" s="16">
        <v>217</v>
      </c>
      <c r="AQ61" s="16">
        <v>12</v>
      </c>
      <c r="AR61" s="16">
        <v>176</v>
      </c>
      <c r="AS61" s="16">
        <v>329</v>
      </c>
      <c r="AT61" s="16">
        <v>125</v>
      </c>
      <c r="AU61" s="16">
        <v>354</v>
      </c>
      <c r="AV61" s="44">
        <f>IF(Tableau14[[#This Row],[Moyenne Journalière Infrations 2016]]&gt;0, Tableau14[[#This Row],[Moyenne Journalière Infrations 2016]]-Tableau14[[#This Row],[Moyenne Journalière Infrations 2017]],0)</f>
        <v>51</v>
      </c>
      <c r="AW61" s="44">
        <f>IF(Tableau14[[#This Row],[Moyenne Journalière Infrations 2015]]&gt;0, Tableau14[[#This Row],[Moyenne Journalière Infrations 2015]]-Tableau14[[#This Row],[Moyenne Journalière Infrations 2016]],0)</f>
        <v>41</v>
      </c>
      <c r="AX61" s="8">
        <v>2</v>
      </c>
      <c r="AY61" s="8" t="s">
        <v>218</v>
      </c>
      <c r="AZ61" s="8" t="s">
        <v>417</v>
      </c>
      <c r="BA61" s="8" t="s">
        <v>423</v>
      </c>
      <c r="BB61" s="8">
        <v>0</v>
      </c>
      <c r="BC61" s="8">
        <v>0</v>
      </c>
      <c r="BD61" s="8">
        <f>Tableau14[[#This Row],[S crashes2016]]+Tableau14[[#This Row],[F crashes2016]]</f>
        <v>0</v>
      </c>
      <c r="BE61" s="12">
        <f>IF(Tableau14[[#This Row],[F crashes2016]] &lt;&gt; 0, Tableau14[[#This Row],[F &amp; S crashes2016]]/Tableau14[[#This Row],[F crashes2016]], 1)</f>
        <v>1</v>
      </c>
      <c r="BF61" s="8">
        <v>13922</v>
      </c>
      <c r="BG61" s="8">
        <v>529051</v>
      </c>
      <c r="BH61" s="8">
        <f>(Tableau14[[#This Row],[VEHIC KM / JOUR2016]]*365)/1000000000</f>
        <v>0.19310361500000001</v>
      </c>
      <c r="BI61" s="8">
        <f>(Tableau14[[#This Row],[F &amp; S crashes2016]]/Tableau14[[#This Row],[BILLION VEH KM TRAVELLED2016]])</f>
        <v>0</v>
      </c>
      <c r="BJ61" s="8" t="s">
        <v>143</v>
      </c>
      <c r="BK61" s="8">
        <f>Tableau14[[#This Row],[F &amp; S crashes2016]]/4</f>
        <v>0</v>
      </c>
      <c r="BL61" s="78">
        <f>Tableau14[[#This Row],[CRASH RISK2016]]-Tableau14[[#This Row],[CRASH RISK2015]]</f>
        <v>-5.5229953501349849</v>
      </c>
      <c r="BM61" s="78">
        <f>Tableau14[[#This Row],[CRASH DENSITY2016]]-Tableau14[[#This Row],[CRASH DENSITY2015]]</f>
        <v>-0.25</v>
      </c>
    </row>
    <row r="62" spans="1:65" ht="43.2" x14ac:dyDescent="0.3">
      <c r="A62" s="28">
        <f t="shared" si="0"/>
        <v>61</v>
      </c>
      <c r="B62" s="41" t="s">
        <v>237</v>
      </c>
      <c r="C62" s="11" t="s">
        <v>248</v>
      </c>
      <c r="D62" s="9" t="s">
        <v>261</v>
      </c>
      <c r="E62" s="10" t="s">
        <v>262</v>
      </c>
      <c r="F62" s="8">
        <v>344.4</v>
      </c>
      <c r="G62" s="8" t="s">
        <v>207</v>
      </c>
      <c r="H62" s="26">
        <v>0</v>
      </c>
      <c r="I62" s="26">
        <v>0</v>
      </c>
      <c r="J62" s="8">
        <f>Tableau14[[#This Row],[F crashes2015]]+Tableau14[[#This Row],[S crashes2015]]</f>
        <v>0</v>
      </c>
      <c r="K62" s="33">
        <f>IF(Tableau14[[#This Row],[F crashes2015]] &lt;&gt; 0, Tableau14[[#This Row],[F &amp; S crashes2015]]/Tableau14[[#This Row],[F crashes2015]], 1)</f>
        <v>1</v>
      </c>
      <c r="L62" s="8">
        <v>6885</v>
      </c>
      <c r="M62" s="8">
        <v>419996</v>
      </c>
      <c r="N62" s="26">
        <f>(Tableau14[[#This Row],[VEHIC KM / JOUR2015]]*365)/1000000000</f>
        <v>0.15329854000000001</v>
      </c>
      <c r="O62" s="26">
        <f>(Tableau14[[#This Row],[F &amp; S crashes2015]]/Tableau14[[#This Row],[BILLION VEH KM TRAVELLED2015]])</f>
        <v>0</v>
      </c>
      <c r="P62" s="11" t="s">
        <v>143</v>
      </c>
      <c r="Q62" s="34">
        <f>Tableau14[[#This Row],[F &amp; S crashes2015]]/4</f>
        <v>0</v>
      </c>
      <c r="R62" s="11"/>
      <c r="S62" s="23">
        <f>Tableau14[[#This Row],[VEHIC KM / JOUR2015]]/Tableau14[[#This Row],[TMJA2015 (vehi/jour)]]</f>
        <v>61.00159767610748</v>
      </c>
      <c r="T62" s="8"/>
      <c r="U62" s="8"/>
      <c r="V62" s="8"/>
      <c r="W62" s="8"/>
      <c r="X62" s="8"/>
      <c r="Y62" s="8"/>
      <c r="Z62" s="8"/>
      <c r="AA62" s="26">
        <f>Tableau14[[#This Row],[F Crashes trancon]]+Tableau14[[#This Row],[S crashes trancon]]</f>
        <v>0</v>
      </c>
      <c r="AB62" s="23">
        <f>IF(Tableau14[[#This Row],[F Crashes trancon]]&lt;&gt; 0, Tableau14[[#This Row],[F&amp;S crashes tronçon ]]/Tableau14[[#This Row],[F Crashes trancon]], 1)</f>
        <v>1</v>
      </c>
      <c r="AC62" s="23">
        <f>(Tableau14[[#This Row],[F&amp;S crashes tronçon ]]/Tableau14[[#This Row],[BILLION VEH KM TRAVELLED2015]])</f>
        <v>0</v>
      </c>
      <c r="AD62" s="26"/>
      <c r="AE62" s="27">
        <f>Tableau14[[#This Row],[F&amp;S crashes tronçon ]]/Tableau14[[#This Row],[LENTGH SECTION(KM)]]</f>
        <v>0</v>
      </c>
      <c r="AF62" s="8"/>
      <c r="AG62" s="8" t="s">
        <v>218</v>
      </c>
      <c r="AH62" s="8" t="s">
        <v>212</v>
      </c>
      <c r="AI62" s="8" t="s">
        <v>212</v>
      </c>
      <c r="AJ62" s="8" t="s">
        <v>211</v>
      </c>
      <c r="AK62" s="8" t="s">
        <v>218</v>
      </c>
      <c r="AL62" s="40" t="s">
        <v>218</v>
      </c>
      <c r="AM62" s="16">
        <v>3668</v>
      </c>
      <c r="AN62" s="16">
        <v>23658</v>
      </c>
      <c r="AO62" s="16">
        <v>26872</v>
      </c>
      <c r="AP62" s="16">
        <v>76</v>
      </c>
      <c r="AQ62" s="16">
        <v>48</v>
      </c>
      <c r="AR62" s="16">
        <v>96</v>
      </c>
      <c r="AS62" s="16">
        <v>246</v>
      </c>
      <c r="AT62" s="16">
        <v>93</v>
      </c>
      <c r="AU62" s="16">
        <v>287</v>
      </c>
      <c r="AV62" s="44">
        <f>IF(Tableau14[[#This Row],[Moyenne Journalière Infrations 2016]]&gt;0, Tableau14[[#This Row],[Moyenne Journalière Infrations 2016]]-Tableau14[[#This Row],[Moyenne Journalière Infrations 2017]],0)</f>
        <v>3</v>
      </c>
      <c r="AW62" s="44">
        <f>IF(Tableau14[[#This Row],[Moyenne Journalière Infrations 2015]]&gt;0, Tableau14[[#This Row],[Moyenne Journalière Infrations 2015]]-Tableau14[[#This Row],[Moyenne Journalière Infrations 2016]],0)</f>
        <v>-20</v>
      </c>
      <c r="AX62" s="8">
        <v>2</v>
      </c>
      <c r="AY62" s="8" t="s">
        <v>218</v>
      </c>
      <c r="AZ62" s="8" t="s">
        <v>417</v>
      </c>
      <c r="BA62" s="8" t="s">
        <v>424</v>
      </c>
      <c r="BB62" s="8">
        <v>0</v>
      </c>
      <c r="BC62" s="8">
        <v>0</v>
      </c>
      <c r="BD62" s="8">
        <f>Tableau14[[#This Row],[S crashes2016]]+Tableau14[[#This Row],[F crashes2016]]</f>
        <v>0</v>
      </c>
      <c r="BE62" s="12">
        <f>IF(Tableau14[[#This Row],[F crashes2016]] &lt;&gt; 0, Tableau14[[#This Row],[F &amp; S crashes2016]]/Tableau14[[#This Row],[F crashes2016]], 1)</f>
        <v>1</v>
      </c>
      <c r="BF62" s="8">
        <v>7252</v>
      </c>
      <c r="BG62" s="8">
        <v>442381</v>
      </c>
      <c r="BH62" s="8">
        <f>(Tableau14[[#This Row],[VEHIC KM / JOUR2016]]*365)/1000000000</f>
        <v>0.16146906499999999</v>
      </c>
      <c r="BI62" s="8">
        <f>(Tableau14[[#This Row],[F &amp; S crashes2016]]/Tableau14[[#This Row],[BILLION VEH KM TRAVELLED2016]])</f>
        <v>0</v>
      </c>
      <c r="BJ62" s="8" t="s">
        <v>143</v>
      </c>
      <c r="BK62" s="8">
        <f>Tableau14[[#This Row],[F &amp; S crashes2016]]/4</f>
        <v>0</v>
      </c>
      <c r="BL62" s="78">
        <f>Tableau14[[#This Row],[CRASH RISK2016]]-Tableau14[[#This Row],[CRASH RISK2015]]</f>
        <v>0</v>
      </c>
      <c r="BM62" s="78">
        <f>Tableau14[[#This Row],[CRASH DENSITY2016]]-Tableau14[[#This Row],[CRASH DENSITY2015]]</f>
        <v>0</v>
      </c>
    </row>
    <row r="63" spans="1:65" ht="28.8" x14ac:dyDescent="0.3">
      <c r="A63" s="28">
        <f t="shared" si="0"/>
        <v>62</v>
      </c>
      <c r="B63" s="41" t="s">
        <v>238</v>
      </c>
      <c r="C63" s="11" t="s">
        <v>249</v>
      </c>
      <c r="D63" s="9" t="s">
        <v>263</v>
      </c>
      <c r="E63" s="10" t="s">
        <v>264</v>
      </c>
      <c r="F63" s="8">
        <v>344.5</v>
      </c>
      <c r="G63" s="8" t="s">
        <v>207</v>
      </c>
      <c r="H63" s="26">
        <v>0</v>
      </c>
      <c r="I63" s="26">
        <v>0</v>
      </c>
      <c r="J63" s="8">
        <f>Tableau14[[#This Row],[F crashes2015]]+Tableau14[[#This Row],[S crashes2015]]</f>
        <v>0</v>
      </c>
      <c r="K63" s="33">
        <f>IF(Tableau14[[#This Row],[F crashes2015]] &lt;&gt; 0, Tableau14[[#This Row],[F &amp; S crashes2015]]/Tableau14[[#This Row],[F crashes2015]], 1)</f>
        <v>1</v>
      </c>
      <c r="L63" s="8">
        <v>6885</v>
      </c>
      <c r="M63" s="8">
        <v>419996</v>
      </c>
      <c r="N63" s="26">
        <f>(Tableau14[[#This Row],[VEHIC KM / JOUR2015]]*365)/1000000000</f>
        <v>0.15329854000000001</v>
      </c>
      <c r="O63" s="26">
        <f>(Tableau14[[#This Row],[F &amp; S crashes2015]]/Tableau14[[#This Row],[BILLION VEH KM TRAVELLED2015]])</f>
        <v>0</v>
      </c>
      <c r="P63" s="11" t="s">
        <v>143</v>
      </c>
      <c r="Q63" s="34">
        <f>Tableau14[[#This Row],[F &amp; S crashes2015]]/4</f>
        <v>0</v>
      </c>
      <c r="R63" s="11"/>
      <c r="S63" s="23">
        <f>Tableau14[[#This Row],[VEHIC KM / JOUR2015]]/Tableau14[[#This Row],[TMJA2015 (vehi/jour)]]</f>
        <v>61.00159767610748</v>
      </c>
      <c r="T63" s="8"/>
      <c r="U63" s="8"/>
      <c r="V63" s="8"/>
      <c r="W63" s="8"/>
      <c r="X63" s="8"/>
      <c r="Y63" s="8"/>
      <c r="Z63" s="8"/>
      <c r="AA63" s="26">
        <f>Tableau14[[#This Row],[F Crashes trancon]]+Tableau14[[#This Row],[S crashes trancon]]</f>
        <v>0</v>
      </c>
      <c r="AB63" s="23">
        <f>IF(Tableau14[[#This Row],[F Crashes trancon]]&lt;&gt; 0, Tableau14[[#This Row],[F&amp;S crashes tronçon ]]/Tableau14[[#This Row],[F Crashes trancon]], 1)</f>
        <v>1</v>
      </c>
      <c r="AC63" s="23">
        <f>(Tableau14[[#This Row],[F&amp;S crashes tronçon ]]/Tableau14[[#This Row],[BILLION VEH KM TRAVELLED2015]])</f>
        <v>0</v>
      </c>
      <c r="AD63" s="26"/>
      <c r="AE63" s="27">
        <f>Tableau14[[#This Row],[F&amp;S crashes tronçon ]]/Tableau14[[#This Row],[LENTGH SECTION(KM)]]</f>
        <v>0</v>
      </c>
      <c r="AF63" s="8"/>
      <c r="AG63" s="8" t="s">
        <v>218</v>
      </c>
      <c r="AH63" s="8" t="s">
        <v>212</v>
      </c>
      <c r="AI63" s="8" t="s">
        <v>212</v>
      </c>
      <c r="AJ63" s="8" t="s">
        <v>211</v>
      </c>
      <c r="AK63" s="8" t="s">
        <v>218</v>
      </c>
      <c r="AL63" s="40" t="s">
        <v>218</v>
      </c>
      <c r="AM63" s="16">
        <v>4919</v>
      </c>
      <c r="AN63" s="16">
        <v>22442</v>
      </c>
      <c r="AO63" s="16">
        <v>22406</v>
      </c>
      <c r="AP63" s="16">
        <v>56</v>
      </c>
      <c r="AQ63" s="16">
        <v>87</v>
      </c>
      <c r="AR63" s="16">
        <v>69</v>
      </c>
      <c r="AS63" s="16">
        <v>324</v>
      </c>
      <c r="AT63" s="16">
        <v>61</v>
      </c>
      <c r="AU63" s="16">
        <v>364</v>
      </c>
      <c r="AV63" s="44">
        <f>IF(Tableau14[[#This Row],[Moyenne Journalière Infrations 2016]]&gt;0, Tableau14[[#This Row],[Moyenne Journalière Infrations 2016]]-Tableau14[[#This Row],[Moyenne Journalière Infrations 2017]],0)</f>
        <v>8</v>
      </c>
      <c r="AW63" s="44">
        <f>IF(Tableau14[[#This Row],[Moyenne Journalière Infrations 2015]]&gt;0, Tableau14[[#This Row],[Moyenne Journalière Infrations 2015]]-Tableau14[[#This Row],[Moyenne Journalière Infrations 2016]],0)</f>
        <v>-13</v>
      </c>
      <c r="AX63" s="8">
        <v>2</v>
      </c>
      <c r="AY63" s="8" t="s">
        <v>218</v>
      </c>
      <c r="AZ63" s="8" t="s">
        <v>417</v>
      </c>
      <c r="BA63" s="8" t="s">
        <v>425</v>
      </c>
      <c r="BB63" s="8">
        <v>0</v>
      </c>
      <c r="BC63" s="8">
        <v>0</v>
      </c>
      <c r="BD63" s="8">
        <f>Tableau14[[#This Row],[S crashes2016]]+Tableau14[[#This Row],[F crashes2016]]</f>
        <v>0</v>
      </c>
      <c r="BE63" s="12">
        <f>IF(Tableau14[[#This Row],[F crashes2016]] &lt;&gt; 0, Tableau14[[#This Row],[F &amp; S crashes2016]]/Tableau14[[#This Row],[F crashes2016]], 1)</f>
        <v>1</v>
      </c>
      <c r="BF63" s="8">
        <v>7252</v>
      </c>
      <c r="BG63" s="8">
        <v>442381</v>
      </c>
      <c r="BH63" s="8">
        <f>(Tableau14[[#This Row],[VEHIC KM / JOUR2016]]*365)/1000000000</f>
        <v>0.16146906499999999</v>
      </c>
      <c r="BI63" s="8">
        <f>(Tableau14[[#This Row],[F &amp; S crashes2016]]/Tableau14[[#This Row],[BILLION VEH KM TRAVELLED2016]])</f>
        <v>0</v>
      </c>
      <c r="BJ63" s="8" t="s">
        <v>143</v>
      </c>
      <c r="BK63" s="8">
        <f>Tableau14[[#This Row],[F &amp; S crashes2016]]/4</f>
        <v>0</v>
      </c>
      <c r="BL63" s="78">
        <f>Tableau14[[#This Row],[CRASH RISK2016]]-Tableau14[[#This Row],[CRASH RISK2015]]</f>
        <v>0</v>
      </c>
      <c r="BM63" s="78">
        <f>Tableau14[[#This Row],[CRASH DENSITY2016]]-Tableau14[[#This Row],[CRASH DENSITY2015]]</f>
        <v>0</v>
      </c>
    </row>
    <row r="64" spans="1:65" x14ac:dyDescent="0.3">
      <c r="A64" s="28">
        <f t="shared" si="0"/>
        <v>63</v>
      </c>
      <c r="B64" s="41" t="s">
        <v>239</v>
      </c>
      <c r="C64" s="11" t="s">
        <v>250</v>
      </c>
      <c r="D64" s="9" t="s">
        <v>265</v>
      </c>
      <c r="E64" s="10" t="s">
        <v>266</v>
      </c>
      <c r="F64" s="8">
        <v>397</v>
      </c>
      <c r="G64" s="8" t="s">
        <v>207</v>
      </c>
      <c r="H64" s="26">
        <v>0</v>
      </c>
      <c r="I64" s="26">
        <v>1</v>
      </c>
      <c r="J64" s="8">
        <f>Tableau14[[#This Row],[F crashes2015]]+Tableau14[[#This Row],[S crashes2015]]</f>
        <v>1</v>
      </c>
      <c r="K64" s="33">
        <f>IF(Tableau14[[#This Row],[F crashes2015]] &lt;&gt; 0, Tableau14[[#This Row],[F &amp; S crashes2015]]/Tableau14[[#This Row],[F crashes2015]], 1)</f>
        <v>1</v>
      </c>
      <c r="L64" s="8">
        <v>7005</v>
      </c>
      <c r="M64" s="8">
        <v>357265</v>
      </c>
      <c r="N64" s="26">
        <f>(Tableau14[[#This Row],[VEHIC KM / JOUR2015]]*365)/1000000000</f>
        <v>0.130401725</v>
      </c>
      <c r="O64" s="26">
        <f>(Tableau14[[#This Row],[F &amp; S crashes2015]]/Tableau14[[#This Row],[BILLION VEH KM TRAVELLED2015]])</f>
        <v>7.6686102120198179</v>
      </c>
      <c r="P64" t="s">
        <v>147</v>
      </c>
      <c r="Q64" s="34">
        <f>Tableau14[[#This Row],[F &amp; S crashes2015]]/4</f>
        <v>0.25</v>
      </c>
      <c r="R64" s="11"/>
      <c r="S64" s="23">
        <f>Tableau14[[#This Row],[VEHIC KM / JOUR2015]]/Tableau14[[#This Row],[TMJA2015 (vehi/jour)]]</f>
        <v>51.001427551748748</v>
      </c>
      <c r="T64" s="8"/>
      <c r="U64" s="8"/>
      <c r="V64" s="8"/>
      <c r="W64" s="8"/>
      <c r="X64" s="8"/>
      <c r="Y64" s="8"/>
      <c r="Z64" s="8"/>
      <c r="AA64" s="26">
        <f>Tableau14[[#This Row],[F Crashes trancon]]+Tableau14[[#This Row],[S crashes trancon]]</f>
        <v>0</v>
      </c>
      <c r="AB64" s="23">
        <f>IF(Tableau14[[#This Row],[F Crashes trancon]]&lt;&gt; 0, Tableau14[[#This Row],[F&amp;S crashes tronçon ]]/Tableau14[[#This Row],[F Crashes trancon]], 1)</f>
        <v>1</v>
      </c>
      <c r="AC64" s="23">
        <f>(Tableau14[[#This Row],[F&amp;S crashes tronçon ]]/Tableau14[[#This Row],[BILLION VEH KM TRAVELLED2015]])</f>
        <v>0</v>
      </c>
      <c r="AD64" s="26"/>
      <c r="AE64" s="27">
        <f>Tableau14[[#This Row],[F&amp;S crashes tronçon ]]/Tableau14[[#This Row],[LENTGH SECTION(KM)]]</f>
        <v>0</v>
      </c>
      <c r="AF64" s="8"/>
      <c r="AG64" s="8" t="s">
        <v>218</v>
      </c>
      <c r="AH64" s="8" t="s">
        <v>212</v>
      </c>
      <c r="AI64" s="8" t="s">
        <v>212</v>
      </c>
      <c r="AJ64" s="8" t="s">
        <v>212</v>
      </c>
      <c r="AK64" s="8" t="s">
        <v>218</v>
      </c>
      <c r="AL64" s="40" t="s">
        <v>218</v>
      </c>
      <c r="AM64" s="16">
        <v>0</v>
      </c>
      <c r="AN64" s="16">
        <v>1802</v>
      </c>
      <c r="AO64" s="16">
        <v>21405</v>
      </c>
      <c r="AP64" s="16">
        <v>0</v>
      </c>
      <c r="AQ64" s="16">
        <v>0</v>
      </c>
      <c r="AR64" s="16">
        <v>120</v>
      </c>
      <c r="AS64" s="16">
        <v>15</v>
      </c>
      <c r="AT64" s="16">
        <v>97</v>
      </c>
      <c r="AU64" s="16">
        <v>220</v>
      </c>
      <c r="AV64" s="44">
        <f>IF(Tableau14[[#This Row],[Moyenne Journalière Infrations 2016]]&gt;0, Tableau14[[#This Row],[Moyenne Journalière Infrations 2016]]-Tableau14[[#This Row],[Moyenne Journalière Infrations 2017]],0)</f>
        <v>23</v>
      </c>
      <c r="AW64" s="44">
        <f>IF(Tableau14[[#This Row],[Moyenne Journalière Infrations 2015]]&gt;0, Tableau14[[#This Row],[Moyenne Journalière Infrations 2015]]-Tableau14[[#This Row],[Moyenne Journalière Infrations 2016]],0)</f>
        <v>0</v>
      </c>
      <c r="AX64" s="8">
        <v>2</v>
      </c>
      <c r="AY64" s="8" t="s">
        <v>218</v>
      </c>
      <c r="AZ64" s="8" t="s">
        <v>417</v>
      </c>
      <c r="BA64" s="8" t="s">
        <v>426</v>
      </c>
      <c r="BB64" s="8">
        <v>0</v>
      </c>
      <c r="BC64" s="8">
        <v>1</v>
      </c>
      <c r="BD64" s="8">
        <f>Tableau14[[#This Row],[S crashes2016]]+Tableau14[[#This Row],[F crashes2016]]</f>
        <v>1</v>
      </c>
      <c r="BE64" s="12">
        <f>IF(Tableau14[[#This Row],[F crashes2016]] &lt;&gt; 0, Tableau14[[#This Row],[F &amp; S crashes2016]]/Tableau14[[#This Row],[F crashes2016]], 1)</f>
        <v>1</v>
      </c>
      <c r="BF64" s="8">
        <v>7397</v>
      </c>
      <c r="BG64" s="8">
        <v>377241</v>
      </c>
      <c r="BH64" s="8">
        <f>(Tableau14[[#This Row],[VEHIC KM / JOUR2016]]*365)/1000000000</f>
        <v>0.137692965</v>
      </c>
      <c r="BI64" s="8">
        <f>(Tableau14[[#This Row],[F &amp; S crashes2016]]/Tableau14[[#This Row],[BILLION VEH KM TRAVELLED2016]])</f>
        <v>7.2625351629257162</v>
      </c>
      <c r="BJ64" t="s">
        <v>147</v>
      </c>
      <c r="BK64" s="8">
        <f>Tableau14[[#This Row],[F &amp; S crashes2016]]/4</f>
        <v>0.25</v>
      </c>
      <c r="BL64" s="78">
        <f>Tableau14[[#This Row],[CRASH RISK2016]]-Tableau14[[#This Row],[CRASH RISK2015]]</f>
        <v>-0.40607504909410164</v>
      </c>
      <c r="BM64" s="78">
        <f>Tableau14[[#This Row],[CRASH DENSITY2016]]-Tableau14[[#This Row],[CRASH DENSITY2015]]</f>
        <v>0</v>
      </c>
    </row>
    <row r="65" spans="1:65" x14ac:dyDescent="0.3">
      <c r="A65" s="28">
        <f t="shared" si="0"/>
        <v>64</v>
      </c>
      <c r="B65" s="41" t="s">
        <v>240</v>
      </c>
      <c r="C65" s="11" t="s">
        <v>251</v>
      </c>
      <c r="D65" s="9" t="s">
        <v>267</v>
      </c>
      <c r="E65" s="10" t="s">
        <v>268</v>
      </c>
      <c r="F65" s="8">
        <v>411</v>
      </c>
      <c r="G65" s="8" t="s">
        <v>207</v>
      </c>
      <c r="H65" s="26">
        <v>4</v>
      </c>
      <c r="I65" s="26">
        <v>3</v>
      </c>
      <c r="J65" s="8">
        <f>Tableau14[[#This Row],[F crashes2015]]+Tableau14[[#This Row],[S crashes2015]]</f>
        <v>7</v>
      </c>
      <c r="K65" s="33">
        <f>IF(Tableau14[[#This Row],[F crashes2015]] &lt;&gt; 0, Tableau14[[#This Row],[F &amp; S crashes2015]]/Tableau14[[#This Row],[F crashes2015]], 1)</f>
        <v>1.75</v>
      </c>
      <c r="L65" s="8">
        <v>7005</v>
      </c>
      <c r="M65" s="8">
        <v>357265</v>
      </c>
      <c r="N65" s="26">
        <f>(Tableau14[[#This Row],[VEHIC KM / JOUR2015]]*365)/1000000000</f>
        <v>0.130401725</v>
      </c>
      <c r="O65" s="26">
        <f>(Tableau14[[#This Row],[F &amp; S crashes2015]]/Tableau14[[#This Row],[BILLION VEH KM TRAVELLED2015]])</f>
        <v>53.680271484138729</v>
      </c>
      <c r="P65" s="11" t="s">
        <v>144</v>
      </c>
      <c r="Q65" s="34">
        <f>Tableau14[[#This Row],[F &amp; S crashes2015]]/4</f>
        <v>1.75</v>
      </c>
      <c r="R65" s="11"/>
      <c r="S65" s="23">
        <f>Tableau14[[#This Row],[VEHIC KM / JOUR2015]]/Tableau14[[#This Row],[TMJA2015 (vehi/jour)]]</f>
        <v>51.001427551748748</v>
      </c>
      <c r="T65" s="8"/>
      <c r="U65" s="8"/>
      <c r="V65" s="8"/>
      <c r="W65" s="8"/>
      <c r="X65" s="8"/>
      <c r="Y65" s="8"/>
      <c r="Z65" s="8"/>
      <c r="AA65" s="26">
        <f>Tableau14[[#This Row],[F Crashes trancon]]+Tableau14[[#This Row],[S crashes trancon]]</f>
        <v>0</v>
      </c>
      <c r="AB65" s="23">
        <f>IF(Tableau14[[#This Row],[F Crashes trancon]]&lt;&gt; 0, Tableau14[[#This Row],[F&amp;S crashes tronçon ]]/Tableau14[[#This Row],[F Crashes trancon]], 1)</f>
        <v>1</v>
      </c>
      <c r="AC65" s="23">
        <f>(Tableau14[[#This Row],[F&amp;S crashes tronçon ]]/Tableau14[[#This Row],[BILLION VEH KM TRAVELLED2015]])</f>
        <v>0</v>
      </c>
      <c r="AD65" s="26"/>
      <c r="AE65" s="27">
        <f>Tableau14[[#This Row],[F&amp;S crashes tronçon ]]/Tableau14[[#This Row],[LENTGH SECTION(KM)]]</f>
        <v>0</v>
      </c>
      <c r="AF65" s="8"/>
      <c r="AG65" s="8" t="s">
        <v>218</v>
      </c>
      <c r="AH65" s="8" t="s">
        <v>212</v>
      </c>
      <c r="AI65" s="8" t="s">
        <v>212</v>
      </c>
      <c r="AJ65" s="8" t="s">
        <v>212</v>
      </c>
      <c r="AK65" s="8" t="s">
        <v>218</v>
      </c>
      <c r="AL65" s="40" t="s">
        <v>218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8">
        <v>0</v>
      </c>
      <c r="AS65" s="8">
        <v>0</v>
      </c>
      <c r="AT65" s="8">
        <v>0</v>
      </c>
      <c r="AU65" s="8">
        <v>0</v>
      </c>
      <c r="AV65" s="44">
        <f>IF(Tableau14[[#This Row],[Moyenne Journalière Infrations 2016]]&gt;0, Tableau14[[#This Row],[Moyenne Journalière Infrations 2016]]-Tableau14[[#This Row],[Moyenne Journalière Infrations 2017]],0)</f>
        <v>0</v>
      </c>
      <c r="AW65" s="44">
        <f>IF(Tableau14[[#This Row],[Moyenne Journalière Infrations 2015]]&gt;0, Tableau14[[#This Row],[Moyenne Journalière Infrations 2015]]-Tableau14[[#This Row],[Moyenne Journalière Infrations 2016]],0)</f>
        <v>0</v>
      </c>
      <c r="AX65" s="8" t="s">
        <v>218</v>
      </c>
      <c r="AY65" s="8" t="s">
        <v>218</v>
      </c>
      <c r="AZ65" s="8" t="s">
        <v>218</v>
      </c>
      <c r="BA65" s="8" t="s">
        <v>218</v>
      </c>
      <c r="BB65" s="8">
        <v>1</v>
      </c>
      <c r="BC65" s="8">
        <v>1</v>
      </c>
      <c r="BD65" s="8">
        <f>Tableau14[[#This Row],[S crashes2016]]+Tableau14[[#This Row],[F crashes2016]]</f>
        <v>2</v>
      </c>
      <c r="BE65" s="12">
        <f>IF(Tableau14[[#This Row],[F crashes2016]] &lt;&gt; 0, Tableau14[[#This Row],[F &amp; S crashes2016]]/Tableau14[[#This Row],[F crashes2016]], 1)</f>
        <v>2</v>
      </c>
      <c r="BF65" s="8">
        <v>7397</v>
      </c>
      <c r="BG65" s="8">
        <v>377241</v>
      </c>
      <c r="BH65" s="8">
        <f>(Tableau14[[#This Row],[VEHIC KM / JOUR2016]]*365)/1000000000</f>
        <v>0.137692965</v>
      </c>
      <c r="BI65" s="8">
        <f>(Tableau14[[#This Row],[F &amp; S crashes2016]]/Tableau14[[#This Row],[BILLION VEH KM TRAVELLED2016]])</f>
        <v>14.525070325851432</v>
      </c>
      <c r="BJ65" t="s">
        <v>147</v>
      </c>
      <c r="BK65" s="8">
        <f>Tableau14[[#This Row],[F &amp; S crashes2016]]/4</f>
        <v>0.5</v>
      </c>
      <c r="BL65" s="78">
        <f>Tableau14[[#This Row],[CRASH RISK2016]]-Tableau14[[#This Row],[CRASH RISK2015]]</f>
        <v>-39.155201158287298</v>
      </c>
      <c r="BM65" s="78">
        <f>Tableau14[[#This Row],[CRASH DENSITY2016]]-Tableau14[[#This Row],[CRASH DENSITY2015]]</f>
        <v>-1.25</v>
      </c>
    </row>
    <row r="66" spans="1:65" ht="28.8" x14ac:dyDescent="0.3">
      <c r="A66" s="28">
        <f t="shared" si="0"/>
        <v>65</v>
      </c>
      <c r="B66" s="41" t="s">
        <v>241</v>
      </c>
      <c r="C66" s="11" t="s">
        <v>252</v>
      </c>
      <c r="D66" s="9" t="s">
        <v>269</v>
      </c>
      <c r="E66" s="10" t="s">
        <v>270</v>
      </c>
      <c r="F66" s="8">
        <v>420.6</v>
      </c>
      <c r="G66" s="8" t="s">
        <v>207</v>
      </c>
      <c r="H66" s="26">
        <v>0</v>
      </c>
      <c r="I66" s="26">
        <v>0</v>
      </c>
      <c r="J66" s="8">
        <f>Tableau14[[#This Row],[F crashes2015]]+Tableau14[[#This Row],[S crashes2015]]</f>
        <v>0</v>
      </c>
      <c r="K66" s="33">
        <f>IF(Tableau14[[#This Row],[F crashes2015]] &lt;&gt; 0, Tableau14[[#This Row],[F &amp; S crashes2015]]/Tableau14[[#This Row],[F crashes2015]], 1)</f>
        <v>1</v>
      </c>
      <c r="L66" s="8">
        <v>7005</v>
      </c>
      <c r="M66" s="8">
        <v>357265</v>
      </c>
      <c r="N66" s="26">
        <f>(Tableau14[[#This Row],[VEHIC KM / JOUR2015]]*365)/1000000000</f>
        <v>0.130401725</v>
      </c>
      <c r="O66" s="26">
        <f>(Tableau14[[#This Row],[F &amp; S crashes2015]]/Tableau14[[#This Row],[BILLION VEH KM TRAVELLED2015]])</f>
        <v>0</v>
      </c>
      <c r="P66" s="11" t="s">
        <v>143</v>
      </c>
      <c r="Q66" s="34">
        <f>Tableau14[[#This Row],[F &amp; S crashes2015]]/4</f>
        <v>0</v>
      </c>
      <c r="R66" s="11"/>
      <c r="S66" s="23">
        <f>Tableau14[[#This Row],[VEHIC KM / JOUR2015]]/Tableau14[[#This Row],[TMJA2015 (vehi/jour)]]</f>
        <v>51.001427551748748</v>
      </c>
      <c r="T66" s="8"/>
      <c r="U66" s="8"/>
      <c r="V66" s="8"/>
      <c r="W66" s="8"/>
      <c r="X66" s="8"/>
      <c r="Y66" s="8"/>
      <c r="Z66" s="8"/>
      <c r="AA66" s="26">
        <f>Tableau14[[#This Row],[F Crashes trancon]]+Tableau14[[#This Row],[S crashes trancon]]</f>
        <v>0</v>
      </c>
      <c r="AB66" s="23">
        <f>IF(Tableau14[[#This Row],[F Crashes trancon]]&lt;&gt; 0, Tableau14[[#This Row],[F&amp;S crashes tronçon ]]/Tableau14[[#This Row],[F Crashes trancon]], 1)</f>
        <v>1</v>
      </c>
      <c r="AC66" s="23">
        <f>(Tableau14[[#This Row],[F&amp;S crashes tronçon ]]/Tableau14[[#This Row],[BILLION VEH KM TRAVELLED2015]])</f>
        <v>0</v>
      </c>
      <c r="AD66" s="26"/>
      <c r="AE66" s="27">
        <f>Tableau14[[#This Row],[F&amp;S crashes tronçon ]]/Tableau14[[#This Row],[LENTGH SECTION(KM)]]</f>
        <v>0</v>
      </c>
      <c r="AF66" s="8"/>
      <c r="AG66" s="8" t="s">
        <v>218</v>
      </c>
      <c r="AH66" s="8" t="s">
        <v>211</v>
      </c>
      <c r="AI66" s="8" t="s">
        <v>212</v>
      </c>
      <c r="AJ66" s="8" t="s">
        <v>212</v>
      </c>
      <c r="AK66" s="8" t="s">
        <v>218</v>
      </c>
      <c r="AL66" s="40" t="s">
        <v>218</v>
      </c>
      <c r="AM66" s="16">
        <v>0</v>
      </c>
      <c r="AN66" s="16">
        <v>4049</v>
      </c>
      <c r="AO66" s="16">
        <v>6289</v>
      </c>
      <c r="AP66" s="16">
        <v>0</v>
      </c>
      <c r="AQ66" s="16">
        <v>0</v>
      </c>
      <c r="AR66" s="16">
        <v>30</v>
      </c>
      <c r="AS66" s="16">
        <v>132</v>
      </c>
      <c r="AT66" s="16">
        <v>21</v>
      </c>
      <c r="AU66" s="16">
        <v>291</v>
      </c>
      <c r="AV66" s="44">
        <f>IF(Tableau14[[#This Row],[Moyenne Journalière Infrations 2016]]&gt;0, Tableau14[[#This Row],[Moyenne Journalière Infrations 2016]]-Tableau14[[#This Row],[Moyenne Journalière Infrations 2017]],0)</f>
        <v>9</v>
      </c>
      <c r="AW66" s="44">
        <f>IF(Tableau14[[#This Row],[Moyenne Journalière Infrations 2015]]&gt;0, Tableau14[[#This Row],[Moyenne Journalière Infrations 2015]]-Tableau14[[#This Row],[Moyenne Journalière Infrations 2016]],0)</f>
        <v>0</v>
      </c>
      <c r="AX66" s="8">
        <v>2</v>
      </c>
      <c r="AY66" s="8" t="s">
        <v>218</v>
      </c>
      <c r="AZ66" s="8" t="s">
        <v>417</v>
      </c>
      <c r="BA66" s="8" t="s">
        <v>427</v>
      </c>
      <c r="BB66" s="8">
        <v>1</v>
      </c>
      <c r="BC66" s="8">
        <v>0</v>
      </c>
      <c r="BD66" s="8">
        <f>Tableau14[[#This Row],[S crashes2016]]+Tableau14[[#This Row],[F crashes2016]]</f>
        <v>1</v>
      </c>
      <c r="BE66" s="12">
        <f>IF(Tableau14[[#This Row],[F crashes2016]] &lt;&gt; 0, Tableau14[[#This Row],[F &amp; S crashes2016]]/Tableau14[[#This Row],[F crashes2016]], 1)</f>
        <v>1</v>
      </c>
      <c r="BF66" s="8">
        <v>7397</v>
      </c>
      <c r="BG66" s="8">
        <v>377241</v>
      </c>
      <c r="BH66" s="8">
        <f>(Tableau14[[#This Row],[VEHIC KM / JOUR2016]]*365)/1000000000</f>
        <v>0.137692965</v>
      </c>
      <c r="BI66" s="8">
        <f>(Tableau14[[#This Row],[F &amp; S crashes2016]]/Tableau14[[#This Row],[BILLION VEH KM TRAVELLED2016]])</f>
        <v>7.2625351629257162</v>
      </c>
      <c r="BJ66" t="s">
        <v>147</v>
      </c>
      <c r="BK66" s="8">
        <f>Tableau14[[#This Row],[F &amp; S crashes2016]]/4</f>
        <v>0.25</v>
      </c>
      <c r="BL66" s="78">
        <f>Tableau14[[#This Row],[CRASH RISK2016]]-Tableau14[[#This Row],[CRASH RISK2015]]</f>
        <v>7.2625351629257162</v>
      </c>
      <c r="BM66" s="78">
        <f>Tableau14[[#This Row],[CRASH DENSITY2016]]-Tableau14[[#This Row],[CRASH DENSITY2015]]</f>
        <v>0.25</v>
      </c>
    </row>
    <row r="67" spans="1:65" ht="28.8" x14ac:dyDescent="0.3">
      <c r="A67" s="28">
        <f t="shared" si="0"/>
        <v>66</v>
      </c>
      <c r="B67" s="41" t="s">
        <v>242</v>
      </c>
      <c r="C67" s="11" t="s">
        <v>253</v>
      </c>
      <c r="D67" s="9" t="s">
        <v>271</v>
      </c>
      <c r="E67" s="10" t="s">
        <v>272</v>
      </c>
      <c r="F67" s="8">
        <v>277</v>
      </c>
      <c r="G67" s="8" t="s">
        <v>207</v>
      </c>
      <c r="H67" s="26">
        <v>2</v>
      </c>
      <c r="I67" s="26">
        <v>1</v>
      </c>
      <c r="J67" s="8">
        <f>Tableau14[[#This Row],[F crashes2015]]+Tableau14[[#This Row],[S crashes2015]]</f>
        <v>3</v>
      </c>
      <c r="K67" s="33">
        <f>IF(Tableau14[[#This Row],[F crashes2015]] &lt;&gt; 0, Tableau14[[#This Row],[F &amp; S crashes2015]]/Tableau14[[#This Row],[F crashes2015]], 1)</f>
        <v>1.5</v>
      </c>
      <c r="L67" s="8">
        <v>6947</v>
      </c>
      <c r="M67" s="8">
        <v>236196</v>
      </c>
      <c r="N67" s="26">
        <f>(Tableau14[[#This Row],[VEHIC KM / JOUR2015]]*365)/1000000000</f>
        <v>8.6211540000000003E-2</v>
      </c>
      <c r="O67" s="26">
        <f>(Tableau14[[#This Row],[F &amp; S crashes2015]]/Tableau14[[#This Row],[BILLION VEH KM TRAVELLED2015]])</f>
        <v>34.798125633760861</v>
      </c>
      <c r="P67" s="11" t="s">
        <v>144</v>
      </c>
      <c r="Q67" s="34">
        <f>Tableau14[[#This Row],[F &amp; S crashes2015]]/4</f>
        <v>0.75</v>
      </c>
      <c r="R67" s="11"/>
      <c r="S67" s="23">
        <f>Tableau14[[#This Row],[VEHIC KM / JOUR2015]]/Tableau14[[#This Row],[TMJA2015 (vehi/jour)]]</f>
        <v>33.999712105945015</v>
      </c>
      <c r="T67" s="8"/>
      <c r="U67" s="8"/>
      <c r="V67" s="8"/>
      <c r="W67" s="8"/>
      <c r="X67" s="8"/>
      <c r="Y67" s="8"/>
      <c r="Z67" s="8"/>
      <c r="AA67" s="26">
        <f>Tableau14[[#This Row],[F Crashes trancon]]+Tableau14[[#This Row],[S crashes trancon]]</f>
        <v>0</v>
      </c>
      <c r="AB67" s="23">
        <f>IF(Tableau14[[#This Row],[F Crashes trancon]]&lt;&gt; 0, Tableau14[[#This Row],[F&amp;S crashes tronçon ]]/Tableau14[[#This Row],[F Crashes trancon]], 1)</f>
        <v>1</v>
      </c>
      <c r="AC67" s="23">
        <f>(Tableau14[[#This Row],[F&amp;S crashes tronçon ]]/Tableau14[[#This Row],[BILLION VEH KM TRAVELLED2015]])</f>
        <v>0</v>
      </c>
      <c r="AD67" s="26"/>
      <c r="AE67" s="27">
        <f>Tableau14[[#This Row],[F&amp;S crashes tronçon ]]/Tableau14[[#This Row],[LENTGH SECTION(KM)]]</f>
        <v>0</v>
      </c>
      <c r="AF67" s="8"/>
      <c r="AG67" s="8" t="s">
        <v>218</v>
      </c>
      <c r="AH67" s="8" t="s">
        <v>211</v>
      </c>
      <c r="AI67" s="8" t="s">
        <v>211</v>
      </c>
      <c r="AJ67" s="8" t="s">
        <v>211</v>
      </c>
      <c r="AK67" s="8" t="s">
        <v>218</v>
      </c>
      <c r="AL67" s="40" t="s">
        <v>218</v>
      </c>
      <c r="AM67" s="16">
        <v>0</v>
      </c>
      <c r="AN67" s="16">
        <v>27256</v>
      </c>
      <c r="AO67" s="16">
        <v>25044</v>
      </c>
      <c r="AP67" s="16">
        <v>0</v>
      </c>
      <c r="AQ67" s="16">
        <v>0</v>
      </c>
      <c r="AR67" s="16">
        <v>117</v>
      </c>
      <c r="AS67" s="16">
        <v>231</v>
      </c>
      <c r="AT67" s="16">
        <v>95</v>
      </c>
      <c r="AU67" s="16">
        <v>261</v>
      </c>
      <c r="AV67" s="44">
        <f>IF(Tableau14[[#This Row],[Moyenne Journalière Infrations 2016]]&gt;0, Tableau14[[#This Row],[Moyenne Journalière Infrations 2016]]-Tableau14[[#This Row],[Moyenne Journalière Infrations 2017]],0)</f>
        <v>22</v>
      </c>
      <c r="AW67" s="44">
        <f>IF(Tableau14[[#This Row],[Moyenne Journalière Infrations 2015]]&gt;0, Tableau14[[#This Row],[Moyenne Journalière Infrations 2015]]-Tableau14[[#This Row],[Moyenne Journalière Infrations 2016]],0)</f>
        <v>0</v>
      </c>
      <c r="AX67" s="8">
        <v>2</v>
      </c>
      <c r="AY67" s="8" t="s">
        <v>218</v>
      </c>
      <c r="AZ67" s="8" t="s">
        <v>417</v>
      </c>
      <c r="BA67" s="8" t="s">
        <v>428</v>
      </c>
      <c r="BB67" s="8">
        <v>1</v>
      </c>
      <c r="BC67" s="8">
        <v>0</v>
      </c>
      <c r="BD67" s="8">
        <f>Tableau14[[#This Row],[S crashes2016]]+Tableau14[[#This Row],[F crashes2016]]</f>
        <v>1</v>
      </c>
      <c r="BE67" s="12">
        <f>IF(Tableau14[[#This Row],[F crashes2016]] &lt;&gt; 0, Tableau14[[#This Row],[F &amp; S crashes2016]]/Tableau14[[#This Row],[F crashes2016]], 1)</f>
        <v>1</v>
      </c>
      <c r="BF67" s="8">
        <v>7262</v>
      </c>
      <c r="BG67" s="8">
        <v>246919</v>
      </c>
      <c r="BH67" s="8">
        <f>(Tableau14[[#This Row],[VEHIC KM / JOUR2016]]*365)/1000000000</f>
        <v>9.0125435000000004E-2</v>
      </c>
      <c r="BI67" s="8">
        <f>(Tableau14[[#This Row],[F &amp; S crashes2016]]/Tableau14[[#This Row],[BILLION VEH KM TRAVELLED2016]])</f>
        <v>11.095646861510293</v>
      </c>
      <c r="BJ67" t="s">
        <v>146</v>
      </c>
      <c r="BK67" s="8">
        <f>Tableau14[[#This Row],[F &amp; S crashes2016]]/4</f>
        <v>0.25</v>
      </c>
      <c r="BL67" s="78">
        <f>Tableau14[[#This Row],[CRASH RISK2016]]-Tableau14[[#This Row],[CRASH RISK2015]]</f>
        <v>-23.702478772250569</v>
      </c>
      <c r="BM67" s="78">
        <f>Tableau14[[#This Row],[CRASH DENSITY2016]]-Tableau14[[#This Row],[CRASH DENSITY2015]]</f>
        <v>-0.5</v>
      </c>
    </row>
    <row r="68" spans="1:65" ht="28.8" x14ac:dyDescent="0.3">
      <c r="A68" s="28">
        <f t="shared" ref="A68:A75" si="1">A67+1</f>
        <v>67</v>
      </c>
      <c r="B68" s="47" t="s">
        <v>313</v>
      </c>
      <c r="C68" s="11" t="s">
        <v>324</v>
      </c>
      <c r="D68" s="9" t="s">
        <v>358</v>
      </c>
      <c r="E68" s="10" t="s">
        <v>359</v>
      </c>
      <c r="F68" s="8">
        <v>184.8</v>
      </c>
      <c r="G68" s="8" t="s">
        <v>207</v>
      </c>
      <c r="H68" s="26">
        <v>0</v>
      </c>
      <c r="I68" s="26">
        <v>0</v>
      </c>
      <c r="J68" s="8">
        <f>Tableau14[[#This Row],[F crashes2015]]+Tableau14[[#This Row],[S crashes2015]]</f>
        <v>0</v>
      </c>
      <c r="K68" s="33">
        <f>IF(Tableau14[[#This Row],[F crashes2015]] &lt;&gt; 0, Tableau14[[#This Row],[F &amp; S crashes2015]]/Tableau14[[#This Row],[F crashes2015]], 1)</f>
        <v>1</v>
      </c>
      <c r="L68" s="8">
        <v>12653</v>
      </c>
      <c r="M68" s="8">
        <v>506131</v>
      </c>
      <c r="N68" s="26">
        <f>(Tableau14[[#This Row],[VEHIC KM / JOUR2015]]*365)/1000000000</f>
        <v>0.184737815</v>
      </c>
      <c r="O68" s="26">
        <f>(Tableau14[[#This Row],[F &amp; S crashes2015]]/Tableau14[[#This Row],[BILLION VEH KM TRAVELLED2015]])</f>
        <v>0</v>
      </c>
      <c r="P68" s="11" t="s">
        <v>143</v>
      </c>
      <c r="Q68" s="34">
        <f>Tableau14[[#This Row],[F &amp; S crashes2015]]/4</f>
        <v>0</v>
      </c>
      <c r="R68" s="11"/>
      <c r="S68" s="23">
        <f>Tableau14[[#This Row],[VEHIC KM / JOUR2015]]/Tableau14[[#This Row],[TMJA2015 (vehi/jour)]]</f>
        <v>40.000869359045282</v>
      </c>
      <c r="T68" s="8"/>
      <c r="U68" s="8"/>
      <c r="V68" s="8"/>
      <c r="W68" s="8"/>
      <c r="X68" s="8"/>
      <c r="Y68" s="8"/>
      <c r="Z68" s="8"/>
      <c r="AA68" s="26">
        <f>Tableau14[[#This Row],[F Crashes trancon]]+Tableau14[[#This Row],[S crashes trancon]]</f>
        <v>0</v>
      </c>
      <c r="AB68" s="23">
        <f>IF(Tableau14[[#This Row],[F Crashes trancon]]&lt;&gt; 0, Tableau14[[#This Row],[F&amp;S crashes tronçon ]]/Tableau14[[#This Row],[F Crashes trancon]], 1)</f>
        <v>1</v>
      </c>
      <c r="AC68" s="23">
        <f>(Tableau14[[#This Row],[F&amp;S crashes tronçon ]]/Tableau14[[#This Row],[BILLION VEH KM TRAVELLED2015]])</f>
        <v>0</v>
      </c>
      <c r="AD68" s="26"/>
      <c r="AE68" s="27">
        <f>Tableau14[[#This Row],[F&amp;S crashes tronçon ]]/Tableau14[[#This Row],[LENTGH SECTION(KM)]]</f>
        <v>0</v>
      </c>
      <c r="AF68" s="8"/>
      <c r="AG68" s="8" t="s">
        <v>218</v>
      </c>
      <c r="AH68" s="8" t="s">
        <v>211</v>
      </c>
      <c r="AI68" s="8" t="s">
        <v>212</v>
      </c>
      <c r="AJ68" s="8" t="s">
        <v>211</v>
      </c>
      <c r="AK68" s="8" t="s">
        <v>218</v>
      </c>
      <c r="AL68" s="40"/>
      <c r="AM68" s="8"/>
      <c r="AN68" s="8"/>
      <c r="AO68" s="8"/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44">
        <f>IF(Tableau14[[#This Row],[Moyenne Journalière Infrations 2016]]&gt;0, Tableau14[[#This Row],[Moyenne Journalière Infrations 2016]]-Tableau14[[#This Row],[Moyenne Journalière Infrations 2017]],0)</f>
        <v>0</v>
      </c>
      <c r="AW68" s="44">
        <f>IF(Tableau14[[#This Row],[Moyenne Journalière Infrations 2015]]&gt;0, Tableau14[[#This Row],[Moyenne Journalière Infrations 2015]]-Tableau14[[#This Row],[Moyenne Journalière Infrations 2016]],0)</f>
        <v>0</v>
      </c>
      <c r="AX68" s="8">
        <v>2</v>
      </c>
      <c r="AY68" s="8" t="s">
        <v>218</v>
      </c>
      <c r="AZ68" s="8" t="s">
        <v>417</v>
      </c>
      <c r="BA68" s="8" t="s">
        <v>429</v>
      </c>
      <c r="BB68" s="8">
        <v>0</v>
      </c>
      <c r="BC68" s="8">
        <v>0</v>
      </c>
      <c r="BD68" s="8">
        <f>Tableau14[[#This Row],[S crashes2016]]+Tableau14[[#This Row],[F crashes2016]]</f>
        <v>0</v>
      </c>
      <c r="BE68" s="12">
        <f>IF(Tableau14[[#This Row],[F crashes2016]] &lt;&gt; 0, Tableau14[[#This Row],[F &amp; S crashes2016]]/Tableau14[[#This Row],[F crashes2016]], 1)</f>
        <v>1</v>
      </c>
      <c r="BF68" s="8">
        <v>13922</v>
      </c>
      <c r="BG68" s="8">
        <v>529051</v>
      </c>
      <c r="BH68" s="8">
        <f>(Tableau14[[#This Row],[VEHIC KM / JOUR2016]]*365)/1000000000</f>
        <v>0.19310361500000001</v>
      </c>
      <c r="BI68" s="8">
        <f>(Tableau14[[#This Row],[F &amp; S crashes2016]]/Tableau14[[#This Row],[BILLION VEH KM TRAVELLED2016]])</f>
        <v>0</v>
      </c>
      <c r="BJ68" s="8" t="s">
        <v>143</v>
      </c>
      <c r="BK68" s="8">
        <f>Tableau14[[#This Row],[F &amp; S crashes2016]]/4</f>
        <v>0</v>
      </c>
      <c r="BL68" s="78">
        <f>Tableau14[[#This Row],[CRASH RISK2016]]-Tableau14[[#This Row],[CRASH RISK2015]]</f>
        <v>0</v>
      </c>
      <c r="BM68" s="78">
        <f>Tableau14[[#This Row],[CRASH DENSITY2016]]-Tableau14[[#This Row],[CRASH DENSITY2015]]</f>
        <v>0</v>
      </c>
    </row>
    <row r="69" spans="1:65" ht="28.8" x14ac:dyDescent="0.3">
      <c r="A69" s="28">
        <f t="shared" si="1"/>
        <v>68</v>
      </c>
      <c r="B69" s="47" t="s">
        <v>314</v>
      </c>
      <c r="C69" s="11" t="s">
        <v>325</v>
      </c>
      <c r="D69" s="9" t="s">
        <v>360</v>
      </c>
      <c r="E69" s="10" t="s">
        <v>361</v>
      </c>
      <c r="F69" s="8">
        <v>184.9</v>
      </c>
      <c r="G69" s="8" t="s">
        <v>207</v>
      </c>
      <c r="H69" s="26">
        <v>0</v>
      </c>
      <c r="I69" s="26">
        <v>0</v>
      </c>
      <c r="J69" s="8">
        <f>Tableau14[[#This Row],[F crashes2015]]+Tableau14[[#This Row],[S crashes2015]]</f>
        <v>0</v>
      </c>
      <c r="K69" s="33">
        <f>IF(Tableau14[[#This Row],[F crashes2015]] &lt;&gt; 0, Tableau14[[#This Row],[F &amp; S crashes2015]]/Tableau14[[#This Row],[F crashes2015]], 1)</f>
        <v>1</v>
      </c>
      <c r="L69" s="8">
        <v>12653</v>
      </c>
      <c r="M69" s="8">
        <v>506131</v>
      </c>
      <c r="N69" s="26">
        <f>(Tableau14[[#This Row],[VEHIC KM / JOUR2015]]*365)/1000000000</f>
        <v>0.184737815</v>
      </c>
      <c r="O69" s="26">
        <f>(Tableau14[[#This Row],[F &amp; S crashes2015]]/Tableau14[[#This Row],[BILLION VEH KM TRAVELLED2015]])</f>
        <v>0</v>
      </c>
      <c r="P69" s="11" t="s">
        <v>143</v>
      </c>
      <c r="Q69" s="34">
        <f>Tableau14[[#This Row],[F &amp; S crashes2015]]/4</f>
        <v>0</v>
      </c>
      <c r="R69" s="11"/>
      <c r="S69" s="23">
        <f>Tableau14[[#This Row],[VEHIC KM / JOUR2015]]/Tableau14[[#This Row],[TMJA2015 (vehi/jour)]]</f>
        <v>40.000869359045282</v>
      </c>
      <c r="T69" s="8"/>
      <c r="U69" s="8"/>
      <c r="V69" s="8"/>
      <c r="W69" s="8"/>
      <c r="X69" s="8"/>
      <c r="Y69" s="8"/>
      <c r="Z69" s="8"/>
      <c r="AA69" s="26">
        <f>Tableau14[[#This Row],[F Crashes trancon]]+Tableau14[[#This Row],[S crashes trancon]]</f>
        <v>0</v>
      </c>
      <c r="AB69" s="23">
        <f>IF(Tableau14[[#This Row],[F Crashes trancon]]&lt;&gt; 0, Tableau14[[#This Row],[F&amp;S crashes tronçon ]]/Tableau14[[#This Row],[F Crashes trancon]], 1)</f>
        <v>1</v>
      </c>
      <c r="AC69" s="23">
        <f>(Tableau14[[#This Row],[F&amp;S crashes tronçon ]]/Tableau14[[#This Row],[BILLION VEH KM TRAVELLED2015]])</f>
        <v>0</v>
      </c>
      <c r="AD69" s="26"/>
      <c r="AE69" s="27">
        <f>Tableau14[[#This Row],[F&amp;S crashes tronçon ]]/Tableau14[[#This Row],[LENTGH SECTION(KM)]]</f>
        <v>0</v>
      </c>
      <c r="AF69" s="8"/>
      <c r="AG69" s="8" t="s">
        <v>218</v>
      </c>
      <c r="AH69" s="8" t="s">
        <v>211</v>
      </c>
      <c r="AI69" s="8" t="s">
        <v>212</v>
      </c>
      <c r="AJ69" s="8" t="s">
        <v>211</v>
      </c>
      <c r="AK69" s="8" t="s">
        <v>218</v>
      </c>
      <c r="AL69" s="40"/>
      <c r="AM69" s="8"/>
      <c r="AN69" s="8"/>
      <c r="AO69" s="8"/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44">
        <f>IF(Tableau14[[#This Row],[Moyenne Journalière Infrations 2016]]&gt;0, Tableau14[[#This Row],[Moyenne Journalière Infrations 2016]]-Tableau14[[#This Row],[Moyenne Journalière Infrations 2017]],0)</f>
        <v>0</v>
      </c>
      <c r="AW69" s="44">
        <f>IF(Tableau14[[#This Row],[Moyenne Journalière Infrations 2015]]&gt;0, Tableau14[[#This Row],[Moyenne Journalière Infrations 2015]]-Tableau14[[#This Row],[Moyenne Journalière Infrations 2016]],0)</f>
        <v>0</v>
      </c>
      <c r="AX69" s="8">
        <v>2</v>
      </c>
      <c r="AY69" s="8" t="s">
        <v>218</v>
      </c>
      <c r="AZ69" s="8" t="s">
        <v>417</v>
      </c>
      <c r="BA69" s="8" t="s">
        <v>430</v>
      </c>
      <c r="BB69" s="8">
        <v>0</v>
      </c>
      <c r="BC69" s="8">
        <v>0</v>
      </c>
      <c r="BD69" s="8">
        <f>Tableau14[[#This Row],[S crashes2016]]+Tableau14[[#This Row],[F crashes2016]]</f>
        <v>0</v>
      </c>
      <c r="BE69" s="12">
        <f>IF(Tableau14[[#This Row],[F crashes2016]] &lt;&gt; 0, Tableau14[[#This Row],[F &amp; S crashes2016]]/Tableau14[[#This Row],[F crashes2016]], 1)</f>
        <v>1</v>
      </c>
      <c r="BF69" s="8">
        <v>13922</v>
      </c>
      <c r="BG69" s="8">
        <v>529051</v>
      </c>
      <c r="BH69" s="8">
        <f>(Tableau14[[#This Row],[VEHIC KM / JOUR2016]]*365)/1000000000</f>
        <v>0.19310361500000001</v>
      </c>
      <c r="BI69" s="8">
        <f>(Tableau14[[#This Row],[F &amp; S crashes2016]]/Tableau14[[#This Row],[BILLION VEH KM TRAVELLED2016]])</f>
        <v>0</v>
      </c>
      <c r="BJ69" s="8" t="s">
        <v>143</v>
      </c>
      <c r="BK69" s="8">
        <f>Tableau14[[#This Row],[F &amp; S crashes2016]]/4</f>
        <v>0</v>
      </c>
      <c r="BL69" s="78">
        <f>Tableau14[[#This Row],[CRASH RISK2016]]-Tableau14[[#This Row],[CRASH RISK2015]]</f>
        <v>0</v>
      </c>
      <c r="BM69" s="78">
        <f>Tableau14[[#This Row],[CRASH DENSITY2016]]-Tableau14[[#This Row],[CRASH DENSITY2015]]</f>
        <v>0</v>
      </c>
    </row>
    <row r="70" spans="1:65" ht="28.8" x14ac:dyDescent="0.3">
      <c r="A70" s="28">
        <f t="shared" si="1"/>
        <v>69</v>
      </c>
      <c r="B70" s="41" t="s">
        <v>243</v>
      </c>
      <c r="C70" s="11" t="s">
        <v>254</v>
      </c>
      <c r="D70" s="9" t="s">
        <v>273</v>
      </c>
      <c r="E70" s="10" t="s">
        <v>274</v>
      </c>
      <c r="F70" s="8">
        <v>75.61</v>
      </c>
      <c r="G70" s="8" t="s">
        <v>279</v>
      </c>
      <c r="H70" s="26">
        <v>3</v>
      </c>
      <c r="I70" s="26">
        <v>0</v>
      </c>
      <c r="J70" s="8">
        <f>Tableau14[[#This Row],[F crashes2015]]+Tableau14[[#This Row],[S crashes2015]]</f>
        <v>3</v>
      </c>
      <c r="K70" s="33">
        <f>IF(Tableau14[[#This Row],[F crashes2015]] &lt;&gt; 0, Tableau14[[#This Row],[F &amp; S crashes2015]]/Tableau14[[#This Row],[F crashes2015]], 1)</f>
        <v>1</v>
      </c>
      <c r="L70" s="8">
        <v>13087</v>
      </c>
      <c r="M70" s="8">
        <v>327172</v>
      </c>
      <c r="N70" s="26">
        <f>(Tableau14[[#This Row],[VEHIC KM / JOUR2015]]*365)/1000000000</f>
        <v>0.11941778</v>
      </c>
      <c r="O70" s="26">
        <f>(Tableau14[[#This Row],[F &amp; S crashes2015]]/Tableau14[[#This Row],[BILLION VEH KM TRAVELLED2015]])</f>
        <v>25.121887209760555</v>
      </c>
      <c r="P70" s="11" t="s">
        <v>144</v>
      </c>
      <c r="Q70" s="34">
        <f>Tableau14[[#This Row],[F &amp; S crashes2015]]/4</f>
        <v>0.75</v>
      </c>
      <c r="R70" s="11"/>
      <c r="S70" s="23">
        <f>Tableau14[[#This Row],[VEHIC KM / JOUR2015]]/Tableau14[[#This Row],[TMJA2015 (vehi/jour)]]</f>
        <v>24.99977076488118</v>
      </c>
      <c r="T70" s="8"/>
      <c r="U70" s="8"/>
      <c r="V70" s="8"/>
      <c r="W70" s="8"/>
      <c r="X70" s="8"/>
      <c r="Y70" s="8"/>
      <c r="Z70" s="8"/>
      <c r="AA70" s="26">
        <f>Tableau14[[#This Row],[F Crashes trancon]]+Tableau14[[#This Row],[S crashes trancon]]</f>
        <v>0</v>
      </c>
      <c r="AB70" s="23">
        <f>IF(Tableau14[[#This Row],[F Crashes trancon]]&lt;&gt; 0, Tableau14[[#This Row],[F&amp;S crashes tronçon ]]/Tableau14[[#This Row],[F Crashes trancon]], 1)</f>
        <v>1</v>
      </c>
      <c r="AC70" s="23">
        <f>(Tableau14[[#This Row],[F&amp;S crashes tronçon ]]/Tableau14[[#This Row],[BILLION VEH KM TRAVELLED2015]])</f>
        <v>0</v>
      </c>
      <c r="AD70" s="26"/>
      <c r="AE70" s="27">
        <f>Tableau14[[#This Row],[F&amp;S crashes tronçon ]]/Tableau14[[#This Row],[LENTGH SECTION(KM)]]</f>
        <v>0</v>
      </c>
      <c r="AF70" s="8"/>
      <c r="AG70" s="8" t="s">
        <v>218</v>
      </c>
      <c r="AH70" s="8" t="s">
        <v>212</v>
      </c>
      <c r="AI70" s="8" t="s">
        <v>212</v>
      </c>
      <c r="AJ70" s="8" t="s">
        <v>211</v>
      </c>
      <c r="AK70" s="8" t="s">
        <v>218</v>
      </c>
      <c r="AL70" s="40" t="s">
        <v>218</v>
      </c>
      <c r="AM70" s="16">
        <v>0</v>
      </c>
      <c r="AN70" s="16">
        <v>34111</v>
      </c>
      <c r="AO70" s="16">
        <v>11302</v>
      </c>
      <c r="AP70" s="16">
        <v>0</v>
      </c>
      <c r="AQ70" s="16">
        <v>0</v>
      </c>
      <c r="AR70" s="16">
        <v>139</v>
      </c>
      <c r="AS70" s="16">
        <v>244</v>
      </c>
      <c r="AT70" s="16">
        <v>100</v>
      </c>
      <c r="AU70" s="16">
        <v>112</v>
      </c>
      <c r="AV70" s="44">
        <f>IF(Tableau14[[#This Row],[Moyenne Journalière Infrations 2016]]&gt;0, Tableau14[[#This Row],[Moyenne Journalière Infrations 2016]]-Tableau14[[#This Row],[Moyenne Journalière Infrations 2017]],0)</f>
        <v>39</v>
      </c>
      <c r="AW70" s="44">
        <f>IF(Tableau14[[#This Row],[Moyenne Journalière Infrations 2015]]&gt;0, Tableau14[[#This Row],[Moyenne Journalière Infrations 2015]]-Tableau14[[#This Row],[Moyenne Journalière Infrations 2016]],0)</f>
        <v>0</v>
      </c>
      <c r="AX70" s="8">
        <v>2</v>
      </c>
      <c r="AY70" s="8" t="s">
        <v>218</v>
      </c>
      <c r="AZ70" s="8" t="s">
        <v>417</v>
      </c>
      <c r="BA70" s="8" t="s">
        <v>431</v>
      </c>
      <c r="BB70" s="8">
        <v>0</v>
      </c>
      <c r="BC70" s="8">
        <v>0</v>
      </c>
      <c r="BD70" s="8">
        <f>Tableau14[[#This Row],[S crashes2016]]+Tableau14[[#This Row],[F crashes2016]]</f>
        <v>0</v>
      </c>
      <c r="BE70" s="12">
        <f>IF(Tableau14[[#This Row],[F crashes2016]] &lt;&gt; 0, Tableau14[[#This Row],[F &amp; S crashes2016]]/Tableau14[[#This Row],[F crashes2016]], 1)</f>
        <v>1</v>
      </c>
      <c r="BF70" s="8">
        <v>14526</v>
      </c>
      <c r="BG70" s="8">
        <v>363148</v>
      </c>
      <c r="BH70" s="8">
        <f>(Tableau14[[#This Row],[VEHIC KM / JOUR2016]]*365)/1000000000</f>
        <v>0.13254901999999999</v>
      </c>
      <c r="BI70" s="8">
        <f>(Tableau14[[#This Row],[F &amp; S crashes2016]]/Tableau14[[#This Row],[BILLION VEH KM TRAVELLED2016]])</f>
        <v>0</v>
      </c>
      <c r="BJ70" s="8" t="s">
        <v>143</v>
      </c>
      <c r="BK70" s="8">
        <f>Tableau14[[#This Row],[F &amp; S crashes2016]]/4</f>
        <v>0</v>
      </c>
      <c r="BL70" s="78">
        <f>Tableau14[[#This Row],[CRASH RISK2016]]-Tableau14[[#This Row],[CRASH RISK2015]]</f>
        <v>-25.121887209760555</v>
      </c>
      <c r="BM70" s="78">
        <f>Tableau14[[#This Row],[CRASH DENSITY2016]]-Tableau14[[#This Row],[CRASH DENSITY2015]]</f>
        <v>-0.75</v>
      </c>
    </row>
    <row r="71" spans="1:65" x14ac:dyDescent="0.3">
      <c r="A71" s="28">
        <f t="shared" si="1"/>
        <v>70</v>
      </c>
      <c r="B71" s="41" t="s">
        <v>244</v>
      </c>
      <c r="C71" s="11" t="s">
        <v>255</v>
      </c>
      <c r="D71" s="9" t="s">
        <v>275</v>
      </c>
      <c r="E71" s="10" t="s">
        <v>276</v>
      </c>
      <c r="F71" s="8">
        <v>16.21</v>
      </c>
      <c r="G71" s="8" t="s">
        <v>208</v>
      </c>
      <c r="H71" s="26">
        <v>0</v>
      </c>
      <c r="I71" s="26">
        <v>0</v>
      </c>
      <c r="J71" s="8">
        <f>Tableau14[[#This Row],[F crashes2015]]+Tableau14[[#This Row],[S crashes2015]]</f>
        <v>0</v>
      </c>
      <c r="K71" s="33">
        <f>IF(Tableau14[[#This Row],[F crashes2015]] &lt;&gt; 0, Tableau14[[#This Row],[F &amp; S crashes2015]]/Tableau14[[#This Row],[F crashes2015]], 1)</f>
        <v>1</v>
      </c>
      <c r="L71" s="8">
        <v>3462</v>
      </c>
      <c r="M71" s="8">
        <v>20771</v>
      </c>
      <c r="N71" s="26">
        <f>(Tableau14[[#This Row],[VEHIC KM / JOUR2015]]*365)/1000000000</f>
        <v>7.5814150000000002E-3</v>
      </c>
      <c r="O71" s="26">
        <f>(Tableau14[[#This Row],[F &amp; S crashes2015]]/Tableau14[[#This Row],[BILLION VEH KM TRAVELLED2015]])</f>
        <v>0</v>
      </c>
      <c r="P71" s="11" t="s">
        <v>143</v>
      </c>
      <c r="Q71" s="34">
        <f>Tableau14[[#This Row],[F &amp; S crashes2015]]/4</f>
        <v>0</v>
      </c>
      <c r="R71" s="11"/>
      <c r="S71" s="23">
        <f>Tableau14[[#This Row],[VEHIC KM / JOUR2015]]/Tableau14[[#This Row],[TMJA2015 (vehi/jour)]]</f>
        <v>5.9997111496244946</v>
      </c>
      <c r="T71" s="8"/>
      <c r="U71" s="8"/>
      <c r="V71" s="8"/>
      <c r="W71" s="8"/>
      <c r="X71" s="8"/>
      <c r="Y71" s="8"/>
      <c r="Z71" s="8"/>
      <c r="AA71" s="26">
        <f>Tableau14[[#This Row],[F Crashes trancon]]+Tableau14[[#This Row],[S crashes trancon]]</f>
        <v>0</v>
      </c>
      <c r="AB71" s="23">
        <f>IF(Tableau14[[#This Row],[F Crashes trancon]]&lt;&gt; 0, Tableau14[[#This Row],[F&amp;S crashes tronçon ]]/Tableau14[[#This Row],[F Crashes trancon]], 1)</f>
        <v>1</v>
      </c>
      <c r="AC71" s="23">
        <f>(Tableau14[[#This Row],[F&amp;S crashes tronçon ]]/Tableau14[[#This Row],[BILLION VEH KM TRAVELLED2015]])</f>
        <v>0</v>
      </c>
      <c r="AD71" s="26"/>
      <c r="AE71" s="27">
        <f>Tableau14[[#This Row],[F&amp;S crashes tronçon ]]/Tableau14[[#This Row],[LENTGH SECTION(KM)]]</f>
        <v>0</v>
      </c>
      <c r="AF71" s="8"/>
      <c r="AG71" s="8" t="s">
        <v>218</v>
      </c>
      <c r="AH71" s="8" t="s">
        <v>211</v>
      </c>
      <c r="AI71" s="8" t="s">
        <v>212</v>
      </c>
      <c r="AJ71" s="8" t="s">
        <v>212</v>
      </c>
      <c r="AK71" s="8" t="s">
        <v>218</v>
      </c>
      <c r="AL71" s="40" t="s">
        <v>218</v>
      </c>
      <c r="AM71" s="16">
        <v>43</v>
      </c>
      <c r="AN71" s="16">
        <v>149</v>
      </c>
      <c r="AO71" s="16">
        <v>7511</v>
      </c>
      <c r="AP71" s="16">
        <v>8</v>
      </c>
      <c r="AQ71" s="16">
        <v>5</v>
      </c>
      <c r="AR71" s="16">
        <v>9</v>
      </c>
      <c r="AS71" s="16">
        <v>16</v>
      </c>
      <c r="AT71" s="16">
        <v>37</v>
      </c>
      <c r="AU71" s="16">
        <v>203</v>
      </c>
      <c r="AV71" s="44">
        <f>IF(Tableau14[[#This Row],[Moyenne Journalière Infrations 2016]]&gt;0, Tableau14[[#This Row],[Moyenne Journalière Infrations 2016]]-Tableau14[[#This Row],[Moyenne Journalière Infrations 2017]],0)</f>
        <v>-28</v>
      </c>
      <c r="AW71" s="44">
        <f>IF(Tableau14[[#This Row],[Moyenne Journalière Infrations 2015]]&gt;0, Tableau14[[#This Row],[Moyenne Journalière Infrations 2015]]-Tableau14[[#This Row],[Moyenne Journalière Infrations 2016]],0)</f>
        <v>-1</v>
      </c>
      <c r="AX71" s="8">
        <v>2</v>
      </c>
      <c r="AY71" s="8" t="s">
        <v>218</v>
      </c>
      <c r="AZ71" s="8" t="s">
        <v>417</v>
      </c>
      <c r="BA71" s="8" t="s">
        <v>432</v>
      </c>
      <c r="BB71" s="8">
        <v>0</v>
      </c>
      <c r="BC71" s="8">
        <v>0</v>
      </c>
      <c r="BD71" s="8">
        <f>Tableau14[[#This Row],[S crashes2016]]+Tableau14[[#This Row],[F crashes2016]]</f>
        <v>0</v>
      </c>
      <c r="BE71" s="12">
        <f>IF(Tableau14[[#This Row],[F crashes2016]] &lt;&gt; 0, Tableau14[[#This Row],[F &amp; S crashes2016]]/Tableau14[[#This Row],[F crashes2016]], 1)</f>
        <v>1</v>
      </c>
      <c r="BF71" s="8">
        <v>3742</v>
      </c>
      <c r="BG71" s="8">
        <v>22450</v>
      </c>
      <c r="BH71" s="8">
        <f>(Tableau14[[#This Row],[VEHIC KM / JOUR2016]]*365)/1000000000</f>
        <v>8.1942500000000001E-3</v>
      </c>
      <c r="BI71" s="8">
        <f>(Tableau14[[#This Row],[F &amp; S crashes2016]]/Tableau14[[#This Row],[BILLION VEH KM TRAVELLED2016]])</f>
        <v>0</v>
      </c>
      <c r="BJ71" s="8" t="s">
        <v>143</v>
      </c>
      <c r="BK71" s="8">
        <f>Tableau14[[#This Row],[F &amp; S crashes2016]]/4</f>
        <v>0</v>
      </c>
      <c r="BL71" s="78">
        <f>Tableau14[[#This Row],[CRASH RISK2016]]-Tableau14[[#This Row],[CRASH RISK2015]]</f>
        <v>0</v>
      </c>
      <c r="BM71" s="78">
        <f>Tableau14[[#This Row],[CRASH DENSITY2016]]-Tableau14[[#This Row],[CRASH DENSITY2015]]</f>
        <v>0</v>
      </c>
    </row>
    <row r="72" spans="1:65" ht="28.8" x14ac:dyDescent="0.3">
      <c r="A72" s="28">
        <f t="shared" si="1"/>
        <v>71</v>
      </c>
      <c r="B72" s="41" t="s">
        <v>245</v>
      </c>
      <c r="C72" s="11" t="s">
        <v>256</v>
      </c>
      <c r="D72" s="9" t="s">
        <v>277</v>
      </c>
      <c r="E72" s="10" t="s">
        <v>278</v>
      </c>
      <c r="F72" s="8">
        <v>16.309999999999999</v>
      </c>
      <c r="G72" s="8" t="s">
        <v>208</v>
      </c>
      <c r="H72" s="26">
        <v>0</v>
      </c>
      <c r="I72" s="26">
        <v>0</v>
      </c>
      <c r="J72" s="8">
        <f>Tableau14[[#This Row],[F crashes2015]]+Tableau14[[#This Row],[S crashes2015]]</f>
        <v>0</v>
      </c>
      <c r="K72" s="33">
        <f>IF(Tableau14[[#This Row],[F crashes2015]] &lt;&gt; 0, Tableau14[[#This Row],[F &amp; S crashes2015]]/Tableau14[[#This Row],[F crashes2015]], 1)</f>
        <v>1</v>
      </c>
      <c r="L72" s="8">
        <v>3462</v>
      </c>
      <c r="M72" s="8">
        <v>20771</v>
      </c>
      <c r="N72" s="26">
        <f>(Tableau14[[#This Row],[VEHIC KM / JOUR2015]]*365)/1000000000</f>
        <v>7.5814150000000002E-3</v>
      </c>
      <c r="O72" s="26">
        <f>(Tableau14[[#This Row],[F &amp; S crashes2015]]/Tableau14[[#This Row],[BILLION VEH KM TRAVELLED2015]])</f>
        <v>0</v>
      </c>
      <c r="P72" s="11" t="s">
        <v>143</v>
      </c>
      <c r="Q72" s="34">
        <f>Tableau14[[#This Row],[F &amp; S crashes2015]]/4</f>
        <v>0</v>
      </c>
      <c r="R72" s="11"/>
      <c r="S72" s="23">
        <f>Tableau14[[#This Row],[VEHIC KM / JOUR2015]]/Tableau14[[#This Row],[TMJA2015 (vehi/jour)]]</f>
        <v>5.9997111496244946</v>
      </c>
      <c r="T72" s="8"/>
      <c r="U72" s="8"/>
      <c r="V72" s="8"/>
      <c r="W72" s="8"/>
      <c r="X72" s="8"/>
      <c r="Y72" s="8"/>
      <c r="Z72" s="8"/>
      <c r="AA72" s="26">
        <f>Tableau14[[#This Row],[F Crashes trancon]]+Tableau14[[#This Row],[S crashes trancon]]</f>
        <v>0</v>
      </c>
      <c r="AB72" s="23">
        <f>IF(Tableau14[[#This Row],[F Crashes trancon]]&lt;&gt; 0, Tableau14[[#This Row],[F&amp;S crashes tronçon ]]/Tableau14[[#This Row],[F Crashes trancon]], 1)</f>
        <v>1</v>
      </c>
      <c r="AC72" s="23">
        <f>(Tableau14[[#This Row],[F&amp;S crashes tronçon ]]/Tableau14[[#This Row],[BILLION VEH KM TRAVELLED2015]])</f>
        <v>0</v>
      </c>
      <c r="AD72" s="26"/>
      <c r="AE72" s="27">
        <f>Tableau14[[#This Row],[F&amp;S crashes tronçon ]]/Tableau14[[#This Row],[LENTGH SECTION(KM)]]</f>
        <v>0</v>
      </c>
      <c r="AF72" s="8"/>
      <c r="AG72" s="8" t="s">
        <v>218</v>
      </c>
      <c r="AH72" s="8" t="s">
        <v>211</v>
      </c>
      <c r="AI72" s="8" t="s">
        <v>212</v>
      </c>
      <c r="AJ72" s="8" t="s">
        <v>212</v>
      </c>
      <c r="AK72" s="8" t="s">
        <v>218</v>
      </c>
      <c r="AL72" s="40" t="s">
        <v>218</v>
      </c>
      <c r="AM72" s="16">
        <v>0</v>
      </c>
      <c r="AN72" s="16">
        <v>3259</v>
      </c>
      <c r="AO72" s="16">
        <v>11161</v>
      </c>
      <c r="AP72" s="16">
        <v>0</v>
      </c>
      <c r="AQ72" s="16">
        <v>0</v>
      </c>
      <c r="AR72" s="16">
        <v>26</v>
      </c>
      <c r="AS72" s="16">
        <v>125</v>
      </c>
      <c r="AT72" s="16">
        <v>34</v>
      </c>
      <c r="AU72" s="16">
        <v>328</v>
      </c>
      <c r="AV72" s="44">
        <f>IF(Tableau14[[#This Row],[Moyenne Journalière Infrations 2016]]&gt;0, Tableau14[[#This Row],[Moyenne Journalière Infrations 2016]]-Tableau14[[#This Row],[Moyenne Journalière Infrations 2017]],0)</f>
        <v>-8</v>
      </c>
      <c r="AW72" s="44">
        <f>IF(Tableau14[[#This Row],[Moyenne Journalière Infrations 2015]]&gt;0, Tableau14[[#This Row],[Moyenne Journalière Infrations 2015]]-Tableau14[[#This Row],[Moyenne Journalière Infrations 2016]],0)</f>
        <v>0</v>
      </c>
      <c r="AX72" s="8">
        <v>2</v>
      </c>
      <c r="AY72" s="8" t="s">
        <v>218</v>
      </c>
      <c r="AZ72" s="8" t="s">
        <v>417</v>
      </c>
      <c r="BA72" s="8" t="s">
        <v>433</v>
      </c>
      <c r="BB72" s="8">
        <v>0</v>
      </c>
      <c r="BC72" s="8">
        <v>0</v>
      </c>
      <c r="BD72" s="8">
        <f>Tableau14[[#This Row],[S crashes2016]]+Tableau14[[#This Row],[F crashes2016]]</f>
        <v>0</v>
      </c>
      <c r="BE72" s="12">
        <f>IF(Tableau14[[#This Row],[F crashes2016]] &lt;&gt; 0, Tableau14[[#This Row],[F &amp; S crashes2016]]/Tableau14[[#This Row],[F crashes2016]], 1)</f>
        <v>1</v>
      </c>
      <c r="BF72" s="8">
        <v>3742</v>
      </c>
      <c r="BG72" s="8">
        <v>22450</v>
      </c>
      <c r="BH72" s="8">
        <f>(Tableau14[[#This Row],[VEHIC KM / JOUR2016]]*365)/1000000000</f>
        <v>8.1942500000000001E-3</v>
      </c>
      <c r="BI72" s="8">
        <f>(Tableau14[[#This Row],[F &amp; S crashes2016]]/Tableau14[[#This Row],[BILLION VEH KM TRAVELLED2016]])</f>
        <v>0</v>
      </c>
      <c r="BJ72" s="8" t="s">
        <v>143</v>
      </c>
      <c r="BK72" s="8">
        <f>Tableau14[[#This Row],[F &amp; S crashes2016]]/4</f>
        <v>0</v>
      </c>
      <c r="BL72" s="78">
        <f>Tableau14[[#This Row],[CRASH RISK2016]]-Tableau14[[#This Row],[CRASH RISK2015]]</f>
        <v>0</v>
      </c>
      <c r="BM72" s="78">
        <f>Tableau14[[#This Row],[CRASH DENSITY2016]]-Tableau14[[#This Row],[CRASH DENSITY2015]]</f>
        <v>0</v>
      </c>
    </row>
    <row r="73" spans="1:65" ht="28.8" x14ac:dyDescent="0.3">
      <c r="A73" s="28">
        <f t="shared" si="1"/>
        <v>72</v>
      </c>
      <c r="B73" s="54" t="s">
        <v>189</v>
      </c>
      <c r="C73" s="11" t="s">
        <v>179</v>
      </c>
      <c r="D73" s="9" t="s">
        <v>199</v>
      </c>
      <c r="E73" s="10" t="s">
        <v>200</v>
      </c>
      <c r="F73" s="8">
        <v>124</v>
      </c>
      <c r="G73" s="8" t="s">
        <v>209</v>
      </c>
      <c r="H73" s="26">
        <v>0</v>
      </c>
      <c r="I73" s="26">
        <v>1</v>
      </c>
      <c r="J73" s="8">
        <f>Tableau14[[#This Row],[F crashes2015]]+Tableau14[[#This Row],[S crashes2015]]</f>
        <v>1</v>
      </c>
      <c r="K73" s="33">
        <f>IF(Tableau14[[#This Row],[F crashes2015]] &lt;&gt; 0, Tableau14[[#This Row],[F &amp; S crashes2015]]/Tableau14[[#This Row],[F crashes2015]], 1)</f>
        <v>1</v>
      </c>
      <c r="L73" s="8">
        <v>11566</v>
      </c>
      <c r="M73" s="8">
        <v>92531</v>
      </c>
      <c r="N73" s="26">
        <f>(Tableau14[[#This Row],[VEHIC KM / JOUR2015]]*365)/1000000000</f>
        <v>3.3773814999999999E-2</v>
      </c>
      <c r="O73" s="26">
        <f>(Tableau14[[#This Row],[F &amp; S crashes2015]]/Tableau14[[#This Row],[BILLION VEH KM TRAVELLED2015]])</f>
        <v>29.60873682762815</v>
      </c>
      <c r="P73" s="11" t="s">
        <v>144</v>
      </c>
      <c r="Q73" s="34">
        <f>Tableau14[[#This Row],[F &amp; S crashes2015]]/4</f>
        <v>0.25</v>
      </c>
      <c r="R73" s="11"/>
      <c r="S73" s="23">
        <f>Tableau14[[#This Row],[VEHIC KM / JOUR2015]]/Tableau14[[#This Row],[TMJA2015 (vehi/jour)]]</f>
        <v>8.0002593809441471</v>
      </c>
      <c r="T73" s="8">
        <v>1</v>
      </c>
      <c r="U73" s="8">
        <v>1</v>
      </c>
      <c r="V73" s="8">
        <v>120</v>
      </c>
      <c r="W73" s="8">
        <v>120</v>
      </c>
      <c r="X73" s="8">
        <v>128</v>
      </c>
      <c r="Y73" s="8"/>
      <c r="Z73" s="8"/>
      <c r="AA73" s="26">
        <f>Tableau14[[#This Row],[F Crashes trancon]]+Tableau14[[#This Row],[S crashes trancon]]</f>
        <v>0</v>
      </c>
      <c r="AB73" s="23">
        <f>IF(Tableau14[[#This Row],[F Crashes trancon]]&lt;&gt; 0, Tableau14[[#This Row],[F&amp;S crashes tronçon ]]/Tableau14[[#This Row],[F Crashes trancon]], 1)</f>
        <v>1</v>
      </c>
      <c r="AC73" s="23">
        <f>(Tableau14[[#This Row],[F&amp;S crashes tronçon ]]/Tableau14[[#This Row],[BILLION VEH KM TRAVELLED2015]])</f>
        <v>0</v>
      </c>
      <c r="AD73" s="26"/>
      <c r="AE73" s="27">
        <f>Tableau14[[#This Row],[F&amp;S crashes tronçon ]]/Tableau14[[#This Row],[LENTGH SECTION(KM)]]</f>
        <v>0</v>
      </c>
      <c r="AF73" s="8"/>
      <c r="AG73" s="8" t="s">
        <v>218</v>
      </c>
      <c r="AH73" s="8" t="s">
        <v>211</v>
      </c>
      <c r="AI73" s="8" t="s">
        <v>212</v>
      </c>
      <c r="AJ73" s="8" t="s">
        <v>211</v>
      </c>
      <c r="AK73" s="8" t="s">
        <v>218</v>
      </c>
      <c r="AL73" s="40" t="s">
        <v>218</v>
      </c>
      <c r="AM73" s="16">
        <v>0</v>
      </c>
      <c r="AN73" s="8">
        <v>25202</v>
      </c>
      <c r="AO73" s="8">
        <v>23803</v>
      </c>
      <c r="AP73" s="16">
        <v>0</v>
      </c>
      <c r="AQ73" s="16">
        <v>0</v>
      </c>
      <c r="AR73" s="8">
        <v>113</v>
      </c>
      <c r="AS73" s="8">
        <v>222</v>
      </c>
      <c r="AT73" s="8">
        <v>109</v>
      </c>
      <c r="AU73" s="8">
        <v>217</v>
      </c>
      <c r="AV73" s="44">
        <f>IF(Tableau14[[#This Row],[Moyenne Journalière Infrations 2016]]&gt;0, Tableau14[[#This Row],[Moyenne Journalière Infrations 2016]]-Tableau14[[#This Row],[Moyenne Journalière Infrations 2017]],0)</f>
        <v>4</v>
      </c>
      <c r="AW73" s="44">
        <f>IF(Tableau14[[#This Row],[Moyenne Journalière Infrations 2015]]&gt;0, Tableau14[[#This Row],[Moyenne Journalière Infrations 2015]]-Tableau14[[#This Row],[Moyenne Journalière Infrations 2016]],0)</f>
        <v>0</v>
      </c>
      <c r="AX73" s="8">
        <v>2</v>
      </c>
      <c r="AY73" s="8" t="s">
        <v>218</v>
      </c>
      <c r="AZ73" s="8" t="s">
        <v>417</v>
      </c>
      <c r="BA73" s="8" t="s">
        <v>434</v>
      </c>
      <c r="BB73" s="8">
        <v>1</v>
      </c>
      <c r="BC73" s="8">
        <v>0</v>
      </c>
      <c r="BD73" s="8">
        <f>Tableau14[[#This Row],[S crashes2016]]+Tableau14[[#This Row],[F crashes2016]]</f>
        <v>1</v>
      </c>
      <c r="BE73" s="12">
        <f>IF(Tableau14[[#This Row],[F crashes2016]] &lt;&gt; 0, Tableau14[[#This Row],[F &amp; S crashes2016]]/Tableau14[[#This Row],[F crashes2016]], 1)</f>
        <v>1</v>
      </c>
      <c r="BF73" s="8">
        <v>12280</v>
      </c>
      <c r="BG73" s="8">
        <v>98240</v>
      </c>
      <c r="BH73" s="8">
        <f>(Tableau14[[#This Row],[VEHIC KM / JOUR2016]]*365)/1000000000</f>
        <v>3.5857600000000003E-2</v>
      </c>
      <c r="BI73" s="8">
        <f>(Tableau14[[#This Row],[F &amp; S crashes2016]]/Tableau14[[#This Row],[BILLION VEH KM TRAVELLED2016]])</f>
        <v>27.888090669760384</v>
      </c>
      <c r="BJ73" s="8" t="s">
        <v>144</v>
      </c>
      <c r="BK73" s="8">
        <f>Tableau14[[#This Row],[F &amp; S crashes2016]]/4</f>
        <v>0.25</v>
      </c>
      <c r="BL73" s="78">
        <f>Tableau14[[#This Row],[CRASH RISK2016]]-Tableau14[[#This Row],[CRASH RISK2015]]</f>
        <v>-1.7206461578677654</v>
      </c>
      <c r="BM73" s="78">
        <f>Tableau14[[#This Row],[CRASH DENSITY2016]]-Tableau14[[#This Row],[CRASH DENSITY2015]]</f>
        <v>0</v>
      </c>
    </row>
    <row r="74" spans="1:65" ht="28.8" x14ac:dyDescent="0.3">
      <c r="A74" s="28">
        <f t="shared" si="1"/>
        <v>73</v>
      </c>
      <c r="B74" s="54" t="s">
        <v>190</v>
      </c>
      <c r="C74" s="11" t="s">
        <v>180</v>
      </c>
      <c r="D74" s="9" t="s">
        <v>201</v>
      </c>
      <c r="E74" s="10" t="s">
        <v>202</v>
      </c>
      <c r="F74" s="8">
        <v>65</v>
      </c>
      <c r="G74" s="8" t="s">
        <v>209</v>
      </c>
      <c r="H74" s="26">
        <v>0</v>
      </c>
      <c r="I74" s="26">
        <v>0</v>
      </c>
      <c r="J74" s="8">
        <f>Tableau14[[#This Row],[F crashes2015]]+Tableau14[[#This Row],[S crashes2015]]</f>
        <v>0</v>
      </c>
      <c r="K74" s="33">
        <f>IF(Tableau14[[#This Row],[F crashes2015]] &lt;&gt; 0, Tableau14[[#This Row],[F &amp; S crashes2015]]/Tableau14[[#This Row],[F crashes2015]], 1)</f>
        <v>1</v>
      </c>
      <c r="L74" s="8">
        <v>15327</v>
      </c>
      <c r="M74" s="8">
        <v>383186</v>
      </c>
      <c r="N74" s="26">
        <f>(Tableau14[[#This Row],[VEHIC KM / JOUR2015]]*365)/1000000000</f>
        <v>0.13986288999999999</v>
      </c>
      <c r="O74" s="26">
        <f>(Tableau14[[#This Row],[F &amp; S crashes2015]]/Tableau14[[#This Row],[BILLION VEH KM TRAVELLED2015]])</f>
        <v>0</v>
      </c>
      <c r="P74" s="11" t="s">
        <v>143</v>
      </c>
      <c r="Q74" s="34">
        <f>Tableau14[[#This Row],[F &amp; S crashes2015]]/4</f>
        <v>0</v>
      </c>
      <c r="R74" s="11"/>
      <c r="S74" s="23">
        <f>Tableau14[[#This Row],[VEHIC KM / JOUR2015]]/Tableau14[[#This Row],[TMJA2015 (vehi/jour)]]</f>
        <v>25.00071768774059</v>
      </c>
      <c r="T74" s="8">
        <v>1</v>
      </c>
      <c r="U74" s="8">
        <v>1</v>
      </c>
      <c r="V74" s="8">
        <v>120</v>
      </c>
      <c r="W74" s="8">
        <v>43</v>
      </c>
      <c r="X74" s="8">
        <v>68</v>
      </c>
      <c r="Y74" s="8"/>
      <c r="Z74" s="8"/>
      <c r="AA74" s="26">
        <f>Tableau14[[#This Row],[F Crashes trancon]]+Tableau14[[#This Row],[S crashes trancon]]</f>
        <v>0</v>
      </c>
      <c r="AB74" s="23">
        <f>IF(Tableau14[[#This Row],[F Crashes trancon]]&lt;&gt; 0, Tableau14[[#This Row],[F&amp;S crashes tronçon ]]/Tableau14[[#This Row],[F Crashes trancon]], 1)</f>
        <v>1</v>
      </c>
      <c r="AC74" s="23">
        <f>(Tableau14[[#This Row],[F&amp;S crashes tronçon ]]/Tableau14[[#This Row],[BILLION VEH KM TRAVELLED2015]])</f>
        <v>0</v>
      </c>
      <c r="AD74" s="26"/>
      <c r="AE74" s="27">
        <f>Tableau14[[#This Row],[F&amp;S crashes tronçon ]]/Tableau14[[#This Row],[LENTGH SECTION(KM)]]</f>
        <v>0</v>
      </c>
      <c r="AF74" s="8"/>
      <c r="AG74" s="8" t="s">
        <v>218</v>
      </c>
      <c r="AH74" s="8" t="s">
        <v>211</v>
      </c>
      <c r="AI74" s="8" t="s">
        <v>212</v>
      </c>
      <c r="AJ74" s="8" t="s">
        <v>211</v>
      </c>
      <c r="AK74" s="8" t="s">
        <v>218</v>
      </c>
      <c r="AL74" s="40" t="s">
        <v>218</v>
      </c>
      <c r="AM74" s="16">
        <v>0</v>
      </c>
      <c r="AN74" s="8">
        <v>7875</v>
      </c>
      <c r="AO74" s="8">
        <v>8676</v>
      </c>
      <c r="AP74" s="16">
        <v>0</v>
      </c>
      <c r="AQ74" s="16">
        <v>0</v>
      </c>
      <c r="AR74" s="8">
        <v>26</v>
      </c>
      <c r="AS74" s="8">
        <v>301</v>
      </c>
      <c r="AT74" s="8">
        <v>34</v>
      </c>
      <c r="AU74" s="8">
        <v>252</v>
      </c>
      <c r="AV74" s="44">
        <f>IF(Tableau14[[#This Row],[Moyenne Journalière Infrations 2016]]&gt;0, Tableau14[[#This Row],[Moyenne Journalière Infrations 2016]]-Tableau14[[#This Row],[Moyenne Journalière Infrations 2017]],0)</f>
        <v>-8</v>
      </c>
      <c r="AW74" s="44">
        <f>IF(Tableau14[[#This Row],[Moyenne Journalière Infrations 2015]]&gt;0, Tableau14[[#This Row],[Moyenne Journalière Infrations 2015]]-Tableau14[[#This Row],[Moyenne Journalière Infrations 2016]],0)</f>
        <v>0</v>
      </c>
      <c r="AX74" s="8">
        <v>2</v>
      </c>
      <c r="AY74" s="8" t="s">
        <v>218</v>
      </c>
      <c r="AZ74" s="8" t="s">
        <v>417</v>
      </c>
      <c r="BA74" s="8" t="s">
        <v>435</v>
      </c>
      <c r="BB74" s="8">
        <v>1</v>
      </c>
      <c r="BC74" s="8">
        <v>0</v>
      </c>
      <c r="BD74" s="8">
        <f>Tableau14[[#This Row],[S crashes2016]]+Tableau14[[#This Row],[F crashes2016]]</f>
        <v>1</v>
      </c>
      <c r="BE74" s="12">
        <f>IF(Tableau14[[#This Row],[F crashes2016]] &lt;&gt; 0, Tableau14[[#This Row],[F &amp; S crashes2016]]/Tableau14[[#This Row],[F crashes2016]], 1)</f>
        <v>1</v>
      </c>
      <c r="BF74" s="8">
        <v>16299</v>
      </c>
      <c r="BG74" s="8">
        <v>407466</v>
      </c>
      <c r="BH74" s="8">
        <f>(Tableau14[[#This Row],[VEHIC KM / JOUR2016]]*365)/1000000000</f>
        <v>0.14872509</v>
      </c>
      <c r="BI74" s="8">
        <f>(Tableau14[[#This Row],[F &amp; S crashes2016]]/Tableau14[[#This Row],[BILLION VEH KM TRAVELLED2016]])</f>
        <v>6.7238150603909537</v>
      </c>
      <c r="BJ74" s="8" t="s">
        <v>147</v>
      </c>
      <c r="BK74" s="8">
        <f>Tableau14[[#This Row],[F &amp; S crashes2016]]/4</f>
        <v>0.25</v>
      </c>
      <c r="BL74" s="78">
        <f>Tableau14[[#This Row],[CRASH RISK2016]]-Tableau14[[#This Row],[CRASH RISK2015]]</f>
        <v>6.7238150603909537</v>
      </c>
      <c r="BM74" s="78">
        <f>Tableau14[[#This Row],[CRASH DENSITY2016]]-Tableau14[[#This Row],[CRASH DENSITY2015]]</f>
        <v>0.25</v>
      </c>
    </row>
    <row r="75" spans="1:65" ht="28.8" x14ac:dyDescent="0.3">
      <c r="A75" s="28">
        <f t="shared" si="1"/>
        <v>74</v>
      </c>
      <c r="B75" s="8" t="s">
        <v>315</v>
      </c>
      <c r="C75" s="11" t="s">
        <v>326</v>
      </c>
      <c r="D75" s="9" t="s">
        <v>362</v>
      </c>
      <c r="E75" s="10" t="s">
        <v>363</v>
      </c>
      <c r="F75" s="8">
        <v>125</v>
      </c>
      <c r="G75" s="8" t="s">
        <v>234</v>
      </c>
      <c r="H75" s="26">
        <v>0</v>
      </c>
      <c r="I75" s="26">
        <v>2</v>
      </c>
      <c r="J75" s="8">
        <f>Tableau14[[#This Row],[F crashes2015]]+Tableau14[[#This Row],[S crashes2015]]</f>
        <v>2</v>
      </c>
      <c r="K75" s="33">
        <f>IF(Tableau14[[#This Row],[F crashes2015]] &lt;&gt; 0, Tableau14[[#This Row],[F &amp; S crashes2015]]/Tableau14[[#This Row],[F crashes2015]], 1)</f>
        <v>1</v>
      </c>
      <c r="L75" s="8">
        <v>13949</v>
      </c>
      <c r="M75" s="8">
        <v>251090</v>
      </c>
      <c r="N75" s="26">
        <f>(Tableau14[[#This Row],[VEHIC KM / JOUR2015]]*365)/1000000000</f>
        <v>9.1647850000000003E-2</v>
      </c>
      <c r="O75" s="26">
        <f>(Tableau14[[#This Row],[F &amp; S crashes2015]]/Tableau14[[#This Row],[BILLION VEH KM TRAVELLED2015]])</f>
        <v>21.822661415406909</v>
      </c>
      <c r="P75" s="11" t="s">
        <v>144</v>
      </c>
      <c r="Q75" s="34">
        <f>Tableau14[[#This Row],[F &amp; S crashes2015]]/4</f>
        <v>0.5</v>
      </c>
      <c r="R75" s="48"/>
      <c r="S75" s="23">
        <f>Tableau14[[#This Row],[VEHIC KM / JOUR2015]]/Tableau14[[#This Row],[TMJA2015 (vehi/jour)]]</f>
        <v>18.000573517814896</v>
      </c>
      <c r="T75" s="8"/>
      <c r="U75" s="8"/>
      <c r="V75" s="8"/>
      <c r="W75" s="8"/>
      <c r="X75" s="8"/>
      <c r="Y75" s="8"/>
      <c r="Z75" s="8"/>
      <c r="AA75" s="26">
        <f>Tableau14[[#This Row],[F Crashes trancon]]+Tableau14[[#This Row],[S crashes trancon]]</f>
        <v>0</v>
      </c>
      <c r="AB75" s="23">
        <f>IF(Tableau14[[#This Row],[F Crashes trancon]]&lt;&gt; 0, Tableau14[[#This Row],[F&amp;S crashes tronçon ]]/Tableau14[[#This Row],[F Crashes trancon]], 1)</f>
        <v>1</v>
      </c>
      <c r="AC75" s="23">
        <f>(Tableau14[[#This Row],[F&amp;S crashes tronçon ]]/Tableau14[[#This Row],[BILLION VEH KM TRAVELLED2015]])</f>
        <v>0</v>
      </c>
      <c r="AD75" s="26"/>
      <c r="AE75" s="27">
        <f>Tableau14[[#This Row],[F&amp;S crashes tronçon ]]/Tableau14[[#This Row],[LENTGH SECTION(KM)]]</f>
        <v>0</v>
      </c>
      <c r="AF75" s="8"/>
      <c r="AG75" s="8" t="s">
        <v>218</v>
      </c>
      <c r="AH75" s="8" t="s">
        <v>212</v>
      </c>
      <c r="AI75" s="8" t="s">
        <v>212</v>
      </c>
      <c r="AJ75" s="8" t="s">
        <v>211</v>
      </c>
      <c r="AK75" s="8" t="s">
        <v>218</v>
      </c>
      <c r="AL75" s="8"/>
      <c r="AM75" s="8"/>
      <c r="AN75" s="8"/>
      <c r="AO75" s="8"/>
      <c r="AP75" s="8">
        <v>0</v>
      </c>
      <c r="AQ75" s="8">
        <v>0</v>
      </c>
      <c r="AR75" s="8">
        <v>85</v>
      </c>
      <c r="AS75" s="8">
        <v>9</v>
      </c>
      <c r="AT75" s="8">
        <v>67</v>
      </c>
      <c r="AU75" s="8">
        <v>267</v>
      </c>
      <c r="AV75" s="44">
        <f>IF(Tableau14[[#This Row],[Moyenne Journalière Infrations 2016]]&gt;0, Tableau14[[#This Row],[Moyenne Journalière Infrations 2016]]-Tableau14[[#This Row],[Moyenne Journalière Infrations 2017]],0)</f>
        <v>18</v>
      </c>
      <c r="AW75" s="44">
        <f>IF(Tableau14[[#This Row],[Moyenne Journalière Infrations 2015]]&gt;0, Tableau14[[#This Row],[Moyenne Journalière Infrations 2015]]-Tableau14[[#This Row],[Moyenne Journalière Infrations 2016]],0)</f>
        <v>0</v>
      </c>
      <c r="AX75" s="8">
        <v>2</v>
      </c>
      <c r="AY75" s="8" t="s">
        <v>218</v>
      </c>
      <c r="AZ75" s="8" t="s">
        <v>417</v>
      </c>
      <c r="BA75" s="8" t="s">
        <v>436</v>
      </c>
      <c r="BB75" s="45">
        <v>0</v>
      </c>
      <c r="BC75" s="45">
        <v>3</v>
      </c>
      <c r="BD75" s="45">
        <f>Tableau14[[#This Row],[S crashes2016]]+Tableau14[[#This Row],[F crashes2016]]</f>
        <v>3</v>
      </c>
      <c r="BE75" s="84">
        <f>IF(Tableau14[[#This Row],[F crashes2016]] &lt;&gt; 0, Tableau14[[#This Row],[F &amp; S crashes2016]]/Tableau14[[#This Row],[F crashes2016]], 1)</f>
        <v>1</v>
      </c>
      <c r="BF75" s="8">
        <v>14738</v>
      </c>
      <c r="BG75" s="8">
        <v>265293</v>
      </c>
      <c r="BH75" s="45">
        <f>(Tableau14[[#This Row],[VEHIC KM / JOUR2016]]*365)/1000000000</f>
        <v>9.6831945000000003E-2</v>
      </c>
      <c r="BI75" s="45">
        <f>(Tableau14[[#This Row],[F &amp; S crashes2016]]/Tableau14[[#This Row],[BILLION VEH KM TRAVELLED2016]])</f>
        <v>30.981511318398077</v>
      </c>
      <c r="BJ75" s="8" t="s">
        <v>144</v>
      </c>
      <c r="BK75" s="45">
        <f>Tableau14[[#This Row],[F &amp; S crashes2016]]/4</f>
        <v>0.75</v>
      </c>
      <c r="BL75" s="79">
        <f>Tableau14[[#This Row],[CRASH RISK2016]]-Tableau14[[#This Row],[CRASH RISK2015]]</f>
        <v>9.1588499029911681</v>
      </c>
      <c r="BM75" s="79">
        <f>Tableau14[[#This Row],[CRASH DENSITY2016]]-Tableau14[[#This Row],[CRASH DENSITY2015]]</f>
        <v>0.25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workbookViewId="0">
      <selection activeCell="H11" sqref="H11"/>
    </sheetView>
  </sheetViews>
  <sheetFormatPr baseColWidth="10" defaultRowHeight="14.4" x14ac:dyDescent="0.3"/>
  <cols>
    <col min="2" max="2" width="10.88671875" bestFit="1" customWidth="1"/>
    <col min="4" max="4" width="14.44140625" bestFit="1" customWidth="1"/>
    <col min="5" max="5" width="14.44140625" customWidth="1"/>
    <col min="6" max="6" width="15.21875" customWidth="1"/>
    <col min="21" max="21" width="14.88671875" customWidth="1"/>
    <col min="22" max="22" width="13.5546875" bestFit="1" customWidth="1"/>
    <col min="23" max="23" width="13.5546875" customWidth="1"/>
  </cols>
  <sheetData>
    <row r="1" spans="1:31" ht="57.6" x14ac:dyDescent="0.3">
      <c r="A1" t="s">
        <v>483</v>
      </c>
      <c r="B1" s="86" t="s">
        <v>472</v>
      </c>
      <c r="C1" s="86" t="s">
        <v>473</v>
      </c>
      <c r="D1" s="60" t="s">
        <v>474</v>
      </c>
      <c r="E1" s="60" t="s">
        <v>482</v>
      </c>
      <c r="F1" s="61" t="s">
        <v>366</v>
      </c>
      <c r="G1" s="61" t="s">
        <v>367</v>
      </c>
      <c r="H1" s="61" t="s">
        <v>437</v>
      </c>
      <c r="I1" s="86" t="s">
        <v>5</v>
      </c>
      <c r="J1" s="86" t="s">
        <v>210</v>
      </c>
      <c r="K1" s="86" t="s">
        <v>214</v>
      </c>
      <c r="L1" s="86" t="s">
        <v>213</v>
      </c>
      <c r="M1" s="86" t="s">
        <v>225</v>
      </c>
      <c r="N1" s="86" t="s">
        <v>215</v>
      </c>
      <c r="O1" s="86" t="s">
        <v>216</v>
      </c>
      <c r="P1" s="86" t="s">
        <v>447</v>
      </c>
      <c r="Q1" s="20" t="s">
        <v>444</v>
      </c>
      <c r="R1" s="86" t="s">
        <v>477</v>
      </c>
      <c r="S1" s="86" t="s">
        <v>449</v>
      </c>
      <c r="T1" s="86" t="s">
        <v>480</v>
      </c>
      <c r="U1" s="86" t="s">
        <v>459</v>
      </c>
      <c r="V1" s="60" t="s">
        <v>455</v>
      </c>
      <c r="W1" s="86" t="s">
        <v>478</v>
      </c>
      <c r="X1" s="86" t="s">
        <v>460</v>
      </c>
      <c r="Y1" s="86" t="s">
        <v>481</v>
      </c>
      <c r="Z1" s="60" t="s">
        <v>290</v>
      </c>
      <c r="AA1" s="60" t="s">
        <v>291</v>
      </c>
      <c r="AB1" s="60" t="s">
        <v>292</v>
      </c>
      <c r="AC1" s="60" t="s">
        <v>293</v>
      </c>
      <c r="AD1" s="60" t="s">
        <v>294</v>
      </c>
      <c r="AE1" s="60" t="s">
        <v>295</v>
      </c>
    </row>
    <row r="2" spans="1:31" x14ac:dyDescent="0.3">
      <c r="A2">
        <v>1</v>
      </c>
      <c r="B2" s="42" t="s">
        <v>102</v>
      </c>
      <c r="C2" s="42">
        <v>10447</v>
      </c>
      <c r="D2" s="42">
        <v>10729</v>
      </c>
      <c r="E2" s="42">
        <f>AVERAGE(C2:D2)</f>
        <v>10588</v>
      </c>
      <c r="F2" s="42">
        <v>6</v>
      </c>
      <c r="G2" s="42" t="s">
        <v>384</v>
      </c>
      <c r="H2" s="42" t="s">
        <v>371</v>
      </c>
      <c r="I2" s="42">
        <v>60</v>
      </c>
      <c r="J2" s="42">
        <v>0.34</v>
      </c>
      <c r="K2" s="42" t="s">
        <v>212</v>
      </c>
      <c r="L2" s="42" t="s">
        <v>212</v>
      </c>
      <c r="M2" s="42" t="s">
        <v>212</v>
      </c>
      <c r="N2" s="42" t="s">
        <v>212</v>
      </c>
      <c r="O2" s="42">
        <v>13.8</v>
      </c>
      <c r="P2" s="27">
        <v>41.40789892939187</v>
      </c>
      <c r="Q2" s="91">
        <f>IF(Tableau14[[#This Row],[F crashes2015]] &lt;&gt; 0, Tableau14[[#This Row],[F &amp; S crashes2015]]/Tableau14[[#This Row],[F crashes2015]], 1)</f>
        <v>1</v>
      </c>
      <c r="R2" s="91" t="str">
        <f>IF( AND(P2&gt;=SCORE!B$2*'DATASET 102018'!Q2, P2&lt;SCORE!C$2*'DATASET 102018'!Q2),SCORE!A$2,(IF(AND(P2&gt;=SCORE!B$3*'DATASET 102018'!Q2,P2&lt;SCORE!C$3*'DATASET 102018'!Q2),SCORE!A$3,(IF(AND(P2&gt;=SCORE!B$4*'DATASET 102018'!Q2,P2&lt;SCORE!C$4*'DATASET 102018'!Q2),SCORE!A$4,(IF(AND(P2&gt;=SCORE!B$5*'DATASET 102018'!Q2,P2&lt;SCORE!C$5*'DATASET 102018'!Q2),SCORE!A$5,(IF(SCORE!B$6*'DATASET 102018'!Q2&lt;=P2,SCORE!A$6,0)))))))))</f>
        <v>High</v>
      </c>
      <c r="S2" s="66">
        <f>Tableau14[[#This Row],[F &amp; S crashes2015]]/4</f>
        <v>0.75</v>
      </c>
      <c r="T2" s="66" t="str">
        <f>IF( AND(S2&gt;=SCORE!G$2*'DATASET 102018'!Q2, S2&lt;SCORE!H$2*'DATASET 102018'!Q2),SCORE!F$2,(IF(AND(S2&gt;=SCORE!G$3*'DATASET 102018'!Q2, S2&lt;SCORE!H$3*'DATASET 102018'!Q2),SCORE!A$3,(IF(AND(S2&gt;=SCORE!G$4*'DATASET 102018'!Q2, S2&lt;SCORE!H$4*'DATASET 102018'!Q2),SCORE!A$4,(IF(AND(S2&gt;=SCORE!G$5*'DATASET 102018'!Q2, S2&lt;SCORE!H$5*'DATASET 102018'!Q2),SCORE!A$5,(IF(SCORE!G$6*'DATASET 102018'!Q2&lt;=S2,SCORE!A$6,0)))))))))</f>
        <v>High</v>
      </c>
      <c r="U2" s="8">
        <f>(Tableau14[[#This Row],[F &amp; S crashes2016]]/Tableau14[[#This Row],[BILLION VEH KM TRAVELLED2016]])</f>
        <v>53.759383616411213</v>
      </c>
      <c r="V2" s="91">
        <f>IF(Tableau14[[#This Row],[F crashes2016]] &lt;&gt; 0, Tableau14[[#This Row],[F &amp; S crashes2016]]/Tableau14[[#This Row],[F crashes2016]], 1)</f>
        <v>1</v>
      </c>
      <c r="W2" s="91" t="str">
        <f>IF(AND(U2&gt;=SCORE!B$2*'DATASET 102018'!V2, U2&lt;SCORE!C$2*'DATASET 102018'!V2),SCORE!A$2,(IF(AND(U2&gt;=SCORE!B$3*'DATASET 102018'!V2, U2&lt;SCORE!C$3*'DATASET 102018'!V2),SCORE!A$3,(IF(AND(U2&gt;=SCORE!B$4*'DATASET 102018'!V2, U2&lt;SCORE!C$4*'DATASET 102018'!V2),SCORE!A$4,(IF(AND(U2&gt;=SCORE!B$5*'DATASET 102018'!V2, U2&lt;SCORE!C$5*'DATASET 102018'!V2),SCORE!A$5,(IF(SCORE!B$6*'DATASET 102018'!V2&lt;=U2,SCORE!A$6,0)))))))))</f>
        <v>High</v>
      </c>
      <c r="X2" s="8">
        <f>Tableau14[[#This Row],[F &amp; S crashes2016]]/4</f>
        <v>1</v>
      </c>
      <c r="Y2" s="8" t="str">
        <f>IF( AND(X2&gt;=SCORE!G$2*V2, X2&lt;SCORE!H$2*V2),SCORE!F$2,(IF(AND(X2&gt;=SCORE!G$3*V2, X2&lt;SCORE!H$3*V2),SCORE!A$3,(IF(AND(X2&gt;=SCORE!G$4*V2, X2&lt;SCORE!H$4*V2),SCORE!A$4,(IF(AND(X2&gt;=SCORE!G$5*V2, X2&lt;SCORE!H$5*V2),SCORE!A$5,(IF(SCORE!G$6*'DATASET 102018'!V2&lt;=X2,SCORE!A$6,0)))))))))</f>
        <v>High</v>
      </c>
      <c r="Z2" s="42">
        <v>0</v>
      </c>
      <c r="AA2" s="42">
        <v>0</v>
      </c>
      <c r="AB2" s="42">
        <v>1605</v>
      </c>
      <c r="AC2" s="42">
        <v>58</v>
      </c>
      <c r="AD2" s="42">
        <v>399</v>
      </c>
      <c r="AE2" s="42">
        <v>261</v>
      </c>
    </row>
    <row r="3" spans="1:31" x14ac:dyDescent="0.3">
      <c r="A3">
        <f>A2+1</f>
        <v>2</v>
      </c>
      <c r="B3" s="43" t="s">
        <v>103</v>
      </c>
      <c r="C3" s="43">
        <v>10447</v>
      </c>
      <c r="D3" s="43">
        <v>10729</v>
      </c>
      <c r="E3" s="42">
        <f t="shared" ref="E3:E66" si="0">AVERAGE(C3:D3)</f>
        <v>10588</v>
      </c>
      <c r="F3" s="43">
        <v>6</v>
      </c>
      <c r="G3" s="43" t="s">
        <v>384</v>
      </c>
      <c r="H3" s="43" t="s">
        <v>371</v>
      </c>
      <c r="I3" s="43">
        <v>60</v>
      </c>
      <c r="J3" s="43">
        <v>0.34</v>
      </c>
      <c r="K3" s="43" t="s">
        <v>212</v>
      </c>
      <c r="L3" s="43" t="s">
        <v>212</v>
      </c>
      <c r="M3" s="43" t="s">
        <v>212</v>
      </c>
      <c r="N3" s="43" t="s">
        <v>212</v>
      </c>
      <c r="O3" s="43">
        <v>13.8</v>
      </c>
      <c r="P3" s="27">
        <v>41.40789892939187</v>
      </c>
      <c r="Q3" s="91">
        <f>IF(Tableau14[[#This Row],[F crashes2015]] &lt;&gt; 0, Tableau14[[#This Row],[F &amp; S crashes2015]]/Tableau14[[#This Row],[F crashes2015]], 1)</f>
        <v>1</v>
      </c>
      <c r="R3" s="91" t="str">
        <f>IF( AND(P3&gt;=SCORE!B$2*'DATASET 102018'!Q3, P3&lt;SCORE!C$2*'DATASET 102018'!Q3),SCORE!A$2,(IF(AND(P3&gt;=SCORE!B$3*'DATASET 102018'!Q3,P3&lt;SCORE!C$3*'DATASET 102018'!Q3),SCORE!A$3,(IF(AND(P3&gt;=SCORE!B$4*'DATASET 102018'!Q3,P3&lt;SCORE!C$4*'DATASET 102018'!Q3),SCORE!A$4,(IF(AND(P3&gt;=SCORE!B$5*'DATASET 102018'!Q3,P3&lt;SCORE!C$5*'DATASET 102018'!Q3),SCORE!A$5,(IF(SCORE!B$6*'DATASET 102018'!Q3&lt;=P3,SCORE!A$6,0)))))))))</f>
        <v>High</v>
      </c>
      <c r="S3" s="63">
        <f>Tableau14[[#This Row],[F &amp; S crashes2015]]/4</f>
        <v>0.75</v>
      </c>
      <c r="T3" s="66" t="str">
        <f>IF( AND(S3&gt;=SCORE!G$2*'DATASET 102018'!Q3, S3&lt;SCORE!H$2*'DATASET 102018'!Q3),SCORE!F$2,(IF(AND(S3&gt;=SCORE!G$3*'DATASET 102018'!Q3, S3&lt;SCORE!H$3*'DATASET 102018'!Q3),SCORE!A$3,(IF(AND(S3&gt;=SCORE!G$4*'DATASET 102018'!Q3, S3&lt;SCORE!H$4*'DATASET 102018'!Q3),SCORE!A$4,(IF(AND(S3&gt;=SCORE!G$5*'DATASET 102018'!Q3, S3&lt;SCORE!H$5*'DATASET 102018'!Q3),SCORE!A$5,(IF(SCORE!G$6*'DATASET 102018'!Q3&lt;=S3,SCORE!A$6,0)))))))))</f>
        <v>High</v>
      </c>
      <c r="U3" s="8">
        <f>(Tableau14[[#This Row],[F &amp; S crashes2016]]/Tableau14[[#This Row],[BILLION VEH KM TRAVELLED2016]])</f>
        <v>53.759383616411213</v>
      </c>
      <c r="V3" s="91">
        <f>IF(Tableau14[[#This Row],[F crashes2016]] &lt;&gt; 0, Tableau14[[#This Row],[F &amp; S crashes2016]]/Tableau14[[#This Row],[F crashes2016]], 1)</f>
        <v>1</v>
      </c>
      <c r="W3" s="91" t="str">
        <f>IF(AND(U3&gt;=SCORE!B$2*'DATASET 102018'!V3, U3&lt;SCORE!C$2*'DATASET 102018'!V3),SCORE!A$2,(IF(AND(U3&gt;=SCORE!B$3*'DATASET 102018'!V3, U3&lt;SCORE!C$3*'DATASET 102018'!V3),SCORE!A$3,(IF(AND(U3&gt;=SCORE!B$4*'DATASET 102018'!V3, U3&lt;SCORE!C$4*'DATASET 102018'!V3),SCORE!A$4,(IF(AND(U3&gt;=SCORE!B$5*'DATASET 102018'!V3, U3&lt;SCORE!C$5*'DATASET 102018'!V3),SCORE!A$5,(IF(SCORE!B$6*'DATASET 102018'!V3&lt;=U3,SCORE!A$6,0)))))))))</f>
        <v>High</v>
      </c>
      <c r="X3" s="8">
        <f>Tableau14[[#This Row],[F &amp; S crashes2016]]/4</f>
        <v>1</v>
      </c>
      <c r="Y3" s="8" t="str">
        <f>IF( AND(X3&gt;=SCORE!G$2*V3, X3&lt;SCORE!H$2*V3),SCORE!F$2,(IF(AND(X3&gt;=SCORE!G$3*V3, X3&lt;SCORE!H$3*V3),SCORE!A$3,(IF(AND(X3&gt;=SCORE!G$4*V3, X3&lt;SCORE!H$4*V3),SCORE!A$4,(IF(AND(X3&gt;=SCORE!G$5*V3, X3&lt;SCORE!H$5*V3),SCORE!A$5,(IF(SCORE!G$6*'DATASET 102018'!V3&lt;=X3,SCORE!A$6,0)))))))))</f>
        <v>High</v>
      </c>
      <c r="Z3" s="43">
        <v>0</v>
      </c>
      <c r="AA3" s="43">
        <v>0</v>
      </c>
      <c r="AB3" s="43">
        <v>818</v>
      </c>
      <c r="AC3" s="43">
        <v>42</v>
      </c>
      <c r="AD3" s="43">
        <v>169</v>
      </c>
      <c r="AE3" s="43">
        <v>123</v>
      </c>
    </row>
    <row r="4" spans="1:31" x14ac:dyDescent="0.3">
      <c r="A4">
        <f t="shared" ref="A4:A67" si="1">A3+1</f>
        <v>3</v>
      </c>
      <c r="B4" s="42" t="s">
        <v>298</v>
      </c>
      <c r="C4" s="42">
        <v>10856</v>
      </c>
      <c r="D4" s="42">
        <v>11149</v>
      </c>
      <c r="E4" s="42">
        <f t="shared" si="0"/>
        <v>11002.5</v>
      </c>
      <c r="F4" s="42">
        <v>3</v>
      </c>
      <c r="G4" s="42" t="s">
        <v>385</v>
      </c>
      <c r="H4" s="42" t="s">
        <v>371</v>
      </c>
      <c r="I4" s="42">
        <v>80</v>
      </c>
      <c r="J4" s="42">
        <v>1.55</v>
      </c>
      <c r="K4" s="42" t="s">
        <v>212</v>
      </c>
      <c r="L4" s="42" t="s">
        <v>212</v>
      </c>
      <c r="M4" s="42" t="s">
        <v>212</v>
      </c>
      <c r="N4" s="42" t="s">
        <v>211</v>
      </c>
      <c r="O4" s="42">
        <v>2</v>
      </c>
      <c r="P4" s="27">
        <v>0</v>
      </c>
      <c r="Q4" s="91">
        <f>IF(Tableau14[[#This Row],[F crashes2015]] &lt;&gt; 0, Tableau14[[#This Row],[F &amp; S crashes2015]]/Tableau14[[#This Row],[F crashes2015]], 1)</f>
        <v>1</v>
      </c>
      <c r="R4" s="91" t="str">
        <f>IF( AND(P4&gt;=SCORE!B$2*'DATASET 102018'!Q4, P4&lt;SCORE!C$2*'DATASET 102018'!Q4),SCORE!A$2,(IF(AND(P4&gt;=SCORE!B$3*'DATASET 102018'!Q4,P4&lt;SCORE!C$3*'DATASET 102018'!Q4),SCORE!A$3,(IF(AND(P4&gt;=SCORE!B$4*'DATASET 102018'!Q4,P4&lt;SCORE!C$4*'DATASET 102018'!Q4),SCORE!A$4,(IF(AND(P4&gt;=SCORE!B$5*'DATASET 102018'!Q4,P4&lt;SCORE!C$5*'DATASET 102018'!Q4),SCORE!A$5,(IF(SCORE!B$6*'DATASET 102018'!Q4&lt;=P4,SCORE!A$6,0)))))))))</f>
        <v>Low</v>
      </c>
      <c r="S4" s="68">
        <f>Tableau14[[#This Row],[F &amp; S crashes2015]]/4</f>
        <v>0</v>
      </c>
      <c r="T4" s="66" t="str">
        <f>IF( AND(S4&gt;=SCORE!G$2*'DATASET 102018'!Q4, S4&lt;SCORE!H$2*'DATASET 102018'!Q4),SCORE!F$2,(IF(AND(S4&gt;=SCORE!G$3*'DATASET 102018'!Q4, S4&lt;SCORE!H$3*'DATASET 102018'!Q4),SCORE!A$3,(IF(AND(S4&gt;=SCORE!G$4*'DATASET 102018'!Q4, S4&lt;SCORE!H$4*'DATASET 102018'!Q4),SCORE!A$4,(IF(AND(S4&gt;=SCORE!G$5*'DATASET 102018'!Q4, S4&lt;SCORE!H$5*'DATASET 102018'!Q4),SCORE!A$5,(IF(SCORE!G$6*'DATASET 102018'!Q4&lt;=S4,SCORE!A$6,0)))))))))</f>
        <v>Low</v>
      </c>
      <c r="U4" s="8">
        <f>(Tableau14[[#This Row],[F &amp; S crashes2016]]/Tableau14[[#This Row],[BILLION VEH KM TRAVELLED2016]])</f>
        <v>9.7514763125669948</v>
      </c>
      <c r="V4" s="91">
        <f>IF(Tableau14[[#This Row],[F crashes2016]] &lt;&gt; 0, Tableau14[[#This Row],[F &amp; S crashes2016]]/Tableau14[[#This Row],[F crashes2016]], 1)</f>
        <v>1</v>
      </c>
      <c r="W4" s="91" t="str">
        <f>IF(AND(U4&gt;=SCORE!B$2*'DATASET 102018'!V4, U4&lt;SCORE!C$2*'DATASET 102018'!V4),SCORE!A$2,(IF(AND(U4&gt;=SCORE!B$3*'DATASET 102018'!V4, U4&lt;SCORE!C$3*'DATASET 102018'!V4),SCORE!A$3,(IF(AND(U4&gt;=SCORE!B$4*'DATASET 102018'!V4, U4&lt;SCORE!C$4*'DATASET 102018'!V4),SCORE!A$4,(IF(AND(U4&gt;=SCORE!B$5*'DATASET 102018'!V4, U4&lt;SCORE!C$5*'DATASET 102018'!V4),SCORE!A$5,(IF(SCORE!B$6*'DATASET 102018'!V4&lt;=U4,SCORE!A$6,0)))))))))</f>
        <v>Medium-high</v>
      </c>
      <c r="X4" s="8">
        <f>Tableau14[[#This Row],[F &amp; S crashes2016]]/4</f>
        <v>0.25</v>
      </c>
      <c r="Y4" s="8" t="str">
        <f>IF( AND(X4&gt;=SCORE!G$2*V4, X4&lt;SCORE!H$2*V4),SCORE!F$2,(IF(AND(X4&gt;=SCORE!G$3*V4, X4&lt;SCORE!H$3*V4),SCORE!A$3,(IF(AND(X4&gt;=SCORE!G$4*V4, X4&lt;SCORE!H$4*V4),SCORE!A$4,(IF(AND(X4&gt;=SCORE!G$5*V4, X4&lt;SCORE!H$5*V4),SCORE!A$5,(IF(SCORE!G$6*'DATASET 102018'!V4&lt;=X4,SCORE!A$6,0)))))))))</f>
        <v>High</v>
      </c>
      <c r="Z4" s="42">
        <v>0</v>
      </c>
      <c r="AA4" s="42">
        <v>0</v>
      </c>
      <c r="AB4" s="42">
        <v>44</v>
      </c>
      <c r="AC4" s="42">
        <v>66</v>
      </c>
      <c r="AD4" s="42">
        <v>18</v>
      </c>
      <c r="AE4" s="42">
        <v>306</v>
      </c>
    </row>
    <row r="5" spans="1:31" x14ac:dyDescent="0.3">
      <c r="A5">
        <f t="shared" si="1"/>
        <v>4</v>
      </c>
      <c r="B5" s="43" t="s">
        <v>299</v>
      </c>
      <c r="C5" s="43">
        <v>10856</v>
      </c>
      <c r="D5" s="43">
        <v>11149</v>
      </c>
      <c r="E5" s="42">
        <f t="shared" si="0"/>
        <v>11002.5</v>
      </c>
      <c r="F5" s="43">
        <v>2</v>
      </c>
      <c r="G5" s="43" t="s">
        <v>385</v>
      </c>
      <c r="H5" s="43" t="s">
        <v>371</v>
      </c>
      <c r="I5" s="43">
        <v>80</v>
      </c>
      <c r="J5" s="43">
        <v>1.55</v>
      </c>
      <c r="K5" s="43" t="s">
        <v>212</v>
      </c>
      <c r="L5" s="43" t="s">
        <v>212</v>
      </c>
      <c r="M5" s="43" t="s">
        <v>212</v>
      </c>
      <c r="N5" s="43" t="s">
        <v>211</v>
      </c>
      <c r="O5" s="43">
        <v>2</v>
      </c>
      <c r="P5" s="27">
        <v>0</v>
      </c>
      <c r="Q5" s="91">
        <f>IF(Tableau14[[#This Row],[F crashes2015]] &lt;&gt; 0, Tableau14[[#This Row],[F &amp; S crashes2015]]/Tableau14[[#This Row],[F crashes2015]], 1)</f>
        <v>1</v>
      </c>
      <c r="R5" s="91" t="str">
        <f>IF( AND(P5&gt;=SCORE!B$2*'DATASET 102018'!Q5, P5&lt;SCORE!C$2*'DATASET 102018'!Q5),SCORE!A$2,(IF(AND(P5&gt;=SCORE!B$3*'DATASET 102018'!Q5,P5&lt;SCORE!C$3*'DATASET 102018'!Q5),SCORE!A$3,(IF(AND(P5&gt;=SCORE!B$4*'DATASET 102018'!Q5,P5&lt;SCORE!C$4*'DATASET 102018'!Q5),SCORE!A$4,(IF(AND(P5&gt;=SCORE!B$5*'DATASET 102018'!Q5,P5&lt;SCORE!C$5*'DATASET 102018'!Q5),SCORE!A$5,(IF(SCORE!B$6*'DATASET 102018'!Q5&lt;=P5,SCORE!A$6,0)))))))))</f>
        <v>Low</v>
      </c>
      <c r="S5" s="71">
        <f>Tableau14[[#This Row],[F &amp; S crashes2015]]/4</f>
        <v>0</v>
      </c>
      <c r="T5" s="66" t="str">
        <f>IF( AND(S5&gt;=SCORE!G$2*'DATASET 102018'!Q5, S5&lt;SCORE!H$2*'DATASET 102018'!Q5),SCORE!F$2,(IF(AND(S5&gt;=SCORE!G$3*'DATASET 102018'!Q5, S5&lt;SCORE!H$3*'DATASET 102018'!Q5),SCORE!A$3,(IF(AND(S5&gt;=SCORE!G$4*'DATASET 102018'!Q5, S5&lt;SCORE!H$4*'DATASET 102018'!Q5),SCORE!A$4,(IF(AND(S5&gt;=SCORE!G$5*'DATASET 102018'!Q5, S5&lt;SCORE!H$5*'DATASET 102018'!Q5),SCORE!A$5,(IF(SCORE!G$6*'DATASET 102018'!Q5&lt;=S5,SCORE!A$6,0)))))))))</f>
        <v>Low</v>
      </c>
      <c r="U5" s="8">
        <f>(Tableau14[[#This Row],[F &amp; S crashes2016]]/Tableau14[[#This Row],[BILLION VEH KM TRAVELLED2016]])</f>
        <v>9.7514763125669948</v>
      </c>
      <c r="V5" s="91">
        <f>IF(Tableau14[[#This Row],[F crashes2016]] &lt;&gt; 0, Tableau14[[#This Row],[F &amp; S crashes2016]]/Tableau14[[#This Row],[F crashes2016]], 1)</f>
        <v>1</v>
      </c>
      <c r="W5" s="91" t="str">
        <f>IF(AND(U5&gt;=SCORE!B$2*'DATASET 102018'!V5, U5&lt;SCORE!C$2*'DATASET 102018'!V5),SCORE!A$2,(IF(AND(U5&gt;=SCORE!B$3*'DATASET 102018'!V5, U5&lt;SCORE!C$3*'DATASET 102018'!V5),SCORE!A$3,(IF(AND(U5&gt;=SCORE!B$4*'DATASET 102018'!V5, U5&lt;SCORE!C$4*'DATASET 102018'!V5),SCORE!A$4,(IF(AND(U5&gt;=SCORE!B$5*'DATASET 102018'!V5, U5&lt;SCORE!C$5*'DATASET 102018'!V5),SCORE!A$5,(IF(SCORE!B$6*'DATASET 102018'!V5&lt;=U5,SCORE!A$6,0)))))))))</f>
        <v>Medium-high</v>
      </c>
      <c r="X5" s="8">
        <f>Tableau14[[#This Row],[F &amp; S crashes2016]]/4</f>
        <v>0.25</v>
      </c>
      <c r="Y5" s="8" t="str">
        <f>IF( AND(X5&gt;=SCORE!G$2*V5, X5&lt;SCORE!H$2*V5),SCORE!F$2,(IF(AND(X5&gt;=SCORE!G$3*V5, X5&lt;SCORE!H$3*V5),SCORE!A$3,(IF(AND(X5&gt;=SCORE!G$4*V5, X5&lt;SCORE!H$4*V5),SCORE!A$4,(IF(AND(X5&gt;=SCORE!G$5*V5, X5&lt;SCORE!H$5*V5),SCORE!A$5,(IF(SCORE!G$6*'DATASET 102018'!V5&lt;=X5,SCORE!A$6,0)))))))))</f>
        <v>High</v>
      </c>
      <c r="Z5" s="43">
        <v>0</v>
      </c>
      <c r="AA5" s="43">
        <v>0</v>
      </c>
      <c r="AB5" s="43">
        <v>26</v>
      </c>
      <c r="AC5" s="43">
        <v>21</v>
      </c>
      <c r="AD5" s="43">
        <v>25</v>
      </c>
      <c r="AE5" s="43">
        <v>219</v>
      </c>
    </row>
    <row r="6" spans="1:31" x14ac:dyDescent="0.3">
      <c r="A6">
        <f t="shared" si="1"/>
        <v>5</v>
      </c>
      <c r="B6" s="42" t="s">
        <v>110</v>
      </c>
      <c r="C6" s="42">
        <v>4722</v>
      </c>
      <c r="D6" s="42">
        <v>4849</v>
      </c>
      <c r="E6" s="42">
        <f t="shared" si="0"/>
        <v>4785.5</v>
      </c>
      <c r="F6" s="42">
        <v>2</v>
      </c>
      <c r="G6" s="42" t="s">
        <v>385</v>
      </c>
      <c r="H6" s="42" t="s">
        <v>371</v>
      </c>
      <c r="I6" s="42">
        <v>60</v>
      </c>
      <c r="J6" s="42">
        <v>1.56</v>
      </c>
      <c r="K6" s="42" t="s">
        <v>212</v>
      </c>
      <c r="L6" s="42" t="s">
        <v>212</v>
      </c>
      <c r="M6" s="42" t="s">
        <v>212</v>
      </c>
      <c r="N6" s="42" t="s">
        <v>211</v>
      </c>
      <c r="O6" s="42">
        <v>1</v>
      </c>
      <c r="P6" s="27">
        <v>51.803882416065726</v>
      </c>
      <c r="Q6" s="91">
        <f>IF(Tableau14[[#This Row],[F crashes2015]] &lt;&gt; 0, Tableau14[[#This Row],[F &amp; S crashes2015]]/Tableau14[[#This Row],[F crashes2015]], 1)</f>
        <v>1</v>
      </c>
      <c r="R6" s="91" t="str">
        <f>IF( AND(P6&gt;=SCORE!B$2*'DATASET 102018'!Q6, P6&lt;SCORE!C$2*'DATASET 102018'!Q6),SCORE!A$2,(IF(AND(P6&gt;=SCORE!B$3*'DATASET 102018'!Q6,P6&lt;SCORE!C$3*'DATASET 102018'!Q6),SCORE!A$3,(IF(AND(P6&gt;=SCORE!B$4*'DATASET 102018'!Q6,P6&lt;SCORE!C$4*'DATASET 102018'!Q6),SCORE!A$4,(IF(AND(P6&gt;=SCORE!B$5*'DATASET 102018'!Q6,P6&lt;SCORE!C$5*'DATASET 102018'!Q6),SCORE!A$5,(IF(SCORE!B$6*'DATASET 102018'!Q6&lt;=P6,SCORE!A$6,0)))))))))</f>
        <v>High</v>
      </c>
      <c r="S6" s="66">
        <f>Tableau14[[#This Row],[F &amp; S crashes2015]]/4</f>
        <v>0.5</v>
      </c>
      <c r="T6" s="66" t="str">
        <f>IF( AND(S6&gt;=SCORE!G$2*'DATASET 102018'!Q6, S6&lt;SCORE!H$2*'DATASET 102018'!Q6),SCORE!F$2,(IF(AND(S6&gt;=SCORE!G$3*'DATASET 102018'!Q6, S6&lt;SCORE!H$3*'DATASET 102018'!Q6),SCORE!A$3,(IF(AND(S6&gt;=SCORE!G$4*'DATASET 102018'!Q6, S6&lt;SCORE!H$4*'DATASET 102018'!Q6),SCORE!A$4,(IF(AND(S6&gt;=SCORE!G$5*'DATASET 102018'!Q6, S6&lt;SCORE!H$5*'DATASET 102018'!Q6),SCORE!A$5,(IF(SCORE!G$6*'DATASET 102018'!Q6&lt;=S6,SCORE!A$6,0)))))))))</f>
        <v>High</v>
      </c>
      <c r="U6" s="8">
        <f>(Tableau14[[#This Row],[F &amp; S crashes2016]]/Tableau14[[#This Row],[BILLION VEH KM TRAVELLED2016]])</f>
        <v>50.446998239651997</v>
      </c>
      <c r="V6" s="91">
        <f>IF(Tableau14[[#This Row],[F crashes2016]] &lt;&gt; 0, Tableau14[[#This Row],[F &amp; S crashes2016]]/Tableau14[[#This Row],[F crashes2016]], 1)</f>
        <v>2</v>
      </c>
      <c r="W6" s="91" t="str">
        <f>IF(AND(U6&gt;=SCORE!B$2*'DATASET 102018'!V6, U6&lt;SCORE!C$2*'DATASET 102018'!V6),SCORE!A$2,(IF(AND(U6&gt;=SCORE!B$3*'DATASET 102018'!V6, U6&lt;SCORE!C$3*'DATASET 102018'!V6),SCORE!A$3,(IF(AND(U6&gt;=SCORE!B$4*'DATASET 102018'!V6, U6&lt;SCORE!C$4*'DATASET 102018'!V6),SCORE!A$4,(IF(AND(U6&gt;=SCORE!B$5*'DATASET 102018'!V6, U6&lt;SCORE!C$5*'DATASET 102018'!V6),SCORE!A$5,(IF(SCORE!B$6*'DATASET 102018'!V6&lt;=U6,SCORE!A$6,0)))))))))</f>
        <v>High</v>
      </c>
      <c r="X6" s="8">
        <f>Tableau14[[#This Row],[F &amp; S crashes2016]]/4</f>
        <v>0.5</v>
      </c>
      <c r="Y6" s="8" t="str">
        <f>IF( AND(X6&gt;=SCORE!G$2*V6, X6&lt;SCORE!H$2*V6),SCORE!F$2,(IF(AND(X6&gt;=SCORE!G$3*V6, X6&lt;SCORE!H$3*V6),SCORE!A$3,(IF(AND(X6&gt;=SCORE!G$4*V6, X6&lt;SCORE!H$4*V6),SCORE!A$4,(IF(AND(X6&gt;=SCORE!G$5*V6, X6&lt;SCORE!H$5*V6),SCORE!A$5,(IF(SCORE!G$6*'DATASET 102018'!V6&lt;=X6,SCORE!A$6,0)))))))))</f>
        <v>High</v>
      </c>
      <c r="Z6" s="42">
        <v>327</v>
      </c>
      <c r="AA6" s="42">
        <v>136</v>
      </c>
      <c r="AB6" s="42">
        <v>181</v>
      </c>
      <c r="AC6" s="42">
        <v>355</v>
      </c>
      <c r="AD6" s="42">
        <v>113</v>
      </c>
      <c r="AE6" s="42">
        <v>321</v>
      </c>
    </row>
    <row r="7" spans="1:31" x14ac:dyDescent="0.3">
      <c r="A7">
        <f t="shared" si="1"/>
        <v>6</v>
      </c>
      <c r="B7" s="43" t="s">
        <v>121</v>
      </c>
      <c r="C7" s="43">
        <v>3797</v>
      </c>
      <c r="D7" s="43">
        <v>3657</v>
      </c>
      <c r="E7" s="42">
        <f t="shared" si="0"/>
        <v>3727</v>
      </c>
      <c r="F7" s="43">
        <v>2</v>
      </c>
      <c r="G7" s="43" t="s">
        <v>384</v>
      </c>
      <c r="H7" s="43" t="s">
        <v>371</v>
      </c>
      <c r="I7" s="43">
        <v>60</v>
      </c>
      <c r="J7" s="43">
        <v>0.44</v>
      </c>
      <c r="K7" s="43" t="s">
        <v>212</v>
      </c>
      <c r="L7" s="43" t="s">
        <v>212</v>
      </c>
      <c r="M7" s="43" t="s">
        <v>212</v>
      </c>
      <c r="N7" s="43" t="s">
        <v>212</v>
      </c>
      <c r="O7" s="43">
        <v>5.68</v>
      </c>
      <c r="P7" s="27">
        <v>0</v>
      </c>
      <c r="Q7" s="91">
        <f>IF(Tableau14[[#This Row],[F crashes2015]] &lt;&gt; 0, Tableau14[[#This Row],[F &amp; S crashes2015]]/Tableau14[[#This Row],[F crashes2015]], 1)</f>
        <v>1</v>
      </c>
      <c r="R7" s="91" t="str">
        <f>IF( AND(P7&gt;=SCORE!B$2*'DATASET 102018'!Q7, P7&lt;SCORE!C$2*'DATASET 102018'!Q7),SCORE!A$2,(IF(AND(P7&gt;=SCORE!B$3*'DATASET 102018'!Q7,P7&lt;SCORE!C$3*'DATASET 102018'!Q7),SCORE!A$3,(IF(AND(P7&gt;=SCORE!B$4*'DATASET 102018'!Q7,P7&lt;SCORE!C$4*'DATASET 102018'!Q7),SCORE!A$4,(IF(AND(P7&gt;=SCORE!B$5*'DATASET 102018'!Q7,P7&lt;SCORE!C$5*'DATASET 102018'!Q7),SCORE!A$5,(IF(SCORE!B$6*'DATASET 102018'!Q7&lt;=P7,SCORE!A$6,0)))))))))</f>
        <v>Low</v>
      </c>
      <c r="S7" s="63">
        <f>Tableau14[[#This Row],[F &amp; S crashes2015]]/4</f>
        <v>0</v>
      </c>
      <c r="T7" s="66" t="str">
        <f>IF( AND(S7&gt;=SCORE!G$2*'DATASET 102018'!Q7, S7&lt;SCORE!H$2*'DATASET 102018'!Q7),SCORE!F$2,(IF(AND(S7&gt;=SCORE!G$3*'DATASET 102018'!Q7, S7&lt;SCORE!H$3*'DATASET 102018'!Q7),SCORE!A$3,(IF(AND(S7&gt;=SCORE!G$4*'DATASET 102018'!Q7, S7&lt;SCORE!H$4*'DATASET 102018'!Q7),SCORE!A$4,(IF(AND(S7&gt;=SCORE!G$5*'DATASET 102018'!Q7, S7&lt;SCORE!H$5*'DATASET 102018'!Q7),SCORE!A$5,(IF(SCORE!G$6*'DATASET 102018'!Q7&lt;=S7,SCORE!A$6,0)))))))))</f>
        <v>Low</v>
      </c>
      <c r="U7" s="8">
        <f>(Tableau14[[#This Row],[F &amp; S crashes2016]]/Tableau14[[#This Row],[BILLION VEH KM TRAVELLED2016]])</f>
        <v>0</v>
      </c>
      <c r="V7" s="91">
        <f>IF(Tableau14[[#This Row],[F crashes2016]] &lt;&gt; 0, Tableau14[[#This Row],[F &amp; S crashes2016]]/Tableau14[[#This Row],[F crashes2016]], 1)</f>
        <v>1</v>
      </c>
      <c r="W7" s="91" t="str">
        <f>IF(AND(U7&gt;=SCORE!B$2*'DATASET 102018'!V7, U7&lt;SCORE!C$2*'DATASET 102018'!V7),SCORE!A$2,(IF(AND(U7&gt;=SCORE!B$3*'DATASET 102018'!V7, U7&lt;SCORE!C$3*'DATASET 102018'!V7),SCORE!A$3,(IF(AND(U7&gt;=SCORE!B$4*'DATASET 102018'!V7, U7&lt;SCORE!C$4*'DATASET 102018'!V7),SCORE!A$4,(IF(AND(U7&gt;=SCORE!B$5*'DATASET 102018'!V7, U7&lt;SCORE!C$5*'DATASET 102018'!V7),SCORE!A$5,(IF(SCORE!B$6*'DATASET 102018'!V7&lt;=U7,SCORE!A$6,0)))))))))</f>
        <v>Low</v>
      </c>
      <c r="X7" s="8">
        <f>Tableau14[[#This Row],[F &amp; S crashes2016]]/4</f>
        <v>0</v>
      </c>
      <c r="Y7" s="8" t="str">
        <f>IF( AND(X7&gt;=SCORE!G$2*V7, X7&lt;SCORE!H$2*V7),SCORE!F$2,(IF(AND(X7&gt;=SCORE!G$3*V7, X7&lt;SCORE!H$3*V7),SCORE!A$3,(IF(AND(X7&gt;=SCORE!G$4*V7, X7&lt;SCORE!H$4*V7),SCORE!A$4,(IF(AND(X7&gt;=SCORE!G$5*V7, X7&lt;SCORE!H$5*V7),SCORE!A$5,(IF(SCORE!G$6*'DATASET 102018'!V7&lt;=X7,SCORE!A$6,0)))))))))</f>
        <v>Low</v>
      </c>
      <c r="Z7" s="43">
        <v>342</v>
      </c>
      <c r="AA7" s="43">
        <v>122</v>
      </c>
      <c r="AB7" s="43">
        <v>130</v>
      </c>
      <c r="AC7" s="43">
        <v>220</v>
      </c>
      <c r="AD7" s="43">
        <v>61</v>
      </c>
      <c r="AE7" s="43">
        <v>364</v>
      </c>
    </row>
    <row r="8" spans="1:31" x14ac:dyDescent="0.3">
      <c r="A8">
        <f t="shared" si="1"/>
        <v>7</v>
      </c>
      <c r="B8" s="42" t="s">
        <v>111</v>
      </c>
      <c r="C8" s="42">
        <v>9899</v>
      </c>
      <c r="D8" s="42">
        <v>10166</v>
      </c>
      <c r="E8" s="42">
        <f t="shared" si="0"/>
        <v>10032.5</v>
      </c>
      <c r="F8" s="42">
        <v>2</v>
      </c>
      <c r="G8" s="42" t="s">
        <v>385</v>
      </c>
      <c r="H8" s="42" t="s">
        <v>371</v>
      </c>
      <c r="I8" s="42">
        <v>60</v>
      </c>
      <c r="J8" s="42">
        <v>1.56</v>
      </c>
      <c r="K8" s="42" t="s">
        <v>212</v>
      </c>
      <c r="L8" s="42" t="s">
        <v>212</v>
      </c>
      <c r="M8" s="42" t="s">
        <v>212</v>
      </c>
      <c r="N8" s="42" t="s">
        <v>211</v>
      </c>
      <c r="O8" s="42">
        <v>1</v>
      </c>
      <c r="P8" s="27">
        <v>18.575043407554563</v>
      </c>
      <c r="Q8" s="91">
        <f>IF(Tableau14[[#This Row],[F crashes2015]] &lt;&gt; 0, Tableau14[[#This Row],[F &amp; S crashes2015]]/Tableau14[[#This Row],[F crashes2015]], 1)</f>
        <v>1</v>
      </c>
      <c r="R8" s="91" t="str">
        <f>IF( AND(P8&gt;=SCORE!B$2*'DATASET 102018'!Q8, P8&lt;SCORE!C$2*'DATASET 102018'!Q8),SCORE!A$2,(IF(AND(P8&gt;=SCORE!B$3*'DATASET 102018'!Q8,P8&lt;SCORE!C$3*'DATASET 102018'!Q8),SCORE!A$3,(IF(AND(P8&gt;=SCORE!B$4*'DATASET 102018'!Q8,P8&lt;SCORE!C$4*'DATASET 102018'!Q8),SCORE!A$4,(IF(AND(P8&gt;=SCORE!B$5*'DATASET 102018'!Q8,P8&lt;SCORE!C$5*'DATASET 102018'!Q8),SCORE!A$5,(IF(SCORE!B$6*'DATASET 102018'!Q8&lt;=P8,SCORE!A$6,0)))))))))</f>
        <v>High</v>
      </c>
      <c r="S8" s="66">
        <f>Tableau14[[#This Row],[F &amp; S crashes2015]]/4</f>
        <v>0.5</v>
      </c>
      <c r="T8" s="66" t="str">
        <f>IF( AND(S8&gt;=SCORE!G$2*'DATASET 102018'!Q8, S8&lt;SCORE!H$2*'DATASET 102018'!Q8),SCORE!F$2,(IF(AND(S8&gt;=SCORE!G$3*'DATASET 102018'!Q8, S8&lt;SCORE!H$3*'DATASET 102018'!Q8),SCORE!A$3,(IF(AND(S8&gt;=SCORE!G$4*'DATASET 102018'!Q8, S8&lt;SCORE!H$4*'DATASET 102018'!Q8),SCORE!A$4,(IF(AND(S8&gt;=SCORE!G$5*'DATASET 102018'!Q8, S8&lt;SCORE!H$5*'DATASET 102018'!Q8),SCORE!A$5,(IF(SCORE!G$6*'DATASET 102018'!Q8&lt;=S8,SCORE!A$6,0)))))))))</f>
        <v>High</v>
      </c>
      <c r="U8" s="8">
        <f>(Tableau14[[#This Row],[F &amp; S crashes2016]]/Tableau14[[#This Row],[BILLION VEH KM TRAVELLED2016]])</f>
        <v>9.0435819710948131</v>
      </c>
      <c r="V8" s="91">
        <f>IF(Tableau14[[#This Row],[F crashes2016]] &lt;&gt; 0, Tableau14[[#This Row],[F &amp; S crashes2016]]/Tableau14[[#This Row],[F crashes2016]], 1)</f>
        <v>1</v>
      </c>
      <c r="W8" s="91" t="str">
        <f>IF(AND(U8&gt;=SCORE!B$2*'DATASET 102018'!V8, U8&lt;SCORE!C$2*'DATASET 102018'!V8),SCORE!A$2,(IF(AND(U8&gt;=SCORE!B$3*'DATASET 102018'!V8, U8&lt;SCORE!C$3*'DATASET 102018'!V8),SCORE!A$3,(IF(AND(U8&gt;=SCORE!B$4*'DATASET 102018'!V8, U8&lt;SCORE!C$4*'DATASET 102018'!V8),SCORE!A$4,(IF(AND(U8&gt;=SCORE!B$5*'DATASET 102018'!V8, U8&lt;SCORE!C$5*'DATASET 102018'!V8),SCORE!A$5,(IF(SCORE!B$6*'DATASET 102018'!V8&lt;=U8,SCORE!A$6,0)))))))))</f>
        <v>Medium-high</v>
      </c>
      <c r="X8" s="8">
        <f>Tableau14[[#This Row],[F &amp; S crashes2016]]/4</f>
        <v>0.25</v>
      </c>
      <c r="Y8" s="8" t="str">
        <f>IF( AND(X8&gt;=SCORE!G$2*V8, X8&lt;SCORE!H$2*V8),SCORE!F$2,(IF(AND(X8&gt;=SCORE!G$3*V8, X8&lt;SCORE!H$3*V8),SCORE!A$3,(IF(AND(X8&gt;=SCORE!G$4*V8, X8&lt;SCORE!H$4*V8),SCORE!A$4,(IF(AND(X8&gt;=SCORE!G$5*V8, X8&lt;SCORE!H$5*V8),SCORE!A$5,(IF(SCORE!G$6*'DATASET 102018'!V8&lt;=X8,SCORE!A$6,0)))))))))</f>
        <v>High</v>
      </c>
      <c r="Z8" s="42">
        <v>0</v>
      </c>
      <c r="AA8" s="42">
        <v>0</v>
      </c>
      <c r="AB8" s="42">
        <v>125</v>
      </c>
      <c r="AC8" s="42">
        <v>235</v>
      </c>
      <c r="AD8" s="42">
        <v>39</v>
      </c>
      <c r="AE8" s="42">
        <v>332</v>
      </c>
    </row>
    <row r="9" spans="1:31" x14ac:dyDescent="0.3">
      <c r="A9">
        <f t="shared" si="1"/>
        <v>8</v>
      </c>
      <c r="B9" s="43" t="s">
        <v>112</v>
      </c>
      <c r="C9" s="43">
        <v>9899</v>
      </c>
      <c r="D9" s="43">
        <v>10166</v>
      </c>
      <c r="E9" s="42">
        <f t="shared" si="0"/>
        <v>10032.5</v>
      </c>
      <c r="F9" s="43">
        <v>2</v>
      </c>
      <c r="G9" s="43" t="s">
        <v>385</v>
      </c>
      <c r="H9" s="43" t="s">
        <v>371</v>
      </c>
      <c r="I9" s="43">
        <v>60</v>
      </c>
      <c r="J9" s="43">
        <v>1.56</v>
      </c>
      <c r="K9" s="43" t="s">
        <v>212</v>
      </c>
      <c r="L9" s="43" t="s">
        <v>212</v>
      </c>
      <c r="M9" s="43" t="s">
        <v>212</v>
      </c>
      <c r="N9" s="43" t="s">
        <v>211</v>
      </c>
      <c r="O9" s="43">
        <v>1</v>
      </c>
      <c r="P9" s="27">
        <v>18.575043407554563</v>
      </c>
      <c r="Q9" s="91">
        <f>IF(Tableau14[[#This Row],[F crashes2015]] &lt;&gt; 0, Tableau14[[#This Row],[F &amp; S crashes2015]]/Tableau14[[#This Row],[F crashes2015]], 1)</f>
        <v>1</v>
      </c>
      <c r="R9" s="91" t="str">
        <f>IF( AND(P9&gt;=SCORE!B$2*'DATASET 102018'!Q9, P9&lt;SCORE!C$2*'DATASET 102018'!Q9),SCORE!A$2,(IF(AND(P9&gt;=SCORE!B$3*'DATASET 102018'!Q9,P9&lt;SCORE!C$3*'DATASET 102018'!Q9),SCORE!A$3,(IF(AND(P9&gt;=SCORE!B$4*'DATASET 102018'!Q9,P9&lt;SCORE!C$4*'DATASET 102018'!Q9),SCORE!A$4,(IF(AND(P9&gt;=SCORE!B$5*'DATASET 102018'!Q9,P9&lt;SCORE!C$5*'DATASET 102018'!Q9),SCORE!A$5,(IF(SCORE!B$6*'DATASET 102018'!Q9&lt;=P9,SCORE!A$6,0)))))))))</f>
        <v>High</v>
      </c>
      <c r="S9" s="63">
        <f>Tableau14[[#This Row],[F &amp; S crashes2015]]/4</f>
        <v>0.5</v>
      </c>
      <c r="T9" s="66" t="str">
        <f>IF( AND(S9&gt;=SCORE!G$2*'DATASET 102018'!Q9, S9&lt;SCORE!H$2*'DATASET 102018'!Q9),SCORE!F$2,(IF(AND(S9&gt;=SCORE!G$3*'DATASET 102018'!Q9, S9&lt;SCORE!H$3*'DATASET 102018'!Q9),SCORE!A$3,(IF(AND(S9&gt;=SCORE!G$4*'DATASET 102018'!Q9, S9&lt;SCORE!H$4*'DATASET 102018'!Q9),SCORE!A$4,(IF(AND(S9&gt;=SCORE!G$5*'DATASET 102018'!Q9, S9&lt;SCORE!H$5*'DATASET 102018'!Q9),SCORE!A$5,(IF(SCORE!G$6*'DATASET 102018'!Q9&lt;=S9,SCORE!A$6,0)))))))))</f>
        <v>High</v>
      </c>
      <c r="U9" s="8">
        <f>(Tableau14[[#This Row],[F &amp; S crashes2016]]/Tableau14[[#This Row],[BILLION VEH KM TRAVELLED2016]])</f>
        <v>9.0435819710948131</v>
      </c>
      <c r="V9" s="91">
        <f>IF(Tableau14[[#This Row],[F crashes2016]] &lt;&gt; 0, Tableau14[[#This Row],[F &amp; S crashes2016]]/Tableau14[[#This Row],[F crashes2016]], 1)</f>
        <v>1</v>
      </c>
      <c r="W9" s="91" t="str">
        <f>IF(AND(U9&gt;=SCORE!B$2*'DATASET 102018'!V9, U9&lt;SCORE!C$2*'DATASET 102018'!V9),SCORE!A$2,(IF(AND(U9&gt;=SCORE!B$3*'DATASET 102018'!V9, U9&lt;SCORE!C$3*'DATASET 102018'!V9),SCORE!A$3,(IF(AND(U9&gt;=SCORE!B$4*'DATASET 102018'!V9, U9&lt;SCORE!C$4*'DATASET 102018'!V9),SCORE!A$4,(IF(AND(U9&gt;=SCORE!B$5*'DATASET 102018'!V9, U9&lt;SCORE!C$5*'DATASET 102018'!V9),SCORE!A$5,(IF(SCORE!B$6*'DATASET 102018'!V9&lt;=U9,SCORE!A$6,0)))))))))</f>
        <v>Medium-high</v>
      </c>
      <c r="X9" s="8">
        <f>Tableau14[[#This Row],[F &amp; S crashes2016]]/4</f>
        <v>0.25</v>
      </c>
      <c r="Y9" s="8" t="str">
        <f>IF( AND(X9&gt;=SCORE!G$2*V9, X9&lt;SCORE!H$2*V9),SCORE!F$2,(IF(AND(X9&gt;=SCORE!G$3*V9, X9&lt;SCORE!H$3*V9),SCORE!A$3,(IF(AND(X9&gt;=SCORE!G$4*V9, X9&lt;SCORE!H$4*V9),SCORE!A$4,(IF(AND(X9&gt;=SCORE!G$5*V9, X9&lt;SCORE!H$5*V9),SCORE!A$5,(IF(SCORE!G$6*'DATASET 102018'!V9&lt;=X9,SCORE!A$6,0)))))))))</f>
        <v>High</v>
      </c>
      <c r="Z9" s="43">
        <v>135</v>
      </c>
      <c r="AA9" s="43">
        <v>354</v>
      </c>
      <c r="AB9" s="43">
        <v>174</v>
      </c>
      <c r="AC9" s="43">
        <v>315</v>
      </c>
      <c r="AD9" s="43">
        <v>96</v>
      </c>
      <c r="AE9" s="43">
        <v>259</v>
      </c>
    </row>
    <row r="10" spans="1:31" x14ac:dyDescent="0.3">
      <c r="A10">
        <f t="shared" si="1"/>
        <v>9</v>
      </c>
      <c r="B10" s="42" t="s">
        <v>300</v>
      </c>
      <c r="C10" s="42">
        <v>9899</v>
      </c>
      <c r="D10" s="42">
        <v>10166</v>
      </c>
      <c r="E10" s="42">
        <f t="shared" si="0"/>
        <v>10032.5</v>
      </c>
      <c r="F10" s="42">
        <v>4</v>
      </c>
      <c r="G10" s="43" t="s">
        <v>384</v>
      </c>
      <c r="H10" s="42" t="s">
        <v>417</v>
      </c>
      <c r="I10" s="42">
        <v>60</v>
      </c>
      <c r="J10" s="42">
        <v>14</v>
      </c>
      <c r="K10" s="42" t="s">
        <v>212</v>
      </c>
      <c r="L10" s="42" t="s">
        <v>212</v>
      </c>
      <c r="M10" s="42" t="s">
        <v>212</v>
      </c>
      <c r="N10" s="42" t="s">
        <v>212</v>
      </c>
      <c r="O10" s="42">
        <v>12.2</v>
      </c>
      <c r="P10" s="27">
        <v>18.575043407554563</v>
      </c>
      <c r="Q10" s="91">
        <f>IF(Tableau14[[#This Row],[F crashes2015]] &lt;&gt; 0, Tableau14[[#This Row],[F &amp; S crashes2015]]/Tableau14[[#This Row],[F crashes2015]], 1)</f>
        <v>1</v>
      </c>
      <c r="R10" s="91" t="str">
        <f>IF( AND(P10&gt;=SCORE!B$2*'DATASET 102018'!Q10, P10&lt;SCORE!C$2*'DATASET 102018'!Q10),SCORE!A$2,(IF(AND(P10&gt;=SCORE!B$3*'DATASET 102018'!Q10,P10&lt;SCORE!C$3*'DATASET 102018'!Q10),SCORE!A$3,(IF(AND(P10&gt;=SCORE!B$4*'DATASET 102018'!Q10,P10&lt;SCORE!C$4*'DATASET 102018'!Q10),SCORE!A$4,(IF(AND(P10&gt;=SCORE!B$5*'DATASET 102018'!Q10,P10&lt;SCORE!C$5*'DATASET 102018'!Q10),SCORE!A$5,(IF(SCORE!B$6*'DATASET 102018'!Q10&lt;=P10,SCORE!A$6,0)))))))))</f>
        <v>High</v>
      </c>
      <c r="S10" s="68">
        <f>Tableau14[[#This Row],[F &amp; S crashes2015]]/4</f>
        <v>0.5</v>
      </c>
      <c r="T10" s="66" t="str">
        <f>IF( AND(S10&gt;=SCORE!G$2*'DATASET 102018'!Q10, S10&lt;SCORE!H$2*'DATASET 102018'!Q10),SCORE!F$2,(IF(AND(S10&gt;=SCORE!G$3*'DATASET 102018'!Q10, S10&lt;SCORE!H$3*'DATASET 102018'!Q10),SCORE!A$3,(IF(AND(S10&gt;=SCORE!G$4*'DATASET 102018'!Q10, S10&lt;SCORE!H$4*'DATASET 102018'!Q10),SCORE!A$4,(IF(AND(S10&gt;=SCORE!G$5*'DATASET 102018'!Q10, S10&lt;SCORE!H$5*'DATASET 102018'!Q10),SCORE!A$5,(IF(SCORE!G$6*'DATASET 102018'!Q10&lt;=S10,SCORE!A$6,0)))))))))</f>
        <v>High</v>
      </c>
      <c r="U10" s="8">
        <f>(Tableau14[[#This Row],[F &amp; S crashes2016]]/Tableau14[[#This Row],[BILLION VEH KM TRAVELLED2016]])</f>
        <v>81.392237739853314</v>
      </c>
      <c r="V10" s="91">
        <f>IF(Tableau14[[#This Row],[F crashes2016]] &lt;&gt; 0, Tableau14[[#This Row],[F &amp; S crashes2016]]/Tableau14[[#This Row],[F crashes2016]], 1)</f>
        <v>9</v>
      </c>
      <c r="W10" s="91" t="str">
        <f>IF(AND(U10&gt;=SCORE!B$2*'DATASET 102018'!V10, U10&lt;SCORE!C$2*'DATASET 102018'!V10),SCORE!A$2,(IF(AND(U10&gt;=SCORE!B$3*'DATASET 102018'!V10, U10&lt;SCORE!C$3*'DATASET 102018'!V10),SCORE!A$3,(IF(AND(U10&gt;=SCORE!B$4*'DATASET 102018'!V10, U10&lt;SCORE!C$4*'DATASET 102018'!V10),SCORE!A$4,(IF(AND(U10&gt;=SCORE!B$5*'DATASET 102018'!V10, U10&lt;SCORE!C$5*'DATASET 102018'!V10),SCORE!A$5,(IF(SCORE!B$6*'DATASET 102018'!V10&lt;=U10,SCORE!A$6,0)))))))))</f>
        <v>Medium-high</v>
      </c>
      <c r="X10" s="8">
        <f>Tableau14[[#This Row],[F &amp; S crashes2016]]/4</f>
        <v>2.25</v>
      </c>
      <c r="Y10" s="8" t="str">
        <f>IF( AND(X10&gt;=SCORE!G$2*V10, X10&lt;SCORE!H$2*V10),SCORE!F$2,(IF(AND(X10&gt;=SCORE!G$3*V10, X10&lt;SCORE!H$3*V10),SCORE!A$3,(IF(AND(X10&gt;=SCORE!G$4*V10, X10&lt;SCORE!H$4*V10),SCORE!A$4,(IF(AND(X10&gt;=SCORE!G$5*V10, X10&lt;SCORE!H$5*V10),SCORE!A$5,(IF(SCORE!G$6*'DATASET 102018'!V10&lt;=X10,SCORE!A$6,0)))))))))</f>
        <v>High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</row>
    <row r="11" spans="1:31" x14ac:dyDescent="0.3">
      <c r="A11">
        <f t="shared" si="1"/>
        <v>10</v>
      </c>
      <c r="B11" s="43" t="s">
        <v>301</v>
      </c>
      <c r="C11" s="43">
        <v>17711</v>
      </c>
      <c r="D11" s="43">
        <v>21361</v>
      </c>
      <c r="E11" s="42">
        <f t="shared" si="0"/>
        <v>19536</v>
      </c>
      <c r="F11" s="43" t="s">
        <v>218</v>
      </c>
      <c r="G11" s="43" t="s">
        <v>218</v>
      </c>
      <c r="H11" s="43" t="s">
        <v>218</v>
      </c>
      <c r="I11" s="43">
        <v>60</v>
      </c>
      <c r="J11" s="43">
        <v>24</v>
      </c>
      <c r="K11" s="43" t="s">
        <v>212</v>
      </c>
      <c r="L11" s="43" t="s">
        <v>212</v>
      </c>
      <c r="M11" s="43" t="s">
        <v>212</v>
      </c>
      <c r="N11" s="43" t="s">
        <v>211</v>
      </c>
      <c r="O11" s="43">
        <v>1</v>
      </c>
      <c r="P11" s="27">
        <v>43.069326972855123</v>
      </c>
      <c r="Q11" s="91">
        <f>IF(Tableau14[[#This Row],[F crashes2015]] &lt;&gt; 0, Tableau14[[#This Row],[F &amp; S crashes2015]]/Tableau14[[#This Row],[F crashes2015]], 1)</f>
        <v>1.2</v>
      </c>
      <c r="R11" s="91" t="str">
        <f>IF( AND(P11&gt;=SCORE!B$2*'DATASET 102018'!Q11, P11&lt;SCORE!C$2*'DATASET 102018'!Q11),SCORE!A$2,(IF(AND(P11&gt;=SCORE!B$3*'DATASET 102018'!Q11,P11&lt;SCORE!C$3*'DATASET 102018'!Q11),SCORE!A$3,(IF(AND(P11&gt;=SCORE!B$4*'DATASET 102018'!Q11,P11&lt;SCORE!C$4*'DATASET 102018'!Q11),SCORE!A$4,(IF(AND(P11&gt;=SCORE!B$5*'DATASET 102018'!Q11,P11&lt;SCORE!C$5*'DATASET 102018'!Q11),SCORE!A$5,(IF(SCORE!B$6*'DATASET 102018'!Q11&lt;=P11,SCORE!A$6,0)))))))))</f>
        <v>High</v>
      </c>
      <c r="S11" s="71">
        <f>Tableau14[[#This Row],[F &amp; S crashes2015]]/4</f>
        <v>1.5</v>
      </c>
      <c r="T11" s="66" t="str">
        <f>IF( AND(S11&gt;=SCORE!G$2*'DATASET 102018'!Q11, S11&lt;SCORE!H$2*'DATASET 102018'!Q11),SCORE!F$2,(IF(AND(S11&gt;=SCORE!G$3*'DATASET 102018'!Q11, S11&lt;SCORE!H$3*'DATASET 102018'!Q11),SCORE!A$3,(IF(AND(S11&gt;=SCORE!G$4*'DATASET 102018'!Q11, S11&lt;SCORE!H$4*'DATASET 102018'!Q11),SCORE!A$4,(IF(AND(S11&gt;=SCORE!G$5*'DATASET 102018'!Q11, S11&lt;SCORE!H$5*'DATASET 102018'!Q11),SCORE!A$5,(IF(SCORE!G$6*'DATASET 102018'!Q11&lt;=S11,SCORE!A$6,0)))))))))</f>
        <v>High</v>
      </c>
      <c r="U11" s="8">
        <f>(Tableau14[[#This Row],[F &amp; S crashes2016]]/Tableau14[[#This Row],[BILLION VEH KM TRAVELLED2016]])</f>
        <v>35.709938879463785</v>
      </c>
      <c r="V11" s="91">
        <f>IF(Tableau14[[#This Row],[F crashes2016]] &lt;&gt; 0, Tableau14[[#This Row],[F &amp; S crashes2016]]/Tableau14[[#This Row],[F crashes2016]], 1)</f>
        <v>2</v>
      </c>
      <c r="W11" s="91" t="str">
        <f>IF(AND(U11&gt;=SCORE!B$2*'DATASET 102018'!V11, U11&lt;SCORE!C$2*'DATASET 102018'!V11),SCORE!A$2,(IF(AND(U11&gt;=SCORE!B$3*'DATASET 102018'!V11, U11&lt;SCORE!C$3*'DATASET 102018'!V11),SCORE!A$3,(IF(AND(U11&gt;=SCORE!B$4*'DATASET 102018'!V11, U11&lt;SCORE!C$4*'DATASET 102018'!V11),SCORE!A$4,(IF(AND(U11&gt;=SCORE!B$5*'DATASET 102018'!V11, U11&lt;SCORE!C$5*'DATASET 102018'!V11),SCORE!A$5,(IF(SCORE!B$6*'DATASET 102018'!V11&lt;=U11,SCORE!A$6,0)))))))))</f>
        <v>High</v>
      </c>
      <c r="X11" s="8">
        <f>Tableau14[[#This Row],[F &amp; S crashes2016]]/4</f>
        <v>1.5</v>
      </c>
      <c r="Y11" s="8" t="str">
        <f>IF( AND(X11&gt;=SCORE!G$2*V11, X11&lt;SCORE!H$2*V11),SCORE!F$2,(IF(AND(X11&gt;=SCORE!G$3*V11, X11&lt;SCORE!H$3*V11),SCORE!A$3,(IF(AND(X11&gt;=SCORE!G$4*V11, X11&lt;SCORE!H$4*V11),SCORE!A$4,(IF(AND(X11&gt;=SCORE!G$5*V11, X11&lt;SCORE!H$5*V11),SCORE!A$5,(IF(SCORE!G$6*'DATASET 102018'!V11&lt;=X11,SCORE!A$6,0)))))))))</f>
        <v>High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</row>
    <row r="12" spans="1:31" x14ac:dyDescent="0.3">
      <c r="A12">
        <f t="shared" si="1"/>
        <v>11</v>
      </c>
      <c r="B12" s="81" t="s">
        <v>104</v>
      </c>
      <c r="C12" s="81">
        <v>15361</v>
      </c>
      <c r="D12" s="81">
        <v>15894</v>
      </c>
      <c r="E12" s="42">
        <f t="shared" si="0"/>
        <v>15627.5</v>
      </c>
      <c r="F12" s="81">
        <v>2</v>
      </c>
      <c r="G12" s="81" t="s">
        <v>385</v>
      </c>
      <c r="H12" s="81" t="s">
        <v>371</v>
      </c>
      <c r="I12" s="81">
        <v>60</v>
      </c>
      <c r="J12" s="81"/>
      <c r="K12" s="81" t="s">
        <v>212</v>
      </c>
      <c r="L12" s="81" t="s">
        <v>212</v>
      </c>
      <c r="M12" s="81" t="s">
        <v>212</v>
      </c>
      <c r="N12" s="81"/>
      <c r="O12" s="81"/>
      <c r="P12" s="90">
        <v>462.401017282238</v>
      </c>
      <c r="Q12" s="93">
        <f>IF(Tableau14[[#This Row],[F crashes2015]] &lt;&gt; 0, Tableau14[[#This Row],[F &amp; S crashes2015]]/Tableau14[[#This Row],[F crashes2015]], 1)</f>
        <v>7</v>
      </c>
      <c r="R12" s="89" t="str">
        <f>IF( AND(P12&gt;=SCORE!B$2*'DATASET 102018'!Q12, P12&lt;SCORE!C$2*'DATASET 102018'!Q12),SCORE!A$2,(IF(AND(P12&gt;=SCORE!B$3*'DATASET 102018'!Q12,P12&lt;SCORE!C$3*'DATASET 102018'!Q12),SCORE!A$3,(IF(AND(P12&gt;=SCORE!B$4*'DATASET 102018'!Q12,P12&lt;SCORE!C$4*'DATASET 102018'!Q12),SCORE!A$4,(IF(AND(P12&gt;=SCORE!B$5*'DATASET 102018'!Q12,P12&lt;SCORE!C$5*'DATASET 102018'!Q12),SCORE!A$5,(IF(SCORE!B$6*'DATASET 102018'!Q12&lt;=P12,SCORE!A$6,0)))))))))</f>
        <v>High</v>
      </c>
      <c r="S12" s="89">
        <f>Tableau14[[#This Row],[F &amp; S crashes2015]]/4</f>
        <v>1.75</v>
      </c>
      <c r="T12" s="66" t="str">
        <f>IF( AND(S12&gt;=SCORE!G$2*'DATASET 102018'!Q12, S12&lt;SCORE!H$2*'DATASET 102018'!Q12),SCORE!F$2,(IF(AND(S12&gt;=SCORE!G$3*'DATASET 102018'!Q12, S12&lt;SCORE!H$3*'DATASET 102018'!Q12),SCORE!A$3,(IF(AND(S12&gt;=SCORE!G$4*'DATASET 102018'!Q12, S12&lt;SCORE!H$4*'DATASET 102018'!Q12),SCORE!A$4,(IF(AND(S12&gt;=SCORE!G$5*'DATASET 102018'!Q12, S12&lt;SCORE!H$5*'DATASET 102018'!Q12),SCORE!A$5,(IF(SCORE!G$6*'DATASET 102018'!Q12&lt;=S12,SCORE!A$6,0)))))))))</f>
        <v>High</v>
      </c>
      <c r="U12" s="12">
        <f>(Tableau14[[#This Row],[F &amp; S crashes2016]]/Tableau14[[#This Row],[BILLION VEH KM TRAVELLED2016]])</f>
        <v>127.68448652641376</v>
      </c>
      <c r="V12" s="24">
        <f>IF(Tableau14[[#This Row],[F crashes2016]] &lt;&gt; 0, Tableau14[[#This Row],[F &amp; S crashes2016]]/Tableau14[[#This Row],[F crashes2016]], 1)</f>
        <v>2</v>
      </c>
      <c r="W12" s="12" t="str">
        <f>IF(AND(U12&gt;=SCORE!B$2*'DATASET 102018'!V12, U12&lt;SCORE!C$2*'DATASET 102018'!V12),SCORE!A$2,(IF(AND(U12&gt;=SCORE!B$3*'DATASET 102018'!V12, U12&lt;SCORE!C$3*'DATASET 102018'!V12),SCORE!A$3,(IF(AND(U12&gt;=SCORE!B$4*'DATASET 102018'!V12, U12&lt;SCORE!C$4*'DATASET 102018'!V12),SCORE!A$4,(IF(AND(U12&gt;=SCORE!B$5*'DATASET 102018'!V12, U12&lt;SCORE!C$5*'DATASET 102018'!V12),SCORE!A$5,(IF(SCORE!B$6*'DATASET 102018'!V12&lt;=U12,SCORE!A$6,0)))))))))</f>
        <v>High</v>
      </c>
      <c r="X12" s="12">
        <f>Tableau14[[#This Row],[F &amp; S crashes2016]]/4</f>
        <v>0.5</v>
      </c>
      <c r="Y12" s="8" t="str">
        <f>IF( AND(X12&gt;=SCORE!G$2*V12, X12&lt;SCORE!H$2*V12),SCORE!F$2,(IF(AND(X12&gt;=SCORE!G$3*V12, X12&lt;SCORE!H$3*V12),SCORE!A$3,(IF(AND(X12&gt;=SCORE!G$4*V12, X12&lt;SCORE!H$4*V12),SCORE!A$4,(IF(AND(X12&gt;=SCORE!G$5*V12, X12&lt;SCORE!H$5*V12),SCORE!A$5,(IF(SCORE!G$6*'DATASET 102018'!V12&lt;=X12,SCORE!A$6,0)))))))))</f>
        <v>High</v>
      </c>
      <c r="Z12" s="81">
        <v>0</v>
      </c>
      <c r="AA12" s="81">
        <v>0</v>
      </c>
      <c r="AB12" s="81">
        <v>0</v>
      </c>
      <c r="AC12" s="81">
        <v>0</v>
      </c>
      <c r="AD12" s="81">
        <v>277</v>
      </c>
      <c r="AE12" s="81">
        <v>141</v>
      </c>
    </row>
    <row r="13" spans="1:31" x14ac:dyDescent="0.3">
      <c r="A13">
        <f t="shared" si="1"/>
        <v>12</v>
      </c>
      <c r="B13" s="43" t="s">
        <v>105</v>
      </c>
      <c r="C13" s="43">
        <v>15361</v>
      </c>
      <c r="D13" s="43">
        <v>15894</v>
      </c>
      <c r="E13" s="42">
        <f t="shared" si="0"/>
        <v>15627.5</v>
      </c>
      <c r="F13" s="43" t="s">
        <v>218</v>
      </c>
      <c r="G13" s="43" t="s">
        <v>218</v>
      </c>
      <c r="H13" s="43" t="s">
        <v>218</v>
      </c>
      <c r="I13" s="43">
        <v>60</v>
      </c>
      <c r="J13" s="43">
        <v>1.23</v>
      </c>
      <c r="K13" s="43" t="s">
        <v>212</v>
      </c>
      <c r="L13" s="43" t="s">
        <v>212</v>
      </c>
      <c r="M13" s="43" t="s">
        <v>212</v>
      </c>
      <c r="N13" s="43" t="s">
        <v>211</v>
      </c>
      <c r="O13" s="43">
        <v>1</v>
      </c>
      <c r="P13" s="27">
        <v>462.401017282238</v>
      </c>
      <c r="Q13" s="91">
        <f>IF(Tableau14[[#This Row],[F crashes2015]] &lt;&gt; 0, Tableau14[[#This Row],[F &amp; S crashes2015]]/Tableau14[[#This Row],[F crashes2015]], 1)</f>
        <v>7</v>
      </c>
      <c r="R13" s="91" t="str">
        <f>IF( AND(P13&gt;=SCORE!B$2*'DATASET 102018'!Q13, P13&lt;SCORE!C$2*'DATASET 102018'!Q13),SCORE!A$2,(IF(AND(P13&gt;=SCORE!B$3*'DATASET 102018'!Q13,P13&lt;SCORE!C$3*'DATASET 102018'!Q13),SCORE!A$3,(IF(AND(P13&gt;=SCORE!B$4*'DATASET 102018'!Q13,P13&lt;SCORE!C$4*'DATASET 102018'!Q13),SCORE!A$4,(IF(AND(P13&gt;=SCORE!B$5*'DATASET 102018'!Q13,P13&lt;SCORE!C$5*'DATASET 102018'!Q13),SCORE!A$5,(IF(SCORE!B$6*'DATASET 102018'!Q13&lt;=P13,SCORE!A$6,0)))))))))</f>
        <v>High</v>
      </c>
      <c r="S13" s="63">
        <f>Tableau14[[#This Row],[F &amp; S crashes2015]]/4</f>
        <v>1.75</v>
      </c>
      <c r="T13" s="66" t="str">
        <f>IF( AND(S13&gt;=SCORE!G$2*'DATASET 102018'!Q13, S13&lt;SCORE!H$2*'DATASET 102018'!Q13),SCORE!F$2,(IF(AND(S13&gt;=SCORE!G$3*'DATASET 102018'!Q13, S13&lt;SCORE!H$3*'DATASET 102018'!Q13),SCORE!A$3,(IF(AND(S13&gt;=SCORE!G$4*'DATASET 102018'!Q13, S13&lt;SCORE!H$4*'DATASET 102018'!Q13),SCORE!A$4,(IF(AND(S13&gt;=SCORE!G$5*'DATASET 102018'!Q13, S13&lt;SCORE!H$5*'DATASET 102018'!Q13),SCORE!A$5,(IF(SCORE!G$6*'DATASET 102018'!Q13&lt;=S13,SCORE!A$6,0)))))))))</f>
        <v>High</v>
      </c>
      <c r="U13" s="8">
        <f>(Tableau14[[#This Row],[F &amp; S crashes2016]]/Tableau14[[#This Row],[BILLION VEH KM TRAVELLED2016]])</f>
        <v>127.68448652641376</v>
      </c>
      <c r="V13" s="91">
        <f>IF(Tableau14[[#This Row],[F crashes2016]] &lt;&gt; 0, Tableau14[[#This Row],[F &amp; S crashes2016]]/Tableau14[[#This Row],[F crashes2016]], 1)</f>
        <v>2</v>
      </c>
      <c r="W13" s="91" t="str">
        <f>IF(AND(U13&gt;=SCORE!B$2*'DATASET 102018'!V13, U13&lt;SCORE!C$2*'DATASET 102018'!V13),SCORE!A$2,(IF(AND(U13&gt;=SCORE!B$3*'DATASET 102018'!V13, U13&lt;SCORE!C$3*'DATASET 102018'!V13),SCORE!A$3,(IF(AND(U13&gt;=SCORE!B$4*'DATASET 102018'!V13, U13&lt;SCORE!C$4*'DATASET 102018'!V13),SCORE!A$4,(IF(AND(U13&gt;=SCORE!B$5*'DATASET 102018'!V13, U13&lt;SCORE!C$5*'DATASET 102018'!V13),SCORE!A$5,(IF(SCORE!B$6*'DATASET 102018'!V13&lt;=U13,SCORE!A$6,0)))))))))</f>
        <v>High</v>
      </c>
      <c r="X13" s="8">
        <f>Tableau14[[#This Row],[F &amp; S crashes2016]]/4</f>
        <v>0.5</v>
      </c>
      <c r="Y13" s="8" t="str">
        <f>IF( AND(X13&gt;=SCORE!G$2*V13, X13&lt;SCORE!H$2*V13),SCORE!F$2,(IF(AND(X13&gt;=SCORE!G$3*V13, X13&lt;SCORE!H$3*V13),SCORE!A$3,(IF(AND(X13&gt;=SCORE!G$4*V13, X13&lt;SCORE!H$4*V13),SCORE!A$4,(IF(AND(X13&gt;=SCORE!G$5*V13, X13&lt;SCORE!H$5*V13),SCORE!A$5,(IF(SCORE!G$6*'DATASET 102018'!V13&lt;=X13,SCORE!A$6,0)))))))))</f>
        <v>High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</row>
    <row r="14" spans="1:31" x14ac:dyDescent="0.3">
      <c r="A14">
        <f t="shared" si="1"/>
        <v>13</v>
      </c>
      <c r="B14" s="42" t="s">
        <v>99</v>
      </c>
      <c r="C14" s="42">
        <v>7266</v>
      </c>
      <c r="D14" s="42">
        <v>7044</v>
      </c>
      <c r="E14" s="42">
        <f t="shared" si="0"/>
        <v>7155</v>
      </c>
      <c r="F14" s="42">
        <v>2</v>
      </c>
      <c r="G14" s="42" t="s">
        <v>384</v>
      </c>
      <c r="H14" s="42" t="s">
        <v>371</v>
      </c>
      <c r="I14" s="42">
        <v>80</v>
      </c>
      <c r="J14" s="42">
        <v>3.5</v>
      </c>
      <c r="K14" s="42" t="s">
        <v>212</v>
      </c>
      <c r="L14" s="42" t="s">
        <v>212</v>
      </c>
      <c r="M14" s="42" t="s">
        <v>212</v>
      </c>
      <c r="N14" s="42" t="s">
        <v>211</v>
      </c>
      <c r="O14" s="42">
        <v>1</v>
      </c>
      <c r="P14" s="27">
        <v>44.360130622840636</v>
      </c>
      <c r="Q14" s="91">
        <f>IF(Tableau14[[#This Row],[F crashes2015]] &lt;&gt; 0, Tableau14[[#This Row],[F &amp; S crashes2015]]/Tableau14[[#This Row],[F crashes2015]], 1)</f>
        <v>1</v>
      </c>
      <c r="R14" s="91" t="str">
        <f>IF( AND(P14&gt;=SCORE!B$2*'DATASET 102018'!Q14, P14&lt;SCORE!C$2*'DATASET 102018'!Q14),SCORE!A$2,(IF(AND(P14&gt;=SCORE!B$3*'DATASET 102018'!Q14,P14&lt;SCORE!C$3*'DATASET 102018'!Q14),SCORE!A$3,(IF(AND(P14&gt;=SCORE!B$4*'DATASET 102018'!Q14,P14&lt;SCORE!C$4*'DATASET 102018'!Q14),SCORE!A$4,(IF(AND(P14&gt;=SCORE!B$5*'DATASET 102018'!Q14,P14&lt;SCORE!C$5*'DATASET 102018'!Q14),SCORE!A$5,(IF(SCORE!B$6*'DATASET 102018'!Q14&lt;=P14,SCORE!A$6,0)))))))))</f>
        <v>High</v>
      </c>
      <c r="S14" s="66">
        <f>Tableau14[[#This Row],[F &amp; S crashes2015]]/4</f>
        <v>1</v>
      </c>
      <c r="T14" s="66" t="str">
        <f>IF( AND(S14&gt;=SCORE!G$2*'DATASET 102018'!Q14, S14&lt;SCORE!H$2*'DATASET 102018'!Q14),SCORE!F$2,(IF(AND(S14&gt;=SCORE!G$3*'DATASET 102018'!Q14, S14&lt;SCORE!H$3*'DATASET 102018'!Q14),SCORE!A$3,(IF(AND(S14&gt;=SCORE!G$4*'DATASET 102018'!Q14, S14&lt;SCORE!H$4*'DATASET 102018'!Q14),SCORE!A$4,(IF(AND(S14&gt;=SCORE!G$5*'DATASET 102018'!Q14, S14&lt;SCORE!H$5*'DATASET 102018'!Q14),SCORE!A$5,(IF(SCORE!G$6*'DATASET 102018'!Q14&lt;=S14,SCORE!A$6,0)))))))))</f>
        <v>High</v>
      </c>
      <c r="U14" s="8">
        <f>(Tableau14[[#This Row],[F &amp; S crashes2016]]/Tableau14[[#This Row],[BILLION VEH KM TRAVELLED2016]])</f>
        <v>22.879096330604771</v>
      </c>
      <c r="V14" s="91">
        <f>IF(Tableau14[[#This Row],[F crashes2016]] &lt;&gt; 0, Tableau14[[#This Row],[F &amp; S crashes2016]]/Tableau14[[#This Row],[F crashes2016]], 1)</f>
        <v>2</v>
      </c>
      <c r="W14" s="91" t="str">
        <f>IF(AND(U14&gt;=SCORE!B$2*'DATASET 102018'!V14, U14&lt;SCORE!C$2*'DATASET 102018'!V14),SCORE!A$2,(IF(AND(U14&gt;=SCORE!B$3*'DATASET 102018'!V14, U14&lt;SCORE!C$3*'DATASET 102018'!V14),SCORE!A$3,(IF(AND(U14&gt;=SCORE!B$4*'DATASET 102018'!V14, U14&lt;SCORE!C$4*'DATASET 102018'!V14),SCORE!A$4,(IF(AND(U14&gt;=SCORE!B$5*'DATASET 102018'!V14, U14&lt;SCORE!C$5*'DATASET 102018'!V14),SCORE!A$5,(IF(SCORE!B$6*'DATASET 102018'!V14&lt;=U14,SCORE!A$6,0)))))))))</f>
        <v>Medium-high</v>
      </c>
      <c r="X14" s="8">
        <f>Tableau14[[#This Row],[F &amp; S crashes2016]]/4</f>
        <v>0.5</v>
      </c>
      <c r="Y14" s="8" t="str">
        <f>IF( AND(X14&gt;=SCORE!G$2*V14, X14&lt;SCORE!H$2*V14),SCORE!F$2,(IF(AND(X14&gt;=SCORE!G$3*V14, X14&lt;SCORE!H$3*V14),SCORE!A$3,(IF(AND(X14&gt;=SCORE!G$4*V14, X14&lt;SCORE!H$4*V14),SCORE!A$4,(IF(AND(X14&gt;=SCORE!G$5*V14, X14&lt;SCORE!H$5*V14),SCORE!A$5,(IF(SCORE!G$6*'DATASET 102018'!V14&lt;=X14,SCORE!A$6,0)))))))))</f>
        <v>High</v>
      </c>
      <c r="Z14" s="42">
        <v>0</v>
      </c>
      <c r="AA14" s="42">
        <v>0</v>
      </c>
      <c r="AB14" s="42">
        <v>0</v>
      </c>
      <c r="AC14" s="42">
        <v>0</v>
      </c>
      <c r="AD14" s="42">
        <v>80</v>
      </c>
      <c r="AE14" s="42">
        <v>156</v>
      </c>
    </row>
    <row r="15" spans="1:31" x14ac:dyDescent="0.3">
      <c r="A15">
        <f t="shared" si="1"/>
        <v>14</v>
      </c>
      <c r="B15" s="43" t="s">
        <v>115</v>
      </c>
      <c r="C15" s="43">
        <v>10551</v>
      </c>
      <c r="D15" s="43">
        <v>10835</v>
      </c>
      <c r="E15" s="42">
        <f t="shared" si="0"/>
        <v>10693</v>
      </c>
      <c r="F15" s="43">
        <v>4</v>
      </c>
      <c r="G15" s="43" t="s">
        <v>384</v>
      </c>
      <c r="H15" s="43" t="s">
        <v>386</v>
      </c>
      <c r="I15" s="43">
        <v>60</v>
      </c>
      <c r="J15" s="43">
        <v>0.55000000000000004</v>
      </c>
      <c r="K15" s="43" t="s">
        <v>212</v>
      </c>
      <c r="L15" s="43" t="s">
        <v>212</v>
      </c>
      <c r="M15" s="43" t="s">
        <v>212</v>
      </c>
      <c r="N15" s="43" t="s">
        <v>211</v>
      </c>
      <c r="O15" s="43">
        <v>1</v>
      </c>
      <c r="P15" s="27">
        <v>10.386602321665285</v>
      </c>
      <c r="Q15" s="91">
        <f>IF(Tableau14[[#This Row],[F crashes2015]] &lt;&gt; 0, Tableau14[[#This Row],[F &amp; S crashes2015]]/Tableau14[[#This Row],[F crashes2015]], 1)</f>
        <v>1</v>
      </c>
      <c r="R15" s="91" t="str">
        <f>IF( AND(P15&gt;=SCORE!B$2*'DATASET 102018'!Q15, P15&lt;SCORE!C$2*'DATASET 102018'!Q15),SCORE!A$2,(IF(AND(P15&gt;=SCORE!B$3*'DATASET 102018'!Q15,P15&lt;SCORE!C$3*'DATASET 102018'!Q15),SCORE!A$3,(IF(AND(P15&gt;=SCORE!B$4*'DATASET 102018'!Q15,P15&lt;SCORE!C$4*'DATASET 102018'!Q15),SCORE!A$4,(IF(AND(P15&gt;=SCORE!B$5*'DATASET 102018'!Q15,P15&lt;SCORE!C$5*'DATASET 102018'!Q15),SCORE!A$5,(IF(SCORE!B$6*'DATASET 102018'!Q15&lt;=P15,SCORE!A$6,0)))))))))</f>
        <v>Medium-high</v>
      </c>
      <c r="S15" s="63">
        <f>Tableau14[[#This Row],[F &amp; S crashes2015]]/4</f>
        <v>0.25</v>
      </c>
      <c r="T15" s="66" t="str">
        <f>IF( AND(S15&gt;=SCORE!G$2*'DATASET 102018'!Q15, S15&lt;SCORE!H$2*'DATASET 102018'!Q15),SCORE!F$2,(IF(AND(S15&gt;=SCORE!G$3*'DATASET 102018'!Q15, S15&lt;SCORE!H$3*'DATASET 102018'!Q15),SCORE!A$3,(IF(AND(S15&gt;=SCORE!G$4*'DATASET 102018'!Q15, S15&lt;SCORE!H$4*'DATASET 102018'!Q15),SCORE!A$4,(IF(AND(S15&gt;=SCORE!G$5*'DATASET 102018'!Q15, S15&lt;SCORE!H$5*'DATASET 102018'!Q15),SCORE!A$5,(IF(SCORE!G$6*'DATASET 102018'!Q15&lt;=S15,SCORE!A$6,0)))))))))</f>
        <v>High</v>
      </c>
      <c r="U15" s="8">
        <f>(Tableau14[[#This Row],[F &amp; S crashes2016]]/Tableau14[[#This Row],[BILLION VEH KM TRAVELLED2016]])</f>
        <v>10.114355431092793</v>
      </c>
      <c r="V15" s="91">
        <f>IF(Tableau14[[#This Row],[F crashes2016]] &lt;&gt; 0, Tableau14[[#This Row],[F &amp; S crashes2016]]/Tableau14[[#This Row],[F crashes2016]], 1)</f>
        <v>1</v>
      </c>
      <c r="W15" s="91" t="str">
        <f>IF(AND(U15&gt;=SCORE!B$2*'DATASET 102018'!V15, U15&lt;SCORE!C$2*'DATASET 102018'!V15),SCORE!A$2,(IF(AND(U15&gt;=SCORE!B$3*'DATASET 102018'!V15, U15&lt;SCORE!C$3*'DATASET 102018'!V15),SCORE!A$3,(IF(AND(U15&gt;=SCORE!B$4*'DATASET 102018'!V15, U15&lt;SCORE!C$4*'DATASET 102018'!V15),SCORE!A$4,(IF(AND(U15&gt;=SCORE!B$5*'DATASET 102018'!V15, U15&lt;SCORE!C$5*'DATASET 102018'!V15),SCORE!A$5,(IF(SCORE!B$6*'DATASET 102018'!V15&lt;=U15,SCORE!A$6,0)))))))))</f>
        <v>Medium-high</v>
      </c>
      <c r="X15" s="8">
        <f>Tableau14[[#This Row],[F &amp; S crashes2016]]/4</f>
        <v>0.25</v>
      </c>
      <c r="Y15" s="8" t="str">
        <f>IF( AND(X15&gt;=SCORE!G$2*V15, X15&lt;SCORE!H$2*V15),SCORE!F$2,(IF(AND(X15&gt;=SCORE!G$3*V15, X15&lt;SCORE!H$3*V15),SCORE!A$3,(IF(AND(X15&gt;=SCORE!G$4*V15, X15&lt;SCORE!H$4*V15),SCORE!A$4,(IF(AND(X15&gt;=SCORE!G$5*V15, X15&lt;SCORE!H$5*V15),SCORE!A$5,(IF(SCORE!G$6*'DATASET 102018'!V15&lt;=X15,SCORE!A$6,0)))))))))</f>
        <v>High</v>
      </c>
      <c r="Z15" s="43">
        <v>0</v>
      </c>
      <c r="AA15" s="43">
        <v>0</v>
      </c>
      <c r="AB15" s="43">
        <v>0</v>
      </c>
      <c r="AC15" s="43">
        <v>0</v>
      </c>
      <c r="AD15" s="43">
        <v>211</v>
      </c>
      <c r="AE15" s="43">
        <v>213</v>
      </c>
    </row>
    <row r="16" spans="1:31" x14ac:dyDescent="0.3">
      <c r="A16">
        <f t="shared" si="1"/>
        <v>15</v>
      </c>
      <c r="B16" s="42" t="s">
        <v>116</v>
      </c>
      <c r="C16" s="42">
        <v>10551</v>
      </c>
      <c r="D16" s="42">
        <v>10835</v>
      </c>
      <c r="E16" s="42">
        <f t="shared" si="0"/>
        <v>10693</v>
      </c>
      <c r="F16" s="42">
        <v>4</v>
      </c>
      <c r="G16" s="42" t="s">
        <v>384</v>
      </c>
      <c r="H16" s="42" t="s">
        <v>386</v>
      </c>
      <c r="I16" s="42">
        <v>60</v>
      </c>
      <c r="J16" s="42">
        <v>0.55000000000000004</v>
      </c>
      <c r="K16" s="42" t="s">
        <v>212</v>
      </c>
      <c r="L16" s="42" t="s">
        <v>212</v>
      </c>
      <c r="M16" s="42" t="s">
        <v>212</v>
      </c>
      <c r="N16" s="42" t="s">
        <v>211</v>
      </c>
      <c r="O16" s="42">
        <v>1</v>
      </c>
      <c r="P16" s="27">
        <v>15</v>
      </c>
      <c r="Q16" s="91">
        <f>IF(Tableau14[[#This Row],[F crashes2015]] &lt;&gt; 0, Tableau14[[#This Row],[F &amp; S crashes2015]]/Tableau14[[#This Row],[F crashes2015]], 1)</f>
        <v>1</v>
      </c>
      <c r="R16" s="91" t="str">
        <f>IF( AND(P16&gt;=SCORE!B$2*'DATASET 102018'!Q16, P16&lt;SCORE!C$2*'DATASET 102018'!Q16),SCORE!A$2,(IF(AND(P16&gt;=SCORE!B$3*'DATASET 102018'!Q16,P16&lt;SCORE!C$3*'DATASET 102018'!Q16),SCORE!A$3,(IF(AND(P16&gt;=SCORE!B$4*'DATASET 102018'!Q16,P16&lt;SCORE!C$4*'DATASET 102018'!Q16),SCORE!A$4,(IF(AND(P16&gt;=SCORE!B$5*'DATASET 102018'!Q16,P16&lt;SCORE!C$5*'DATASET 102018'!Q16),SCORE!A$5,(IF(SCORE!B$6*'DATASET 102018'!Q16&lt;=P16,SCORE!A$6,0)))))))))</f>
        <v>High</v>
      </c>
      <c r="S16" s="66">
        <f>Tableau14[[#This Row],[F &amp; S crashes2015]]/4</f>
        <v>0.25</v>
      </c>
      <c r="T16" s="66" t="str">
        <f>IF( AND(S16&gt;=SCORE!G$2*'DATASET 102018'!Q16, S16&lt;SCORE!H$2*'DATASET 102018'!Q16),SCORE!F$2,(IF(AND(S16&gt;=SCORE!G$3*'DATASET 102018'!Q16, S16&lt;SCORE!H$3*'DATASET 102018'!Q16),SCORE!A$3,(IF(AND(S16&gt;=SCORE!G$4*'DATASET 102018'!Q16, S16&lt;SCORE!H$4*'DATASET 102018'!Q16),SCORE!A$4,(IF(AND(S16&gt;=SCORE!G$5*'DATASET 102018'!Q16, S16&lt;SCORE!H$5*'DATASET 102018'!Q16),SCORE!A$5,(IF(SCORE!G$6*'DATASET 102018'!Q16&lt;=S16,SCORE!A$6,0)))))))))</f>
        <v>High</v>
      </c>
      <c r="U16" s="8">
        <f>(Tableau14[[#This Row],[F &amp; S crashes2016]]/Tableau14[[#This Row],[BILLION VEH KM TRAVELLED2016]])</f>
        <v>10.114355431092793</v>
      </c>
      <c r="V16" s="91">
        <f>IF(Tableau14[[#This Row],[F crashes2016]] &lt;&gt; 0, Tableau14[[#This Row],[F &amp; S crashes2016]]/Tableau14[[#This Row],[F crashes2016]], 1)</f>
        <v>1</v>
      </c>
      <c r="W16" s="91" t="str">
        <f>IF(AND(U16&gt;=SCORE!B$2*'DATASET 102018'!V16, U16&lt;SCORE!C$2*'DATASET 102018'!V16),SCORE!A$2,(IF(AND(U16&gt;=SCORE!B$3*'DATASET 102018'!V16, U16&lt;SCORE!C$3*'DATASET 102018'!V16),SCORE!A$3,(IF(AND(U16&gt;=SCORE!B$4*'DATASET 102018'!V16, U16&lt;SCORE!C$4*'DATASET 102018'!V16),SCORE!A$4,(IF(AND(U16&gt;=SCORE!B$5*'DATASET 102018'!V16, U16&lt;SCORE!C$5*'DATASET 102018'!V16),SCORE!A$5,(IF(SCORE!B$6*'DATASET 102018'!V16&lt;=U16,SCORE!A$6,0)))))))))</f>
        <v>Medium-high</v>
      </c>
      <c r="X16" s="8">
        <f>Tableau14[[#This Row],[F &amp; S crashes2016]]/4</f>
        <v>0.25</v>
      </c>
      <c r="Y16" s="8" t="str">
        <f>IF( AND(X16&gt;=SCORE!G$2*V16, X16&lt;SCORE!H$2*V16),SCORE!F$2,(IF(AND(X16&gt;=SCORE!G$3*V16, X16&lt;SCORE!H$3*V16),SCORE!A$3,(IF(AND(X16&gt;=SCORE!G$4*V16, X16&lt;SCORE!H$4*V16),SCORE!A$4,(IF(AND(X16&gt;=SCORE!G$5*V16, X16&lt;SCORE!H$5*V16),SCORE!A$5,(IF(SCORE!G$6*'DATASET 102018'!V16&lt;=X16,SCORE!A$6,0)))))))))</f>
        <v>High</v>
      </c>
      <c r="Z16" s="42">
        <v>0</v>
      </c>
      <c r="AA16" s="42">
        <v>0</v>
      </c>
      <c r="AB16" s="42">
        <v>0</v>
      </c>
      <c r="AC16" s="42">
        <v>0</v>
      </c>
      <c r="AD16" s="42">
        <v>156</v>
      </c>
      <c r="AE16" s="42">
        <v>57</v>
      </c>
    </row>
    <row r="17" spans="1:31" x14ac:dyDescent="0.3">
      <c r="A17">
        <f t="shared" si="1"/>
        <v>16</v>
      </c>
      <c r="B17" s="43" t="s">
        <v>302</v>
      </c>
      <c r="C17" s="43">
        <v>7616</v>
      </c>
      <c r="D17" s="43">
        <v>7383</v>
      </c>
      <c r="E17" s="42">
        <f t="shared" si="0"/>
        <v>7499.5</v>
      </c>
      <c r="F17" s="43">
        <v>2</v>
      </c>
      <c r="G17" s="43" t="s">
        <v>384</v>
      </c>
      <c r="H17" s="43" t="s">
        <v>371</v>
      </c>
      <c r="I17" s="43">
        <v>80</v>
      </c>
      <c r="J17" s="43">
        <v>2.7</v>
      </c>
      <c r="K17" s="43" t="s">
        <v>212</v>
      </c>
      <c r="L17" s="43" t="s">
        <v>212</v>
      </c>
      <c r="M17" s="43" t="s">
        <v>212</v>
      </c>
      <c r="N17" s="43" t="s">
        <v>211</v>
      </c>
      <c r="O17" s="43">
        <v>2.2000000000000002</v>
      </c>
      <c r="P17" s="27">
        <v>0</v>
      </c>
      <c r="Q17" s="91">
        <f>IF(Tableau14[[#This Row],[F crashes2015]] &lt;&gt; 0, Tableau14[[#This Row],[F &amp; S crashes2015]]/Tableau14[[#This Row],[F crashes2015]], 1)</f>
        <v>1</v>
      </c>
      <c r="R17" s="91" t="str">
        <f>IF( AND(P17&gt;=SCORE!B$2*'DATASET 102018'!Q17, P17&lt;SCORE!C$2*'DATASET 102018'!Q17),SCORE!A$2,(IF(AND(P17&gt;=SCORE!B$3*'DATASET 102018'!Q17,P17&lt;SCORE!C$3*'DATASET 102018'!Q17),SCORE!A$3,(IF(AND(P17&gt;=SCORE!B$4*'DATASET 102018'!Q17,P17&lt;SCORE!C$4*'DATASET 102018'!Q17),SCORE!A$4,(IF(AND(P17&gt;=SCORE!B$5*'DATASET 102018'!Q17,P17&lt;SCORE!C$5*'DATASET 102018'!Q17),SCORE!A$5,(IF(SCORE!B$6*'DATASET 102018'!Q17&lt;=P17,SCORE!A$6,0)))))))))</f>
        <v>Low</v>
      </c>
      <c r="S17" s="71">
        <f>Tableau14[[#This Row],[F &amp; S crashes2015]]/4</f>
        <v>0</v>
      </c>
      <c r="T17" s="66" t="str">
        <f>IF( AND(S17&gt;=SCORE!G$2*'DATASET 102018'!Q17, S17&lt;SCORE!H$2*'DATASET 102018'!Q17),SCORE!F$2,(IF(AND(S17&gt;=SCORE!G$3*'DATASET 102018'!Q17, S17&lt;SCORE!H$3*'DATASET 102018'!Q17),SCORE!A$3,(IF(AND(S17&gt;=SCORE!G$4*'DATASET 102018'!Q17, S17&lt;SCORE!H$4*'DATASET 102018'!Q17),SCORE!A$4,(IF(AND(S17&gt;=SCORE!G$5*'DATASET 102018'!Q17, S17&lt;SCORE!H$5*'DATASET 102018'!Q17),SCORE!A$5,(IF(SCORE!G$6*'DATASET 102018'!Q17&lt;=S17,SCORE!A$6,0)))))))))</f>
        <v>Low</v>
      </c>
      <c r="U17" s="8">
        <f>(Tableau14[[#This Row],[F &amp; S crashes2016]]/Tableau14[[#This Row],[BILLION VEH KM TRAVELLED2016]])</f>
        <v>0</v>
      </c>
      <c r="V17" s="91">
        <f>IF(Tableau14[[#This Row],[F crashes2016]] &lt;&gt; 0, Tableau14[[#This Row],[F &amp; S crashes2016]]/Tableau14[[#This Row],[F crashes2016]], 1)</f>
        <v>1</v>
      </c>
      <c r="W17" s="91" t="str">
        <f>IF(AND(U17&gt;=SCORE!B$2*'DATASET 102018'!V17, U17&lt;SCORE!C$2*'DATASET 102018'!V17),SCORE!A$2,(IF(AND(U17&gt;=SCORE!B$3*'DATASET 102018'!V17, U17&lt;SCORE!C$3*'DATASET 102018'!V17),SCORE!A$3,(IF(AND(U17&gt;=SCORE!B$4*'DATASET 102018'!V17, U17&lt;SCORE!C$4*'DATASET 102018'!V17),SCORE!A$4,(IF(AND(U17&gt;=SCORE!B$5*'DATASET 102018'!V17, U17&lt;SCORE!C$5*'DATASET 102018'!V17),SCORE!A$5,(IF(SCORE!B$6*'DATASET 102018'!V17&lt;=U17,SCORE!A$6,0)))))))))</f>
        <v>Low</v>
      </c>
      <c r="X17" s="8">
        <f>Tableau14[[#This Row],[F &amp; S crashes2016]]/4</f>
        <v>0</v>
      </c>
      <c r="Y17" s="8" t="str">
        <f>IF( AND(X17&gt;=SCORE!G$2*V17, X17&lt;SCORE!H$2*V17),SCORE!F$2,(IF(AND(X17&gt;=SCORE!G$3*V17, X17&lt;SCORE!H$3*V17),SCORE!A$3,(IF(AND(X17&gt;=SCORE!G$4*V17, X17&lt;SCORE!H$4*V17),SCORE!A$4,(IF(AND(X17&gt;=SCORE!G$5*V17, X17&lt;SCORE!H$5*V17),SCORE!A$5,(IF(SCORE!G$6*'DATASET 102018'!V17&lt;=X17,SCORE!A$6,0)))))))))</f>
        <v>Low</v>
      </c>
      <c r="Z17" s="43">
        <v>0</v>
      </c>
      <c r="AA17" s="43">
        <v>0</v>
      </c>
      <c r="AB17" s="43">
        <v>72</v>
      </c>
      <c r="AC17" s="43">
        <v>95</v>
      </c>
      <c r="AD17" s="43">
        <v>40</v>
      </c>
      <c r="AE17" s="43">
        <v>236</v>
      </c>
    </row>
    <row r="18" spans="1:31" x14ac:dyDescent="0.3">
      <c r="A18">
        <f t="shared" si="1"/>
        <v>17</v>
      </c>
      <c r="B18" s="42" t="s">
        <v>108</v>
      </c>
      <c r="C18" s="42">
        <v>13656</v>
      </c>
      <c r="D18" s="42">
        <v>14024</v>
      </c>
      <c r="E18" s="42">
        <f t="shared" si="0"/>
        <v>13840</v>
      </c>
      <c r="F18" s="42">
        <v>2</v>
      </c>
      <c r="G18" s="42" t="s">
        <v>385</v>
      </c>
      <c r="H18" s="42" t="s">
        <v>371</v>
      </c>
      <c r="I18" s="42">
        <v>80</v>
      </c>
      <c r="J18" s="42">
        <v>0.31</v>
      </c>
      <c r="K18" s="42" t="s">
        <v>212</v>
      </c>
      <c r="L18" s="42" t="s">
        <v>212</v>
      </c>
      <c r="M18" s="42" t="s">
        <v>212</v>
      </c>
      <c r="N18" s="42" t="s">
        <v>211</v>
      </c>
      <c r="O18" s="42">
        <v>1</v>
      </c>
      <c r="P18" s="27">
        <v>81.334515033465081</v>
      </c>
      <c r="Q18" s="91">
        <f>IF(Tableau14[[#This Row],[F crashes2015]] &lt;&gt; 0, Tableau14[[#This Row],[F &amp; S crashes2015]]/Tableau14[[#This Row],[F crashes2015]], 1)</f>
        <v>3</v>
      </c>
      <c r="R18" s="91" t="str">
        <f>IF( AND(P18&gt;=SCORE!B$2*'DATASET 102018'!Q18, P18&lt;SCORE!C$2*'DATASET 102018'!Q18),SCORE!A$2,(IF(AND(P18&gt;=SCORE!B$3*'DATASET 102018'!Q18,P18&lt;SCORE!C$3*'DATASET 102018'!Q18),SCORE!A$3,(IF(AND(P18&gt;=SCORE!B$4*'DATASET 102018'!Q18,P18&lt;SCORE!C$4*'DATASET 102018'!Q18),SCORE!A$4,(IF(AND(P18&gt;=SCORE!B$5*'DATASET 102018'!Q18,P18&lt;SCORE!C$5*'DATASET 102018'!Q18),SCORE!A$5,(IF(SCORE!B$6*'DATASET 102018'!Q18&lt;=P18,SCORE!A$6,0)))))))))</f>
        <v>High</v>
      </c>
      <c r="S18" s="66">
        <f>Tableau14[[#This Row],[F &amp; S crashes2015]]/4</f>
        <v>0.75</v>
      </c>
      <c r="T18" s="66" t="str">
        <f>IF( AND(S18&gt;=SCORE!G$2*'DATASET 102018'!Q18, S18&lt;SCORE!H$2*'DATASET 102018'!Q18),SCORE!F$2,(IF(AND(S18&gt;=SCORE!G$3*'DATASET 102018'!Q18, S18&lt;SCORE!H$3*'DATASET 102018'!Q18),SCORE!A$3,(IF(AND(S18&gt;=SCORE!G$4*'DATASET 102018'!Q18, S18&lt;SCORE!H$4*'DATASET 102018'!Q18),SCORE!A$4,(IF(AND(S18&gt;=SCORE!G$5*'DATASET 102018'!Q18, S18&lt;SCORE!H$5*'DATASET 102018'!Q18),SCORE!A$5,(IF(SCORE!G$6*'DATASET 102018'!Q18&lt;=S18,SCORE!A$6,0)))))))))</f>
        <v>High</v>
      </c>
      <c r="U18" s="8">
        <f>(Tableau14[[#This Row],[F &amp; S crashes2016]]/Tableau14[[#This Row],[BILLION VEH KM TRAVELLED2016]])</f>
        <v>105.59949227764113</v>
      </c>
      <c r="V18" s="91">
        <f>IF(Tableau14[[#This Row],[F crashes2016]] &lt;&gt; 0, Tableau14[[#This Row],[F &amp; S crashes2016]]/Tableau14[[#This Row],[F crashes2016]], 1)</f>
        <v>4</v>
      </c>
      <c r="W18" s="91" t="str">
        <f>IF(AND(U18&gt;=SCORE!B$2*'DATASET 102018'!V18, U18&lt;SCORE!C$2*'DATASET 102018'!V18),SCORE!A$2,(IF(AND(U18&gt;=SCORE!B$3*'DATASET 102018'!V18, U18&lt;SCORE!C$3*'DATASET 102018'!V18),SCORE!A$3,(IF(AND(U18&gt;=SCORE!B$4*'DATASET 102018'!V18, U18&lt;SCORE!C$4*'DATASET 102018'!V18),SCORE!A$4,(IF(AND(U18&gt;=SCORE!B$5*'DATASET 102018'!V18, U18&lt;SCORE!C$5*'DATASET 102018'!V18),SCORE!A$5,(IF(SCORE!B$6*'DATASET 102018'!V18&lt;=U18,SCORE!A$6,0)))))))))</f>
        <v>High</v>
      </c>
      <c r="X18" s="8">
        <f>Tableau14[[#This Row],[F &amp; S crashes2016]]/4</f>
        <v>1</v>
      </c>
      <c r="Y18" s="8" t="str">
        <f>IF( AND(X18&gt;=SCORE!G$2*V18, X18&lt;SCORE!H$2*V18),SCORE!F$2,(IF(AND(X18&gt;=SCORE!G$3*V18, X18&lt;SCORE!H$3*V18),SCORE!A$3,(IF(AND(X18&gt;=SCORE!G$4*V18, X18&lt;SCORE!H$4*V18),SCORE!A$4,(IF(AND(X18&gt;=SCORE!G$5*V18, X18&lt;SCORE!H$5*V18),SCORE!A$5,(IF(SCORE!G$6*'DATASET 102018'!V18&lt;=X18,SCORE!A$6,0)))))))))</f>
        <v>High</v>
      </c>
      <c r="Z18" s="42">
        <v>0</v>
      </c>
      <c r="AA18" s="42">
        <v>0</v>
      </c>
      <c r="AB18" s="42">
        <v>210</v>
      </c>
      <c r="AC18" s="42">
        <v>2</v>
      </c>
      <c r="AD18" s="42">
        <v>204</v>
      </c>
      <c r="AE18" s="42">
        <v>245</v>
      </c>
    </row>
    <row r="19" spans="1:31" x14ac:dyDescent="0.3">
      <c r="A19">
        <f t="shared" si="1"/>
        <v>18</v>
      </c>
      <c r="B19" s="43" t="s">
        <v>109</v>
      </c>
      <c r="C19" s="43">
        <v>13656</v>
      </c>
      <c r="D19" s="43">
        <v>14024</v>
      </c>
      <c r="E19" s="42">
        <f t="shared" si="0"/>
        <v>13840</v>
      </c>
      <c r="F19" s="43">
        <v>2</v>
      </c>
      <c r="G19" s="43" t="s">
        <v>385</v>
      </c>
      <c r="H19" s="43" t="s">
        <v>371</v>
      </c>
      <c r="I19" s="43">
        <v>80</v>
      </c>
      <c r="J19" s="43">
        <v>0.31</v>
      </c>
      <c r="K19" s="43" t="s">
        <v>212</v>
      </c>
      <c r="L19" s="43" t="s">
        <v>212</v>
      </c>
      <c r="M19" s="43" t="s">
        <v>212</v>
      </c>
      <c r="N19" s="43" t="s">
        <v>211</v>
      </c>
      <c r="O19" s="43">
        <v>1</v>
      </c>
      <c r="P19" s="27">
        <v>81.334515033465081</v>
      </c>
      <c r="Q19" s="91">
        <f>IF(Tableau14[[#This Row],[F crashes2015]] &lt;&gt; 0, Tableau14[[#This Row],[F &amp; S crashes2015]]/Tableau14[[#This Row],[F crashes2015]], 1)</f>
        <v>3</v>
      </c>
      <c r="R19" s="91" t="str">
        <f>IF( AND(P19&gt;=SCORE!B$2*'DATASET 102018'!Q19, P19&lt;SCORE!C$2*'DATASET 102018'!Q19),SCORE!A$2,(IF(AND(P19&gt;=SCORE!B$3*'DATASET 102018'!Q19,P19&lt;SCORE!C$3*'DATASET 102018'!Q19),SCORE!A$3,(IF(AND(P19&gt;=SCORE!B$4*'DATASET 102018'!Q19,P19&lt;SCORE!C$4*'DATASET 102018'!Q19),SCORE!A$4,(IF(AND(P19&gt;=SCORE!B$5*'DATASET 102018'!Q19,P19&lt;SCORE!C$5*'DATASET 102018'!Q19),SCORE!A$5,(IF(SCORE!B$6*'DATASET 102018'!Q19&lt;=P19,SCORE!A$6,0)))))))))</f>
        <v>High</v>
      </c>
      <c r="S19" s="63">
        <f>Tableau14[[#This Row],[F &amp; S crashes2015]]/4</f>
        <v>0.75</v>
      </c>
      <c r="T19" s="66" t="str">
        <f>IF( AND(S19&gt;=SCORE!G$2*'DATASET 102018'!Q19, S19&lt;SCORE!H$2*'DATASET 102018'!Q19),SCORE!F$2,(IF(AND(S19&gt;=SCORE!G$3*'DATASET 102018'!Q19, S19&lt;SCORE!H$3*'DATASET 102018'!Q19),SCORE!A$3,(IF(AND(S19&gt;=SCORE!G$4*'DATASET 102018'!Q19, S19&lt;SCORE!H$4*'DATASET 102018'!Q19),SCORE!A$4,(IF(AND(S19&gt;=SCORE!G$5*'DATASET 102018'!Q19, S19&lt;SCORE!H$5*'DATASET 102018'!Q19),SCORE!A$5,(IF(SCORE!G$6*'DATASET 102018'!Q19&lt;=S19,SCORE!A$6,0)))))))))</f>
        <v>High</v>
      </c>
      <c r="U19" s="8">
        <f>(Tableau14[[#This Row],[F &amp; S crashes2016]]/Tableau14[[#This Row],[BILLION VEH KM TRAVELLED2016]])</f>
        <v>105.59949227764113</v>
      </c>
      <c r="V19" s="91">
        <f>IF(Tableau14[[#This Row],[F crashes2016]] &lt;&gt; 0, Tableau14[[#This Row],[F &amp; S crashes2016]]/Tableau14[[#This Row],[F crashes2016]], 1)</f>
        <v>4</v>
      </c>
      <c r="W19" s="91" t="str">
        <f>IF(AND(U19&gt;=SCORE!B$2*'DATASET 102018'!V19, U19&lt;SCORE!C$2*'DATASET 102018'!V19),SCORE!A$2,(IF(AND(U19&gt;=SCORE!B$3*'DATASET 102018'!V19, U19&lt;SCORE!C$3*'DATASET 102018'!V19),SCORE!A$3,(IF(AND(U19&gt;=SCORE!B$4*'DATASET 102018'!V19, U19&lt;SCORE!C$4*'DATASET 102018'!V19),SCORE!A$4,(IF(AND(U19&gt;=SCORE!B$5*'DATASET 102018'!V19, U19&lt;SCORE!C$5*'DATASET 102018'!V19),SCORE!A$5,(IF(SCORE!B$6*'DATASET 102018'!V19&lt;=U19,SCORE!A$6,0)))))))))</f>
        <v>High</v>
      </c>
      <c r="X19" s="8">
        <f>Tableau14[[#This Row],[F &amp; S crashes2016]]/4</f>
        <v>1</v>
      </c>
      <c r="Y19" s="8" t="str">
        <f>IF( AND(X19&gt;=SCORE!G$2*V19, X19&lt;SCORE!H$2*V19),SCORE!F$2,(IF(AND(X19&gt;=SCORE!G$3*V19, X19&lt;SCORE!H$3*V19),SCORE!A$3,(IF(AND(X19&gt;=SCORE!G$4*V19, X19&lt;SCORE!H$4*V19),SCORE!A$4,(IF(AND(X19&gt;=SCORE!G$5*V19, X19&lt;SCORE!H$5*V19),SCORE!A$5,(IF(SCORE!G$6*'DATASET 102018'!V19&lt;=X19,SCORE!A$6,0)))))))))</f>
        <v>High</v>
      </c>
      <c r="Z19" s="43">
        <v>0</v>
      </c>
      <c r="AA19" s="43">
        <v>0</v>
      </c>
      <c r="AB19" s="43">
        <v>53</v>
      </c>
      <c r="AC19" s="43">
        <v>253</v>
      </c>
      <c r="AD19" s="43">
        <v>31</v>
      </c>
      <c r="AE19" s="43">
        <v>364</v>
      </c>
    </row>
    <row r="20" spans="1:31" x14ac:dyDescent="0.3">
      <c r="A20">
        <f t="shared" si="1"/>
        <v>19</v>
      </c>
      <c r="B20" s="42" t="s">
        <v>100</v>
      </c>
      <c r="C20" s="42">
        <v>6297</v>
      </c>
      <c r="D20" s="42">
        <v>5838</v>
      </c>
      <c r="E20" s="42">
        <f t="shared" si="0"/>
        <v>6067.5</v>
      </c>
      <c r="F20" s="42">
        <v>2</v>
      </c>
      <c r="G20" s="42" t="s">
        <v>384</v>
      </c>
      <c r="H20" s="42" t="s">
        <v>371</v>
      </c>
      <c r="I20" s="42">
        <v>80</v>
      </c>
      <c r="J20" s="42">
        <v>0.31</v>
      </c>
      <c r="K20" s="42" t="s">
        <v>212</v>
      </c>
      <c r="L20" s="42" t="s">
        <v>212</v>
      </c>
      <c r="M20" s="42" t="s">
        <v>212</v>
      </c>
      <c r="N20" s="42" t="s">
        <v>212</v>
      </c>
      <c r="O20" s="42">
        <v>6</v>
      </c>
      <c r="P20" s="27">
        <v>75.666840038313907</v>
      </c>
      <c r="Q20" s="91">
        <f>IF(Tableau14[[#This Row],[F crashes2015]] &lt;&gt; 0, Tableau14[[#This Row],[F &amp; S crashes2015]]/Tableau14[[#This Row],[F crashes2015]], 1)</f>
        <v>2</v>
      </c>
      <c r="R20" s="91" t="str">
        <f>IF( AND(P20&gt;=SCORE!B$2*'DATASET 102018'!Q20, P20&lt;SCORE!C$2*'DATASET 102018'!Q20),SCORE!A$2,(IF(AND(P20&gt;=SCORE!B$3*'DATASET 102018'!Q20,P20&lt;SCORE!C$3*'DATASET 102018'!Q20),SCORE!A$3,(IF(AND(P20&gt;=SCORE!B$4*'DATASET 102018'!Q20,P20&lt;SCORE!C$4*'DATASET 102018'!Q20),SCORE!A$4,(IF(AND(P20&gt;=SCORE!B$5*'DATASET 102018'!Q20,P20&lt;SCORE!C$5*'DATASET 102018'!Q20),SCORE!A$5,(IF(SCORE!B$6*'DATASET 102018'!Q20&lt;=P20,SCORE!A$6,0)))))))))</f>
        <v>High</v>
      </c>
      <c r="S20" s="66">
        <f>Tableau14[[#This Row],[F &amp; S crashes2015]]/4</f>
        <v>1</v>
      </c>
      <c r="T20" s="66" t="str">
        <f>IF( AND(S20&gt;=SCORE!G$2*'DATASET 102018'!Q20, S20&lt;SCORE!H$2*'DATASET 102018'!Q20),SCORE!F$2,(IF(AND(S20&gt;=SCORE!G$3*'DATASET 102018'!Q20, S20&lt;SCORE!H$3*'DATASET 102018'!Q20),SCORE!A$3,(IF(AND(S20&gt;=SCORE!G$4*'DATASET 102018'!Q20, S20&lt;SCORE!H$4*'DATASET 102018'!Q20),SCORE!A$4,(IF(AND(S20&gt;=SCORE!G$5*'DATASET 102018'!Q20, S20&lt;SCORE!H$5*'DATASET 102018'!Q20),SCORE!A$5,(IF(SCORE!G$6*'DATASET 102018'!Q20&lt;=S20,SCORE!A$6,0)))))))))</f>
        <v>High</v>
      </c>
      <c r="U20" s="8">
        <f>(Tableau14[[#This Row],[F &amp; S crashes2016]]/Tableau14[[#This Row],[BILLION VEH KM TRAVELLED2016]])</f>
        <v>61.211985061827164</v>
      </c>
      <c r="V20" s="91">
        <f>IF(Tableau14[[#This Row],[F crashes2016]] &lt;&gt; 0, Tableau14[[#This Row],[F &amp; S crashes2016]]/Tableau14[[#This Row],[F crashes2016]], 1)</f>
        <v>3</v>
      </c>
      <c r="W20" s="91" t="str">
        <f>IF(AND(U20&gt;=SCORE!B$2*'DATASET 102018'!V20, U20&lt;SCORE!C$2*'DATASET 102018'!V20),SCORE!A$2,(IF(AND(U20&gt;=SCORE!B$3*'DATASET 102018'!V20, U20&lt;SCORE!C$3*'DATASET 102018'!V20),SCORE!A$3,(IF(AND(U20&gt;=SCORE!B$4*'DATASET 102018'!V20, U20&lt;SCORE!C$4*'DATASET 102018'!V20),SCORE!A$4,(IF(AND(U20&gt;=SCORE!B$5*'DATASET 102018'!V20, U20&lt;SCORE!C$5*'DATASET 102018'!V20),SCORE!A$5,(IF(SCORE!B$6*'DATASET 102018'!V20&lt;=U20,SCORE!A$6,0)))))))))</f>
        <v>High</v>
      </c>
      <c r="X20" s="8">
        <f>Tableau14[[#This Row],[F &amp; S crashes2016]]/4</f>
        <v>0.75</v>
      </c>
      <c r="Y20" s="8" t="str">
        <f>IF( AND(X20&gt;=SCORE!G$2*V20, X20&lt;SCORE!H$2*V20),SCORE!F$2,(IF(AND(X20&gt;=SCORE!G$3*V20, X20&lt;SCORE!H$3*V20),SCORE!A$3,(IF(AND(X20&gt;=SCORE!G$4*V20, X20&lt;SCORE!H$4*V20),SCORE!A$4,(IF(AND(X20&gt;=SCORE!G$5*V20, X20&lt;SCORE!H$5*V20),SCORE!A$5,(IF(SCORE!G$6*'DATASET 102018'!V20&lt;=X20,SCORE!A$6,0)))))))))</f>
        <v>High</v>
      </c>
      <c r="Z20" s="42">
        <v>0</v>
      </c>
      <c r="AA20" s="42">
        <v>0</v>
      </c>
      <c r="AB20" s="42">
        <v>12</v>
      </c>
      <c r="AC20" s="42">
        <v>207</v>
      </c>
      <c r="AD20" s="42">
        <v>10</v>
      </c>
      <c r="AE20" s="42">
        <v>346</v>
      </c>
    </row>
    <row r="21" spans="1:31" x14ac:dyDescent="0.3">
      <c r="A21">
        <f t="shared" si="1"/>
        <v>20</v>
      </c>
      <c r="B21" s="43" t="s">
        <v>106</v>
      </c>
      <c r="C21" s="43">
        <v>3446</v>
      </c>
      <c r="D21" s="43">
        <v>2921</v>
      </c>
      <c r="E21" s="42">
        <f t="shared" si="0"/>
        <v>3183.5</v>
      </c>
      <c r="F21" s="43">
        <v>2</v>
      </c>
      <c r="G21" s="43" t="s">
        <v>384</v>
      </c>
      <c r="H21" s="43" t="s">
        <v>371</v>
      </c>
      <c r="I21" s="43">
        <v>60</v>
      </c>
      <c r="J21" s="43">
        <v>3.62</v>
      </c>
      <c r="K21" s="43" t="s">
        <v>212</v>
      </c>
      <c r="L21" s="43" t="s">
        <v>212</v>
      </c>
      <c r="M21" s="43" t="s">
        <v>212</v>
      </c>
      <c r="N21" s="43" t="s">
        <v>211</v>
      </c>
      <c r="O21" s="43">
        <v>1</v>
      </c>
      <c r="P21" s="27">
        <v>163.08621083663022</v>
      </c>
      <c r="Q21" s="91">
        <f>IF(Tableau14[[#This Row],[F crashes2015]] &lt;&gt; 0, Tableau14[[#This Row],[F &amp; S crashes2015]]/Tableau14[[#This Row],[F crashes2015]], 1)</f>
        <v>2.6666666666666665</v>
      </c>
      <c r="R21" s="91" t="str">
        <f>IF( AND(P21&gt;=SCORE!B$2*'DATASET 102018'!Q21, P21&lt;SCORE!C$2*'DATASET 102018'!Q21),SCORE!A$2,(IF(AND(P21&gt;=SCORE!B$3*'DATASET 102018'!Q21,P21&lt;SCORE!C$3*'DATASET 102018'!Q21),SCORE!A$3,(IF(AND(P21&gt;=SCORE!B$4*'DATASET 102018'!Q21,P21&lt;SCORE!C$4*'DATASET 102018'!Q21),SCORE!A$4,(IF(AND(P21&gt;=SCORE!B$5*'DATASET 102018'!Q21,P21&lt;SCORE!C$5*'DATASET 102018'!Q21),SCORE!A$5,(IF(SCORE!B$6*'DATASET 102018'!Q21&lt;=P21,SCORE!A$6,0)))))))))</f>
        <v>High</v>
      </c>
      <c r="S21" s="63">
        <f>Tableau14[[#This Row],[F &amp; S crashes2015]]/4</f>
        <v>2</v>
      </c>
      <c r="T21" s="66" t="str">
        <f>IF( AND(S21&gt;=SCORE!G$2*'DATASET 102018'!Q21, S21&lt;SCORE!H$2*'DATASET 102018'!Q21),SCORE!F$2,(IF(AND(S21&gt;=SCORE!G$3*'DATASET 102018'!Q21, S21&lt;SCORE!H$3*'DATASET 102018'!Q21),SCORE!A$3,(IF(AND(S21&gt;=SCORE!G$4*'DATASET 102018'!Q21, S21&lt;SCORE!H$4*'DATASET 102018'!Q21),SCORE!A$4,(IF(AND(S21&gt;=SCORE!G$5*'DATASET 102018'!Q21, S21&lt;SCORE!H$5*'DATASET 102018'!Q21),SCORE!A$5,(IF(SCORE!G$6*'DATASET 102018'!Q21&lt;=S21,SCORE!A$6,0)))))))))</f>
        <v>High</v>
      </c>
      <c r="U21" s="8">
        <f>(Tableau14[[#This Row],[F &amp; S crashes2016]]/Tableau14[[#This Row],[BILLION VEH KM TRAVELLED2016]])</f>
        <v>48.0995448941311</v>
      </c>
      <c r="V21" s="91">
        <f>IF(Tableau14[[#This Row],[F crashes2016]] &lt;&gt; 0, Tableau14[[#This Row],[F &amp; S crashes2016]]/Tableau14[[#This Row],[F crashes2016]], 1)</f>
        <v>2</v>
      </c>
      <c r="W21" s="91" t="str">
        <f>IF(AND(U21&gt;=SCORE!B$2*'DATASET 102018'!V21, U21&lt;SCORE!C$2*'DATASET 102018'!V21),SCORE!A$2,(IF(AND(U21&gt;=SCORE!B$3*'DATASET 102018'!V21, U21&lt;SCORE!C$3*'DATASET 102018'!V21),SCORE!A$3,(IF(AND(U21&gt;=SCORE!B$4*'DATASET 102018'!V21, U21&lt;SCORE!C$4*'DATASET 102018'!V21),SCORE!A$4,(IF(AND(U21&gt;=SCORE!B$5*'DATASET 102018'!V21, U21&lt;SCORE!C$5*'DATASET 102018'!V21),SCORE!A$5,(IF(SCORE!B$6*'DATASET 102018'!V21&lt;=U21,SCORE!A$6,0)))))))))</f>
        <v>High</v>
      </c>
      <c r="X21" s="8">
        <f>Tableau14[[#This Row],[F &amp; S crashes2016]]/4</f>
        <v>0.5</v>
      </c>
      <c r="Y21" s="8" t="str">
        <f>IF( AND(X21&gt;=SCORE!G$2*V21, X21&lt;SCORE!H$2*V21),SCORE!F$2,(IF(AND(X21&gt;=SCORE!G$3*V21, X21&lt;SCORE!H$3*V21),SCORE!A$3,(IF(AND(X21&gt;=SCORE!G$4*V21, X21&lt;SCORE!H$4*V21),SCORE!A$4,(IF(AND(X21&gt;=SCORE!G$5*V21, X21&lt;SCORE!H$5*V21),SCORE!A$5,(IF(SCORE!G$6*'DATASET 102018'!V21&lt;=X21,SCORE!A$6,0)))))))))</f>
        <v>High</v>
      </c>
      <c r="Z21" s="43">
        <v>0</v>
      </c>
      <c r="AA21" s="43">
        <v>0</v>
      </c>
      <c r="AB21" s="43">
        <v>103</v>
      </c>
      <c r="AC21" s="43">
        <v>150</v>
      </c>
      <c r="AD21" s="43">
        <v>1</v>
      </c>
      <c r="AE21" s="43">
        <v>41</v>
      </c>
    </row>
    <row r="22" spans="1:31" x14ac:dyDescent="0.3">
      <c r="A22">
        <f t="shared" si="1"/>
        <v>21</v>
      </c>
      <c r="B22" s="42" t="s">
        <v>118</v>
      </c>
      <c r="C22" s="42">
        <v>2903</v>
      </c>
      <c r="D22" s="42">
        <v>2981</v>
      </c>
      <c r="E22" s="42">
        <f t="shared" si="0"/>
        <v>2942</v>
      </c>
      <c r="F22" s="42">
        <v>2</v>
      </c>
      <c r="G22" s="42" t="s">
        <v>384</v>
      </c>
      <c r="H22" s="42" t="s">
        <v>371</v>
      </c>
      <c r="I22" s="42">
        <v>100</v>
      </c>
      <c r="J22" s="42">
        <v>2.77</v>
      </c>
      <c r="K22" s="42" t="s">
        <v>212</v>
      </c>
      <c r="L22" s="42" t="s">
        <v>212</v>
      </c>
      <c r="M22" s="42" t="s">
        <v>212</v>
      </c>
      <c r="N22" s="42" t="s">
        <v>212</v>
      </c>
      <c r="O22" s="42">
        <v>5.72</v>
      </c>
      <c r="P22" s="27">
        <v>14.085922578276</v>
      </c>
      <c r="Q22" s="91">
        <f>IF(Tableau14[[#This Row],[F crashes2015]] &lt;&gt; 0, Tableau14[[#This Row],[F &amp; S crashes2015]]/Tableau14[[#This Row],[F crashes2015]], 1)</f>
        <v>1</v>
      </c>
      <c r="R22" s="91" t="str">
        <f>IF( AND(P22&gt;=SCORE!B$2*'DATASET 102018'!Q22, P22&lt;SCORE!C$2*'DATASET 102018'!Q22),SCORE!A$2,(IF(AND(P22&gt;=SCORE!B$3*'DATASET 102018'!Q22,P22&lt;SCORE!C$3*'DATASET 102018'!Q22),SCORE!A$3,(IF(AND(P22&gt;=SCORE!B$4*'DATASET 102018'!Q22,P22&lt;SCORE!C$4*'DATASET 102018'!Q22),SCORE!A$4,(IF(AND(P22&gt;=SCORE!B$5*'DATASET 102018'!Q22,P22&lt;SCORE!C$5*'DATASET 102018'!Q22),SCORE!A$5,(IF(SCORE!B$6*'DATASET 102018'!Q22&lt;=P22,SCORE!A$6,0)))))))))</f>
        <v>Medium-high</v>
      </c>
      <c r="S22" s="66">
        <f>Tableau14[[#This Row],[F &amp; S crashes2015]]/4</f>
        <v>0.25</v>
      </c>
      <c r="T22" s="66" t="str">
        <f>IF( AND(S22&gt;=SCORE!G$2*'DATASET 102018'!Q22, S22&lt;SCORE!H$2*'DATASET 102018'!Q22),SCORE!F$2,(IF(AND(S22&gt;=SCORE!G$3*'DATASET 102018'!Q22, S22&lt;SCORE!H$3*'DATASET 102018'!Q22),SCORE!A$3,(IF(AND(S22&gt;=SCORE!G$4*'DATASET 102018'!Q22, S22&lt;SCORE!H$4*'DATASET 102018'!Q22),SCORE!A$4,(IF(AND(S22&gt;=SCORE!G$5*'DATASET 102018'!Q22, S22&lt;SCORE!H$5*'DATASET 102018'!Q22),SCORE!A$5,(IF(SCORE!G$6*'DATASET 102018'!Q22&lt;=S22,SCORE!A$6,0)))))))))</f>
        <v>High</v>
      </c>
      <c r="U22" s="8">
        <f>(Tableau14[[#This Row],[F &amp; S crashes2016]]/Tableau14[[#This Row],[BILLION VEH KM TRAVELLED2016]])</f>
        <v>0</v>
      </c>
      <c r="V22" s="91">
        <f>IF(Tableau14[[#This Row],[F crashes2016]] &lt;&gt; 0, Tableau14[[#This Row],[F &amp; S crashes2016]]/Tableau14[[#This Row],[F crashes2016]], 1)</f>
        <v>1</v>
      </c>
      <c r="W22" s="91" t="str">
        <f>IF(AND(U22&gt;=SCORE!B$2*'DATASET 102018'!V22, U22&lt;SCORE!C$2*'DATASET 102018'!V22),SCORE!A$2,(IF(AND(U22&gt;=SCORE!B$3*'DATASET 102018'!V22, U22&lt;SCORE!C$3*'DATASET 102018'!V22),SCORE!A$3,(IF(AND(U22&gt;=SCORE!B$4*'DATASET 102018'!V22, U22&lt;SCORE!C$4*'DATASET 102018'!V22),SCORE!A$4,(IF(AND(U22&gt;=SCORE!B$5*'DATASET 102018'!V22, U22&lt;SCORE!C$5*'DATASET 102018'!V22),SCORE!A$5,(IF(SCORE!B$6*'DATASET 102018'!V22&lt;=U22,SCORE!A$6,0)))))))))</f>
        <v>Low</v>
      </c>
      <c r="X22" s="8">
        <f>Tableau14[[#This Row],[F &amp; S crashes2016]]/4</f>
        <v>0</v>
      </c>
      <c r="Y22" s="8" t="str">
        <f>IF( AND(X22&gt;=SCORE!G$2*V22, X22&lt;SCORE!H$2*V22),SCORE!F$2,(IF(AND(X22&gt;=SCORE!G$3*V22, X22&lt;SCORE!H$3*V22),SCORE!A$3,(IF(AND(X22&gt;=SCORE!G$4*V22, X22&lt;SCORE!H$4*V22),SCORE!A$4,(IF(AND(X22&gt;=SCORE!G$5*V22, X22&lt;SCORE!H$5*V22),SCORE!A$5,(IF(SCORE!G$6*'DATASET 102018'!V22&lt;=X22,SCORE!A$6,0)))))))))</f>
        <v>Low</v>
      </c>
      <c r="Z22" s="42">
        <v>57</v>
      </c>
      <c r="AA22" s="42">
        <v>140</v>
      </c>
      <c r="AB22" s="42">
        <v>13</v>
      </c>
      <c r="AC22" s="42">
        <v>110</v>
      </c>
      <c r="AD22" s="42">
        <v>6</v>
      </c>
      <c r="AE22" s="42">
        <v>229</v>
      </c>
    </row>
    <row r="23" spans="1:31" x14ac:dyDescent="0.3">
      <c r="A23">
        <f t="shared" si="1"/>
        <v>22</v>
      </c>
      <c r="B23" s="43" t="s">
        <v>303</v>
      </c>
      <c r="C23" s="43">
        <v>2903</v>
      </c>
      <c r="D23" s="43">
        <v>2981</v>
      </c>
      <c r="E23" s="42">
        <f t="shared" si="0"/>
        <v>2942</v>
      </c>
      <c r="F23" s="43">
        <v>2</v>
      </c>
      <c r="G23" s="43" t="s">
        <v>385</v>
      </c>
      <c r="H23" s="43" t="s">
        <v>371</v>
      </c>
      <c r="I23" s="43">
        <v>60</v>
      </c>
      <c r="J23" s="43">
        <v>1</v>
      </c>
      <c r="K23" s="43" t="s">
        <v>212</v>
      </c>
      <c r="L23" s="43" t="s">
        <v>212</v>
      </c>
      <c r="M23" s="43" t="s">
        <v>212</v>
      </c>
      <c r="N23" s="43" t="s">
        <v>211</v>
      </c>
      <c r="O23" s="43">
        <v>1</v>
      </c>
      <c r="P23" s="27">
        <v>0</v>
      </c>
      <c r="Q23" s="91">
        <f>IF(Tableau14[[#This Row],[F crashes2015]] &lt;&gt; 0, Tableau14[[#This Row],[F &amp; S crashes2015]]/Tableau14[[#This Row],[F crashes2015]], 1)</f>
        <v>1</v>
      </c>
      <c r="R23" s="91" t="str">
        <f>IF( AND(P23&gt;=SCORE!B$2*'DATASET 102018'!Q23, P23&lt;SCORE!C$2*'DATASET 102018'!Q23),SCORE!A$2,(IF(AND(P23&gt;=SCORE!B$3*'DATASET 102018'!Q23,P23&lt;SCORE!C$3*'DATASET 102018'!Q23),SCORE!A$3,(IF(AND(P23&gt;=SCORE!B$4*'DATASET 102018'!Q23,P23&lt;SCORE!C$4*'DATASET 102018'!Q23),SCORE!A$4,(IF(AND(P23&gt;=SCORE!B$5*'DATASET 102018'!Q23,P23&lt;SCORE!C$5*'DATASET 102018'!Q23),SCORE!A$5,(IF(SCORE!B$6*'DATASET 102018'!Q23&lt;=P23,SCORE!A$6,0)))))))))</f>
        <v>Low</v>
      </c>
      <c r="S23" s="71">
        <f>Tableau14[[#This Row],[F &amp; S crashes2015]]/4</f>
        <v>0</v>
      </c>
      <c r="T23" s="66" t="str">
        <f>IF( AND(S23&gt;=SCORE!G$2*'DATASET 102018'!Q23, S23&lt;SCORE!H$2*'DATASET 102018'!Q23),SCORE!F$2,(IF(AND(S23&gt;=SCORE!G$3*'DATASET 102018'!Q23, S23&lt;SCORE!H$3*'DATASET 102018'!Q23),SCORE!A$3,(IF(AND(S23&gt;=SCORE!G$4*'DATASET 102018'!Q23, S23&lt;SCORE!H$4*'DATASET 102018'!Q23),SCORE!A$4,(IF(AND(S23&gt;=SCORE!G$5*'DATASET 102018'!Q23, S23&lt;SCORE!H$5*'DATASET 102018'!Q23),SCORE!A$5,(IF(SCORE!G$6*'DATASET 102018'!Q23&lt;=S23,SCORE!A$6,0)))))))))</f>
        <v>Low</v>
      </c>
      <c r="U23" s="8">
        <f>(Tableau14[[#This Row],[F &amp; S crashes2016]]/Tableau14[[#This Row],[BILLION VEH KM TRAVELLED2016]])</f>
        <v>13.717354325640802</v>
      </c>
      <c r="V23" s="91">
        <f>IF(Tableau14[[#This Row],[F crashes2016]] &lt;&gt; 0, Tableau14[[#This Row],[F &amp; S crashes2016]]/Tableau14[[#This Row],[F crashes2016]], 1)</f>
        <v>1</v>
      </c>
      <c r="W23" s="91" t="str">
        <f>IF(AND(U23&gt;=SCORE!B$2*'DATASET 102018'!V23, U23&lt;SCORE!C$2*'DATASET 102018'!V23),SCORE!A$2,(IF(AND(U23&gt;=SCORE!B$3*'DATASET 102018'!V23, U23&lt;SCORE!C$3*'DATASET 102018'!V23),SCORE!A$3,(IF(AND(U23&gt;=SCORE!B$4*'DATASET 102018'!V23, U23&lt;SCORE!C$4*'DATASET 102018'!V23),SCORE!A$4,(IF(AND(U23&gt;=SCORE!B$5*'DATASET 102018'!V23, U23&lt;SCORE!C$5*'DATASET 102018'!V23),SCORE!A$5,(IF(SCORE!B$6*'DATASET 102018'!V23&lt;=U23,SCORE!A$6,0)))))))))</f>
        <v>Medium-high</v>
      </c>
      <c r="X23" s="8">
        <f>Tableau14[[#This Row],[F &amp; S crashes2016]]/4</f>
        <v>0.25</v>
      </c>
      <c r="Y23" s="8" t="str">
        <f>IF( AND(X23&gt;=SCORE!G$2*V23, X23&lt;SCORE!H$2*V23),SCORE!F$2,(IF(AND(X23&gt;=SCORE!G$3*V23, X23&lt;SCORE!H$3*V23),SCORE!A$3,(IF(AND(X23&gt;=SCORE!G$4*V23, X23&lt;SCORE!H$4*V23),SCORE!A$4,(IF(AND(X23&gt;=SCORE!G$5*V23, X23&lt;SCORE!H$5*V23),SCORE!A$5,(IF(SCORE!G$6*'DATASET 102018'!V23&lt;=X23,SCORE!A$6,0)))))))))</f>
        <v>High</v>
      </c>
      <c r="Z23" s="43">
        <v>0</v>
      </c>
      <c r="AA23" s="43">
        <v>0</v>
      </c>
      <c r="AB23" s="43">
        <v>137</v>
      </c>
      <c r="AC23" s="43">
        <v>5</v>
      </c>
      <c r="AD23" s="43">
        <v>34</v>
      </c>
      <c r="AE23" s="43">
        <v>282</v>
      </c>
    </row>
    <row r="24" spans="1:31" x14ac:dyDescent="0.3">
      <c r="A24">
        <f t="shared" si="1"/>
        <v>23</v>
      </c>
      <c r="B24" s="42" t="s">
        <v>117</v>
      </c>
      <c r="C24" s="42">
        <v>2152</v>
      </c>
      <c r="D24" s="42">
        <v>2002</v>
      </c>
      <c r="E24" s="42">
        <f t="shared" si="0"/>
        <v>2077</v>
      </c>
      <c r="F24" s="42">
        <v>2</v>
      </c>
      <c r="G24" s="42" t="s">
        <v>384</v>
      </c>
      <c r="H24" s="42" t="s">
        <v>371</v>
      </c>
      <c r="I24" s="42">
        <v>60</v>
      </c>
      <c r="J24" s="42">
        <v>0.69</v>
      </c>
      <c r="K24" s="42" t="s">
        <v>212</v>
      </c>
      <c r="L24" s="42" t="s">
        <v>212</v>
      </c>
      <c r="M24" s="42" t="s">
        <v>212</v>
      </c>
      <c r="N24" s="42" t="s">
        <v>211</v>
      </c>
      <c r="O24" s="42">
        <v>1</v>
      </c>
      <c r="P24" s="27">
        <v>87.119245338249186</v>
      </c>
      <c r="Q24" s="91">
        <f>IF(Tableau14[[#This Row],[F crashes2015]] &lt;&gt; 0, Tableau14[[#This Row],[F &amp; S crashes2015]]/Tableau14[[#This Row],[F crashes2015]], 1)</f>
        <v>3</v>
      </c>
      <c r="R24" s="91" t="str">
        <f>IF( AND(P24&gt;=SCORE!B$2*'DATASET 102018'!Q24, P24&lt;SCORE!C$2*'DATASET 102018'!Q24),SCORE!A$2,(IF(AND(P24&gt;=SCORE!B$3*'DATASET 102018'!Q24,P24&lt;SCORE!C$3*'DATASET 102018'!Q24),SCORE!A$3,(IF(AND(P24&gt;=SCORE!B$4*'DATASET 102018'!Q24,P24&lt;SCORE!C$4*'DATASET 102018'!Q24),SCORE!A$4,(IF(AND(P24&gt;=SCORE!B$5*'DATASET 102018'!Q24,P24&lt;SCORE!C$5*'DATASET 102018'!Q24),SCORE!A$5,(IF(SCORE!B$6*'DATASET 102018'!Q24&lt;=P24,SCORE!A$6,0)))))))))</f>
        <v>High</v>
      </c>
      <c r="S24" s="66">
        <f>Tableau14[[#This Row],[F &amp; S crashes2015]]/4</f>
        <v>0.75</v>
      </c>
      <c r="T24" s="66" t="str">
        <f>IF( AND(S24&gt;=SCORE!G$2*'DATASET 102018'!Q24, S24&lt;SCORE!H$2*'DATASET 102018'!Q24),SCORE!F$2,(IF(AND(S24&gt;=SCORE!G$3*'DATASET 102018'!Q24, S24&lt;SCORE!H$3*'DATASET 102018'!Q24),SCORE!A$3,(IF(AND(S24&gt;=SCORE!G$4*'DATASET 102018'!Q24, S24&lt;SCORE!H$4*'DATASET 102018'!Q24),SCORE!A$4,(IF(AND(S24&gt;=SCORE!G$5*'DATASET 102018'!Q24, S24&lt;SCORE!H$5*'DATASET 102018'!Q24),SCORE!A$5,(IF(SCORE!G$6*'DATASET 102018'!Q24&lt;=S24,SCORE!A$6,0)))))))))</f>
        <v>High</v>
      </c>
      <c r="U24" s="8">
        <f>(Tableau14[[#This Row],[F &amp; S crashes2016]]/Tableau14[[#This Row],[BILLION VEH KM TRAVELLED2016]])</f>
        <v>31.215545841277692</v>
      </c>
      <c r="V24" s="91">
        <f>IF(Tableau14[[#This Row],[F crashes2016]] &lt;&gt; 0, Tableau14[[#This Row],[F &amp; S crashes2016]]/Tableau14[[#This Row],[F crashes2016]], 1)</f>
        <v>1</v>
      </c>
      <c r="W24" s="91" t="str">
        <f>IF(AND(U24&gt;=SCORE!B$2*'DATASET 102018'!V24, U24&lt;SCORE!C$2*'DATASET 102018'!V24),SCORE!A$2,(IF(AND(U24&gt;=SCORE!B$3*'DATASET 102018'!V24, U24&lt;SCORE!C$3*'DATASET 102018'!V24),SCORE!A$3,(IF(AND(U24&gt;=SCORE!B$4*'DATASET 102018'!V24, U24&lt;SCORE!C$4*'DATASET 102018'!V24),SCORE!A$4,(IF(AND(U24&gt;=SCORE!B$5*'DATASET 102018'!V24, U24&lt;SCORE!C$5*'DATASET 102018'!V24),SCORE!A$5,(IF(SCORE!B$6*'DATASET 102018'!V24&lt;=U24,SCORE!A$6,0)))))))))</f>
        <v>High</v>
      </c>
      <c r="X24" s="8">
        <f>Tableau14[[#This Row],[F &amp; S crashes2016]]/4</f>
        <v>0.25</v>
      </c>
      <c r="Y24" s="8" t="str">
        <f>IF( AND(X24&gt;=SCORE!G$2*V24, X24&lt;SCORE!H$2*V24),SCORE!F$2,(IF(AND(X24&gt;=SCORE!G$3*V24, X24&lt;SCORE!H$3*V24),SCORE!A$3,(IF(AND(X24&gt;=SCORE!G$4*V24, X24&lt;SCORE!H$4*V24),SCORE!A$4,(IF(AND(X24&gt;=SCORE!G$5*V24, X24&lt;SCORE!H$5*V24),SCORE!A$5,(IF(SCORE!G$6*'DATASET 102018'!V24&lt;=X24,SCORE!A$6,0)))))))))</f>
        <v>High</v>
      </c>
      <c r="Z24" s="42">
        <v>0</v>
      </c>
      <c r="AA24" s="42">
        <v>0</v>
      </c>
      <c r="AB24" s="42">
        <v>28</v>
      </c>
      <c r="AC24" s="42">
        <v>52</v>
      </c>
      <c r="AD24" s="42">
        <v>21</v>
      </c>
      <c r="AE24" s="42">
        <v>297</v>
      </c>
    </row>
    <row r="25" spans="1:31" x14ac:dyDescent="0.3">
      <c r="A25">
        <f t="shared" si="1"/>
        <v>24</v>
      </c>
      <c r="B25" s="43" t="s">
        <v>122</v>
      </c>
      <c r="C25" s="43">
        <v>2985</v>
      </c>
      <c r="D25" s="43">
        <v>2743</v>
      </c>
      <c r="E25" s="42">
        <f t="shared" si="0"/>
        <v>2864</v>
      </c>
      <c r="F25" s="43">
        <v>4</v>
      </c>
      <c r="G25" s="43" t="s">
        <v>384</v>
      </c>
      <c r="H25" s="43" t="s">
        <v>371</v>
      </c>
      <c r="I25" s="43">
        <v>60</v>
      </c>
      <c r="J25" s="43">
        <v>2.2799999999999998</v>
      </c>
      <c r="K25" s="43" t="s">
        <v>212</v>
      </c>
      <c r="L25" s="43" t="s">
        <v>212</v>
      </c>
      <c r="M25" s="43" t="s">
        <v>212</v>
      </c>
      <c r="N25" s="43" t="s">
        <v>211</v>
      </c>
      <c r="O25" s="43">
        <v>3</v>
      </c>
      <c r="P25" s="27">
        <v>0</v>
      </c>
      <c r="Q25" s="91">
        <f>IF(Tableau14[[#This Row],[F crashes2015]] &lt;&gt; 0, Tableau14[[#This Row],[F &amp; S crashes2015]]/Tableau14[[#This Row],[F crashes2015]], 1)</f>
        <v>1</v>
      </c>
      <c r="R25" s="91" t="str">
        <f>IF( AND(P25&gt;=SCORE!B$2*'DATASET 102018'!Q25, P25&lt;SCORE!C$2*'DATASET 102018'!Q25),SCORE!A$2,(IF(AND(P25&gt;=SCORE!B$3*'DATASET 102018'!Q25,P25&lt;SCORE!C$3*'DATASET 102018'!Q25),SCORE!A$3,(IF(AND(P25&gt;=SCORE!B$4*'DATASET 102018'!Q25,P25&lt;SCORE!C$4*'DATASET 102018'!Q25),SCORE!A$4,(IF(AND(P25&gt;=SCORE!B$5*'DATASET 102018'!Q25,P25&lt;SCORE!C$5*'DATASET 102018'!Q25),SCORE!A$5,(IF(SCORE!B$6*'DATASET 102018'!Q25&lt;=P25,SCORE!A$6,0)))))))))</f>
        <v>Low</v>
      </c>
      <c r="S25" s="63">
        <f>Tableau14[[#This Row],[F &amp; S crashes2015]]/4</f>
        <v>0</v>
      </c>
      <c r="T25" s="66" t="str">
        <f>IF( AND(S25&gt;=SCORE!G$2*'DATASET 102018'!Q25, S25&lt;SCORE!H$2*'DATASET 102018'!Q25),SCORE!F$2,(IF(AND(S25&gt;=SCORE!G$3*'DATASET 102018'!Q25, S25&lt;SCORE!H$3*'DATASET 102018'!Q25),SCORE!A$3,(IF(AND(S25&gt;=SCORE!G$4*'DATASET 102018'!Q25, S25&lt;SCORE!H$4*'DATASET 102018'!Q25),SCORE!A$4,(IF(AND(S25&gt;=SCORE!G$5*'DATASET 102018'!Q25, S25&lt;SCORE!H$5*'DATASET 102018'!Q25),SCORE!A$5,(IF(SCORE!G$6*'DATASET 102018'!Q25&lt;=S25,SCORE!A$6,0)))))))))</f>
        <v>Low</v>
      </c>
      <c r="U25" s="8">
        <f>(Tableau14[[#This Row],[F &amp; S crashes2016]]/Tableau14[[#This Row],[BILLION VEH KM TRAVELLED2016]])</f>
        <v>0</v>
      </c>
      <c r="V25" s="91">
        <f>IF(Tableau14[[#This Row],[F crashes2016]] &lt;&gt; 0, Tableau14[[#This Row],[F &amp; S crashes2016]]/Tableau14[[#This Row],[F crashes2016]], 1)</f>
        <v>1</v>
      </c>
      <c r="W25" s="91" t="str">
        <f>IF(AND(U25&gt;=SCORE!B$2*'DATASET 102018'!V25, U25&lt;SCORE!C$2*'DATASET 102018'!V25),SCORE!A$2,(IF(AND(U25&gt;=SCORE!B$3*'DATASET 102018'!V25, U25&lt;SCORE!C$3*'DATASET 102018'!V25),SCORE!A$3,(IF(AND(U25&gt;=SCORE!B$4*'DATASET 102018'!V25, U25&lt;SCORE!C$4*'DATASET 102018'!V25),SCORE!A$4,(IF(AND(U25&gt;=SCORE!B$5*'DATASET 102018'!V25, U25&lt;SCORE!C$5*'DATASET 102018'!V25),SCORE!A$5,(IF(SCORE!B$6*'DATASET 102018'!V25&lt;=U25,SCORE!A$6,0)))))))))</f>
        <v>Low</v>
      </c>
      <c r="X25" s="8">
        <f>Tableau14[[#This Row],[F &amp; S crashes2016]]/4</f>
        <v>0</v>
      </c>
      <c r="Y25" s="8" t="str">
        <f>IF( AND(X25&gt;=SCORE!G$2*V25, X25&lt;SCORE!H$2*V25),SCORE!F$2,(IF(AND(X25&gt;=SCORE!G$3*V25, X25&lt;SCORE!H$3*V25),SCORE!A$3,(IF(AND(X25&gt;=SCORE!G$4*V25, X25&lt;SCORE!H$4*V25),SCORE!A$4,(IF(AND(X25&gt;=SCORE!G$5*V25, X25&lt;SCORE!H$5*V25),SCORE!A$5,(IF(SCORE!G$6*'DATASET 102018'!V25&lt;=X25,SCORE!A$6,0)))))))))</f>
        <v>Low</v>
      </c>
      <c r="Z25" s="43">
        <v>0</v>
      </c>
      <c r="AA25" s="43">
        <v>0</v>
      </c>
      <c r="AB25" s="43">
        <v>151</v>
      </c>
      <c r="AC25" s="43">
        <v>40</v>
      </c>
      <c r="AD25" s="43">
        <v>35</v>
      </c>
      <c r="AE25" s="43">
        <v>329</v>
      </c>
    </row>
    <row r="26" spans="1:31" x14ac:dyDescent="0.3">
      <c r="A26">
        <f t="shared" si="1"/>
        <v>25</v>
      </c>
      <c r="B26" s="42" t="s">
        <v>123</v>
      </c>
      <c r="C26" s="42">
        <v>2985</v>
      </c>
      <c r="D26" s="42">
        <v>2743</v>
      </c>
      <c r="E26" s="42">
        <f t="shared" si="0"/>
        <v>2864</v>
      </c>
      <c r="F26" s="42">
        <v>3</v>
      </c>
      <c r="G26" s="42" t="s">
        <v>384</v>
      </c>
      <c r="H26" s="42" t="s">
        <v>371</v>
      </c>
      <c r="I26" s="42">
        <v>60</v>
      </c>
      <c r="J26" s="42">
        <v>2.2799999999999998</v>
      </c>
      <c r="K26" s="42" t="s">
        <v>212</v>
      </c>
      <c r="L26" s="42" t="s">
        <v>212</v>
      </c>
      <c r="M26" s="42" t="s">
        <v>212</v>
      </c>
      <c r="N26" s="42" t="s">
        <v>211</v>
      </c>
      <c r="O26" s="42">
        <v>3</v>
      </c>
      <c r="P26" s="27">
        <v>0</v>
      </c>
      <c r="Q26" s="91">
        <f>IF(Tableau14[[#This Row],[F crashes2015]] &lt;&gt; 0, Tableau14[[#This Row],[F &amp; S crashes2015]]/Tableau14[[#This Row],[F crashes2015]], 1)</f>
        <v>1</v>
      </c>
      <c r="R26" s="91" t="str">
        <f>IF( AND(P26&gt;=SCORE!B$2*'DATASET 102018'!Q26, P26&lt;SCORE!C$2*'DATASET 102018'!Q26),SCORE!A$2,(IF(AND(P26&gt;=SCORE!B$3*'DATASET 102018'!Q26,P26&lt;SCORE!C$3*'DATASET 102018'!Q26),SCORE!A$3,(IF(AND(P26&gt;=SCORE!B$4*'DATASET 102018'!Q26,P26&lt;SCORE!C$4*'DATASET 102018'!Q26),SCORE!A$4,(IF(AND(P26&gt;=SCORE!B$5*'DATASET 102018'!Q26,P26&lt;SCORE!C$5*'DATASET 102018'!Q26),SCORE!A$5,(IF(SCORE!B$6*'DATASET 102018'!Q26&lt;=P26,SCORE!A$6,0)))))))))</f>
        <v>Low</v>
      </c>
      <c r="S26" s="66">
        <f>Tableau14[[#This Row],[F &amp; S crashes2015]]/4</f>
        <v>0</v>
      </c>
      <c r="T26" s="66" t="str">
        <f>IF( AND(S26&gt;=SCORE!G$2*'DATASET 102018'!Q26, S26&lt;SCORE!H$2*'DATASET 102018'!Q26),SCORE!F$2,(IF(AND(S26&gt;=SCORE!G$3*'DATASET 102018'!Q26, S26&lt;SCORE!H$3*'DATASET 102018'!Q26),SCORE!A$3,(IF(AND(S26&gt;=SCORE!G$4*'DATASET 102018'!Q26, S26&lt;SCORE!H$4*'DATASET 102018'!Q26),SCORE!A$4,(IF(AND(S26&gt;=SCORE!G$5*'DATASET 102018'!Q26, S26&lt;SCORE!H$5*'DATASET 102018'!Q26),SCORE!A$5,(IF(SCORE!G$6*'DATASET 102018'!Q26&lt;=S26,SCORE!A$6,0)))))))))</f>
        <v>Low</v>
      </c>
      <c r="U26" s="8">
        <f>(Tableau14[[#This Row],[F &amp; S crashes2016]]/Tableau14[[#This Row],[BILLION VEH KM TRAVELLED2016]])</f>
        <v>0</v>
      </c>
      <c r="V26" s="91">
        <f>IF(Tableau14[[#This Row],[F crashes2016]] &lt;&gt; 0, Tableau14[[#This Row],[F &amp; S crashes2016]]/Tableau14[[#This Row],[F crashes2016]], 1)</f>
        <v>1</v>
      </c>
      <c r="W26" s="91" t="str">
        <f>IF(AND(U26&gt;=SCORE!B$2*'DATASET 102018'!V26, U26&lt;SCORE!C$2*'DATASET 102018'!V26),SCORE!A$2,(IF(AND(U26&gt;=SCORE!B$3*'DATASET 102018'!V26, U26&lt;SCORE!C$3*'DATASET 102018'!V26),SCORE!A$3,(IF(AND(U26&gt;=SCORE!B$4*'DATASET 102018'!V26, U26&lt;SCORE!C$4*'DATASET 102018'!V26),SCORE!A$4,(IF(AND(U26&gt;=SCORE!B$5*'DATASET 102018'!V26, U26&lt;SCORE!C$5*'DATASET 102018'!V26),SCORE!A$5,(IF(SCORE!B$6*'DATASET 102018'!V26&lt;=U26,SCORE!A$6,0)))))))))</f>
        <v>Low</v>
      </c>
      <c r="X26" s="8">
        <f>Tableau14[[#This Row],[F &amp; S crashes2016]]/4</f>
        <v>0</v>
      </c>
      <c r="Y26" s="8" t="str">
        <f>IF( AND(X26&gt;=SCORE!G$2*V26, X26&lt;SCORE!H$2*V26),SCORE!F$2,(IF(AND(X26&gt;=SCORE!G$3*V26, X26&lt;SCORE!H$3*V26),SCORE!A$3,(IF(AND(X26&gt;=SCORE!G$4*V26, X26&lt;SCORE!H$4*V26),SCORE!A$4,(IF(AND(X26&gt;=SCORE!G$5*V26, X26&lt;SCORE!H$5*V26),SCORE!A$5,(IF(SCORE!G$6*'DATASET 102018'!V26&lt;=X26,SCORE!A$6,0)))))))))</f>
        <v>Low</v>
      </c>
      <c r="Z26" s="42">
        <v>0</v>
      </c>
      <c r="AA26" s="42">
        <v>0</v>
      </c>
      <c r="AB26" s="42">
        <v>106</v>
      </c>
      <c r="AC26" s="42">
        <v>73</v>
      </c>
      <c r="AD26" s="42">
        <v>67</v>
      </c>
      <c r="AE26" s="42">
        <v>327</v>
      </c>
    </row>
    <row r="27" spans="1:31" x14ac:dyDescent="0.3">
      <c r="A27">
        <f t="shared" si="1"/>
        <v>26</v>
      </c>
      <c r="B27" s="43" t="s">
        <v>304</v>
      </c>
      <c r="C27" s="43">
        <v>2152</v>
      </c>
      <c r="D27" s="43">
        <v>3533</v>
      </c>
      <c r="E27" s="42">
        <f t="shared" si="0"/>
        <v>2842.5</v>
      </c>
      <c r="F27" s="43">
        <v>2</v>
      </c>
      <c r="G27" s="43" t="s">
        <v>385</v>
      </c>
      <c r="H27" s="43" t="s">
        <v>371</v>
      </c>
      <c r="I27" s="43">
        <v>60</v>
      </c>
      <c r="J27" s="43">
        <v>2.6</v>
      </c>
      <c r="K27" s="43" t="s">
        <v>212</v>
      </c>
      <c r="L27" s="43" t="s">
        <v>212</v>
      </c>
      <c r="M27" s="43" t="s">
        <v>212</v>
      </c>
      <c r="N27" s="43" t="s">
        <v>211</v>
      </c>
      <c r="O27" s="43">
        <v>1.7</v>
      </c>
      <c r="P27" s="27">
        <v>0</v>
      </c>
      <c r="Q27" s="91">
        <f>IF(Tableau14[[#This Row],[F crashes2015]] &lt;&gt; 0, Tableau14[[#This Row],[F &amp; S crashes2015]]/Tableau14[[#This Row],[F crashes2015]], 1)</f>
        <v>1</v>
      </c>
      <c r="R27" s="91" t="str">
        <f>IF( AND(P27&gt;=SCORE!B$2*'DATASET 102018'!Q27, P27&lt;SCORE!C$2*'DATASET 102018'!Q27),SCORE!A$2,(IF(AND(P27&gt;=SCORE!B$3*'DATASET 102018'!Q27,P27&lt;SCORE!C$3*'DATASET 102018'!Q27),SCORE!A$3,(IF(AND(P27&gt;=SCORE!B$4*'DATASET 102018'!Q27,P27&lt;SCORE!C$4*'DATASET 102018'!Q27),SCORE!A$4,(IF(AND(P27&gt;=SCORE!B$5*'DATASET 102018'!Q27,P27&lt;SCORE!C$5*'DATASET 102018'!Q27),SCORE!A$5,(IF(SCORE!B$6*'DATASET 102018'!Q27&lt;=P27,SCORE!A$6,0)))))))))</f>
        <v>Low</v>
      </c>
      <c r="S27" s="71">
        <f>Tableau14[[#This Row],[F &amp; S crashes2015]]/4</f>
        <v>0</v>
      </c>
      <c r="T27" s="66" t="str">
        <f>IF( AND(S27&gt;=SCORE!G$2*'DATASET 102018'!Q27, S27&lt;SCORE!H$2*'DATASET 102018'!Q27),SCORE!F$2,(IF(AND(S27&gt;=SCORE!G$3*'DATASET 102018'!Q27, S27&lt;SCORE!H$3*'DATASET 102018'!Q27),SCORE!A$3,(IF(AND(S27&gt;=SCORE!G$4*'DATASET 102018'!Q27, S27&lt;SCORE!H$4*'DATASET 102018'!Q27),SCORE!A$4,(IF(AND(S27&gt;=SCORE!G$5*'DATASET 102018'!Q27, S27&lt;SCORE!H$5*'DATASET 102018'!Q27),SCORE!A$5,(IF(SCORE!G$6*'DATASET 102018'!Q27&lt;=S27,SCORE!A$6,0)))))))))</f>
        <v>Low</v>
      </c>
      <c r="U27" s="8">
        <f>(Tableau14[[#This Row],[F &amp; S crashes2016]]/Tableau14[[#This Row],[BILLION VEH KM TRAVELLED2016]])</f>
        <v>0</v>
      </c>
      <c r="V27" s="91">
        <f>IF(Tableau14[[#This Row],[F crashes2016]] &lt;&gt; 0, Tableau14[[#This Row],[F &amp; S crashes2016]]/Tableau14[[#This Row],[F crashes2016]], 1)</f>
        <v>1</v>
      </c>
      <c r="W27" s="91" t="str">
        <f>IF(AND(U27&gt;=SCORE!B$2*'DATASET 102018'!V27, U27&lt;SCORE!C$2*'DATASET 102018'!V27),SCORE!A$2,(IF(AND(U27&gt;=SCORE!B$3*'DATASET 102018'!V27, U27&lt;SCORE!C$3*'DATASET 102018'!V27),SCORE!A$3,(IF(AND(U27&gt;=SCORE!B$4*'DATASET 102018'!V27, U27&lt;SCORE!C$4*'DATASET 102018'!V27),SCORE!A$4,(IF(AND(U27&gt;=SCORE!B$5*'DATASET 102018'!V27, U27&lt;SCORE!C$5*'DATASET 102018'!V27),SCORE!A$5,(IF(SCORE!B$6*'DATASET 102018'!V27&lt;=U27,SCORE!A$6,0)))))))))</f>
        <v>Low</v>
      </c>
      <c r="X27" s="8">
        <f>Tableau14[[#This Row],[F &amp; S crashes2016]]/4</f>
        <v>0</v>
      </c>
      <c r="Y27" s="8" t="str">
        <f>IF( AND(X27&gt;=SCORE!G$2*V27, X27&lt;SCORE!H$2*V27),SCORE!F$2,(IF(AND(X27&gt;=SCORE!G$3*V27, X27&lt;SCORE!H$3*V27),SCORE!A$3,(IF(AND(X27&gt;=SCORE!G$4*V27, X27&lt;SCORE!H$4*V27),SCORE!A$4,(IF(AND(X27&gt;=SCORE!G$5*V27, X27&lt;SCORE!H$5*V27),SCORE!A$5,(IF(SCORE!G$6*'DATASET 102018'!V27&lt;=X27,SCORE!A$6,0)))))))))</f>
        <v>Low</v>
      </c>
      <c r="Z27" s="43">
        <v>0</v>
      </c>
      <c r="AA27" s="43">
        <v>0</v>
      </c>
      <c r="AB27" s="43">
        <v>37</v>
      </c>
      <c r="AC27" s="43">
        <v>216</v>
      </c>
      <c r="AD27" s="43">
        <v>20</v>
      </c>
      <c r="AE27" s="43">
        <v>362</v>
      </c>
    </row>
    <row r="28" spans="1:31" x14ac:dyDescent="0.3">
      <c r="A28">
        <f t="shared" si="1"/>
        <v>27</v>
      </c>
      <c r="B28" s="42" t="s">
        <v>305</v>
      </c>
      <c r="C28" s="42">
        <v>2152</v>
      </c>
      <c r="D28" s="42">
        <v>3533</v>
      </c>
      <c r="E28" s="42">
        <f t="shared" si="0"/>
        <v>2842.5</v>
      </c>
      <c r="F28" s="42">
        <v>2</v>
      </c>
      <c r="G28" s="42" t="s">
        <v>384</v>
      </c>
      <c r="H28" s="42" t="s">
        <v>371</v>
      </c>
      <c r="I28" s="42">
        <v>80</v>
      </c>
      <c r="J28" s="42">
        <v>2.6</v>
      </c>
      <c r="K28" s="42" t="s">
        <v>212</v>
      </c>
      <c r="L28" s="42" t="s">
        <v>212</v>
      </c>
      <c r="M28" s="42" t="s">
        <v>212</v>
      </c>
      <c r="N28" s="42" t="s">
        <v>211</v>
      </c>
      <c r="O28" s="42">
        <v>1.7</v>
      </c>
      <c r="P28" s="27">
        <v>0</v>
      </c>
      <c r="Q28" s="91">
        <f>IF(Tableau14[[#This Row],[F crashes2015]] &lt;&gt; 0, Tableau14[[#This Row],[F &amp; S crashes2015]]/Tableau14[[#This Row],[F crashes2015]], 1)</f>
        <v>1</v>
      </c>
      <c r="R28" s="91" t="str">
        <f>IF( AND(P28&gt;=SCORE!B$2*'DATASET 102018'!Q28, P28&lt;SCORE!C$2*'DATASET 102018'!Q28),SCORE!A$2,(IF(AND(P28&gt;=SCORE!B$3*'DATASET 102018'!Q28,P28&lt;SCORE!C$3*'DATASET 102018'!Q28),SCORE!A$3,(IF(AND(P28&gt;=SCORE!B$4*'DATASET 102018'!Q28,P28&lt;SCORE!C$4*'DATASET 102018'!Q28),SCORE!A$4,(IF(AND(P28&gt;=SCORE!B$5*'DATASET 102018'!Q28,P28&lt;SCORE!C$5*'DATASET 102018'!Q28),SCORE!A$5,(IF(SCORE!B$6*'DATASET 102018'!Q28&lt;=P28,SCORE!A$6,0)))))))))</f>
        <v>Low</v>
      </c>
      <c r="S28" s="68">
        <f>Tableau14[[#This Row],[F &amp; S crashes2015]]/4</f>
        <v>0</v>
      </c>
      <c r="T28" s="66" t="str">
        <f>IF( AND(S28&gt;=SCORE!G$2*'DATASET 102018'!Q28, S28&lt;SCORE!H$2*'DATASET 102018'!Q28),SCORE!F$2,(IF(AND(S28&gt;=SCORE!G$3*'DATASET 102018'!Q28, S28&lt;SCORE!H$3*'DATASET 102018'!Q28),SCORE!A$3,(IF(AND(S28&gt;=SCORE!G$4*'DATASET 102018'!Q28, S28&lt;SCORE!H$4*'DATASET 102018'!Q28),SCORE!A$4,(IF(AND(S28&gt;=SCORE!G$5*'DATASET 102018'!Q28, S28&lt;SCORE!H$5*'DATASET 102018'!Q28),SCORE!A$5,(IF(SCORE!G$6*'DATASET 102018'!Q28&lt;=S28,SCORE!A$6,0)))))))))</f>
        <v>Low</v>
      </c>
      <c r="U28" s="8">
        <f>(Tableau14[[#This Row],[F &amp; S crashes2016]]/Tableau14[[#This Row],[BILLION VEH KM TRAVELLED2016]])</f>
        <v>0</v>
      </c>
      <c r="V28" s="91">
        <f>IF(Tableau14[[#This Row],[F crashes2016]] &lt;&gt; 0, Tableau14[[#This Row],[F &amp; S crashes2016]]/Tableau14[[#This Row],[F crashes2016]], 1)</f>
        <v>1</v>
      </c>
      <c r="W28" s="91" t="str">
        <f>IF(AND(U28&gt;=SCORE!B$2*'DATASET 102018'!V28, U28&lt;SCORE!C$2*'DATASET 102018'!V28),SCORE!A$2,(IF(AND(U28&gt;=SCORE!B$3*'DATASET 102018'!V28, U28&lt;SCORE!C$3*'DATASET 102018'!V28),SCORE!A$3,(IF(AND(U28&gt;=SCORE!B$4*'DATASET 102018'!V28, U28&lt;SCORE!C$4*'DATASET 102018'!V28),SCORE!A$4,(IF(AND(U28&gt;=SCORE!B$5*'DATASET 102018'!V28, U28&lt;SCORE!C$5*'DATASET 102018'!V28),SCORE!A$5,(IF(SCORE!B$6*'DATASET 102018'!V28&lt;=U28,SCORE!A$6,0)))))))))</f>
        <v>Low</v>
      </c>
      <c r="X28" s="8">
        <f>Tableau14[[#This Row],[F &amp; S crashes2016]]/4</f>
        <v>0</v>
      </c>
      <c r="Y28" s="8" t="str">
        <f>IF( AND(X28&gt;=SCORE!G$2*V28, X28&lt;SCORE!H$2*V28),SCORE!F$2,(IF(AND(X28&gt;=SCORE!G$3*V28, X28&lt;SCORE!H$3*V28),SCORE!A$3,(IF(AND(X28&gt;=SCORE!G$4*V28, X28&lt;SCORE!H$4*V28),SCORE!A$4,(IF(AND(X28&gt;=SCORE!G$5*V28, X28&lt;SCORE!H$5*V28),SCORE!A$5,(IF(SCORE!G$6*'DATASET 102018'!V28&lt;=X28,SCORE!A$6,0)))))))))</f>
        <v>Low</v>
      </c>
      <c r="Z28" s="42">
        <v>0</v>
      </c>
      <c r="AA28" s="42">
        <v>0</v>
      </c>
      <c r="AB28" s="42">
        <v>12</v>
      </c>
      <c r="AC28" s="42">
        <v>171</v>
      </c>
      <c r="AD28" s="42">
        <v>73</v>
      </c>
      <c r="AE28" s="42">
        <v>263</v>
      </c>
    </row>
    <row r="29" spans="1:31" x14ac:dyDescent="0.3">
      <c r="A29">
        <f t="shared" si="1"/>
        <v>28</v>
      </c>
      <c r="B29" s="43" t="s">
        <v>113</v>
      </c>
      <c r="C29" s="43">
        <v>2791</v>
      </c>
      <c r="D29" s="43">
        <v>2922</v>
      </c>
      <c r="E29" s="42">
        <f t="shared" si="0"/>
        <v>2856.5</v>
      </c>
      <c r="F29" s="43">
        <v>2</v>
      </c>
      <c r="G29" s="43" t="s">
        <v>384</v>
      </c>
      <c r="H29" s="43" t="s">
        <v>371</v>
      </c>
      <c r="I29" s="43">
        <v>80</v>
      </c>
      <c r="J29" s="43">
        <v>0.9</v>
      </c>
      <c r="K29" s="43" t="s">
        <v>212</v>
      </c>
      <c r="L29" s="43" t="s">
        <v>212</v>
      </c>
      <c r="M29" s="43" t="s">
        <v>212</v>
      </c>
      <c r="N29" s="43" t="s">
        <v>211</v>
      </c>
      <c r="O29" s="43">
        <v>1</v>
      </c>
      <c r="P29" s="27">
        <v>80.903792446174705</v>
      </c>
      <c r="Q29" s="91">
        <f>IF(Tableau14[[#This Row],[F crashes2015]] &lt;&gt; 0, Tableau14[[#This Row],[F &amp; S crashes2015]]/Tableau14[[#This Row],[F crashes2015]], 1)</f>
        <v>1</v>
      </c>
      <c r="R29" s="91" t="str">
        <f>IF( AND(P29&gt;=SCORE!B$2*'DATASET 102018'!Q29, P29&lt;SCORE!C$2*'DATASET 102018'!Q29),SCORE!A$2,(IF(AND(P29&gt;=SCORE!B$3*'DATASET 102018'!Q29,P29&lt;SCORE!C$3*'DATASET 102018'!Q29),SCORE!A$3,(IF(AND(P29&gt;=SCORE!B$4*'DATASET 102018'!Q29,P29&lt;SCORE!C$4*'DATASET 102018'!Q29),SCORE!A$4,(IF(AND(P29&gt;=SCORE!B$5*'DATASET 102018'!Q29,P29&lt;SCORE!C$5*'DATASET 102018'!Q29),SCORE!A$5,(IF(SCORE!B$6*'DATASET 102018'!Q29&lt;=P29,SCORE!A$6,0)))))))))</f>
        <v>High</v>
      </c>
      <c r="S29" s="63">
        <f>Tableau14[[#This Row],[F &amp; S crashes2015]]/4</f>
        <v>0.75</v>
      </c>
      <c r="T29" s="66" t="str">
        <f>IF( AND(S29&gt;=SCORE!G$2*'DATASET 102018'!Q29, S29&lt;SCORE!H$2*'DATASET 102018'!Q29),SCORE!F$2,(IF(AND(S29&gt;=SCORE!G$3*'DATASET 102018'!Q29, S29&lt;SCORE!H$3*'DATASET 102018'!Q29),SCORE!A$3,(IF(AND(S29&gt;=SCORE!G$4*'DATASET 102018'!Q29, S29&lt;SCORE!H$4*'DATASET 102018'!Q29),SCORE!A$4,(IF(AND(S29&gt;=SCORE!G$5*'DATASET 102018'!Q29, S29&lt;SCORE!H$5*'DATASET 102018'!Q29),SCORE!A$5,(IF(SCORE!G$6*'DATASET 102018'!Q29&lt;=S29,SCORE!A$6,0)))))))))</f>
        <v>High</v>
      </c>
      <c r="U29" s="8">
        <f>(Tableau14[[#This Row],[F &amp; S crashes2016]]/Tableau14[[#This Row],[BILLION VEH KM TRAVELLED2016]])</f>
        <v>51.517492829086983</v>
      </c>
      <c r="V29" s="91">
        <f>IF(Tableau14[[#This Row],[F crashes2016]] &lt;&gt; 0, Tableau14[[#This Row],[F &amp; S crashes2016]]/Tableau14[[#This Row],[F crashes2016]], 1)</f>
        <v>2</v>
      </c>
      <c r="W29" s="91" t="str">
        <f>IF(AND(U29&gt;=SCORE!B$2*'DATASET 102018'!V29, U29&lt;SCORE!C$2*'DATASET 102018'!V29),SCORE!A$2,(IF(AND(U29&gt;=SCORE!B$3*'DATASET 102018'!V29, U29&lt;SCORE!C$3*'DATASET 102018'!V29),SCORE!A$3,(IF(AND(U29&gt;=SCORE!B$4*'DATASET 102018'!V29, U29&lt;SCORE!C$4*'DATASET 102018'!V29),SCORE!A$4,(IF(AND(U29&gt;=SCORE!B$5*'DATASET 102018'!V29, U29&lt;SCORE!C$5*'DATASET 102018'!V29),SCORE!A$5,(IF(SCORE!B$6*'DATASET 102018'!V29&lt;=U29,SCORE!A$6,0)))))))))</f>
        <v>High</v>
      </c>
      <c r="X29" s="8">
        <f>Tableau14[[#This Row],[F &amp; S crashes2016]]/4</f>
        <v>0.5</v>
      </c>
      <c r="Y29" s="8" t="str">
        <f>IF( AND(X29&gt;=SCORE!G$2*V29, X29&lt;SCORE!H$2*V29),SCORE!F$2,(IF(AND(X29&gt;=SCORE!G$3*V29, X29&lt;SCORE!H$3*V29),SCORE!A$3,(IF(AND(X29&gt;=SCORE!G$4*V29, X29&lt;SCORE!H$4*V29),SCORE!A$4,(IF(AND(X29&gt;=SCORE!G$5*V29, X29&lt;SCORE!H$5*V29),SCORE!A$5,(IF(SCORE!G$6*'DATASET 102018'!V29&lt;=X29,SCORE!A$6,0)))))))))</f>
        <v>High</v>
      </c>
      <c r="Z29" s="43">
        <v>0</v>
      </c>
      <c r="AA29" s="43">
        <v>0</v>
      </c>
      <c r="AB29" s="43">
        <v>91</v>
      </c>
      <c r="AC29" s="43">
        <v>80</v>
      </c>
      <c r="AD29" s="43">
        <v>43</v>
      </c>
      <c r="AE29" s="43">
        <v>310</v>
      </c>
    </row>
    <row r="30" spans="1:31" x14ac:dyDescent="0.3">
      <c r="A30">
        <f t="shared" si="1"/>
        <v>29</v>
      </c>
      <c r="B30" s="42" t="s">
        <v>114</v>
      </c>
      <c r="C30" s="42">
        <v>2791</v>
      </c>
      <c r="D30" s="42">
        <v>2922</v>
      </c>
      <c r="E30" s="42">
        <f t="shared" si="0"/>
        <v>2856.5</v>
      </c>
      <c r="F30" s="42">
        <v>2</v>
      </c>
      <c r="G30" s="42" t="s">
        <v>384</v>
      </c>
      <c r="H30" s="42" t="s">
        <v>371</v>
      </c>
      <c r="I30" s="42">
        <v>80</v>
      </c>
      <c r="J30" s="42">
        <v>0.9</v>
      </c>
      <c r="K30" s="42" t="s">
        <v>212</v>
      </c>
      <c r="L30" s="42" t="s">
        <v>212</v>
      </c>
      <c r="M30" s="42" t="s">
        <v>212</v>
      </c>
      <c r="N30" s="42" t="s">
        <v>211</v>
      </c>
      <c r="O30" s="42">
        <v>1</v>
      </c>
      <c r="P30" s="27">
        <v>80.903792446174705</v>
      </c>
      <c r="Q30" s="91">
        <f>IF(Tableau14[[#This Row],[F crashes2015]] &lt;&gt; 0, Tableau14[[#This Row],[F &amp; S crashes2015]]/Tableau14[[#This Row],[F crashes2015]], 1)</f>
        <v>1</v>
      </c>
      <c r="R30" s="91" t="str">
        <f>IF( AND(P30&gt;=SCORE!B$2*'DATASET 102018'!Q30, P30&lt;SCORE!C$2*'DATASET 102018'!Q30),SCORE!A$2,(IF(AND(P30&gt;=SCORE!B$3*'DATASET 102018'!Q30,P30&lt;SCORE!C$3*'DATASET 102018'!Q30),SCORE!A$3,(IF(AND(P30&gt;=SCORE!B$4*'DATASET 102018'!Q30,P30&lt;SCORE!C$4*'DATASET 102018'!Q30),SCORE!A$4,(IF(AND(P30&gt;=SCORE!B$5*'DATASET 102018'!Q30,P30&lt;SCORE!C$5*'DATASET 102018'!Q30),SCORE!A$5,(IF(SCORE!B$6*'DATASET 102018'!Q30&lt;=P30,SCORE!A$6,0)))))))))</f>
        <v>High</v>
      </c>
      <c r="S30" s="66">
        <f>Tableau14[[#This Row],[F &amp; S crashes2015]]/4</f>
        <v>0.75</v>
      </c>
      <c r="T30" s="66" t="str">
        <f>IF( AND(S30&gt;=SCORE!G$2*'DATASET 102018'!Q30, S30&lt;SCORE!H$2*'DATASET 102018'!Q30),SCORE!F$2,(IF(AND(S30&gt;=SCORE!G$3*'DATASET 102018'!Q30, S30&lt;SCORE!H$3*'DATASET 102018'!Q30),SCORE!A$3,(IF(AND(S30&gt;=SCORE!G$4*'DATASET 102018'!Q30, S30&lt;SCORE!H$4*'DATASET 102018'!Q30),SCORE!A$4,(IF(AND(S30&gt;=SCORE!G$5*'DATASET 102018'!Q30, S30&lt;SCORE!H$5*'DATASET 102018'!Q30),SCORE!A$5,(IF(SCORE!G$6*'DATASET 102018'!Q30&lt;=S30,SCORE!A$6,0)))))))))</f>
        <v>High</v>
      </c>
      <c r="U30" s="8">
        <f>(Tableau14[[#This Row],[F &amp; S crashes2016]]/Tableau14[[#This Row],[BILLION VEH KM TRAVELLED2016]])</f>
        <v>51.517492829086983</v>
      </c>
      <c r="V30" s="91">
        <f>IF(Tableau14[[#This Row],[F crashes2016]] &lt;&gt; 0, Tableau14[[#This Row],[F &amp; S crashes2016]]/Tableau14[[#This Row],[F crashes2016]], 1)</f>
        <v>2</v>
      </c>
      <c r="W30" s="91" t="str">
        <f>IF(AND(U30&gt;=SCORE!B$2*'DATASET 102018'!V30, U30&lt;SCORE!C$2*'DATASET 102018'!V30),SCORE!A$2,(IF(AND(U30&gt;=SCORE!B$3*'DATASET 102018'!V30, U30&lt;SCORE!C$3*'DATASET 102018'!V30),SCORE!A$3,(IF(AND(U30&gt;=SCORE!B$4*'DATASET 102018'!V30, U30&lt;SCORE!C$4*'DATASET 102018'!V30),SCORE!A$4,(IF(AND(U30&gt;=SCORE!B$5*'DATASET 102018'!V30, U30&lt;SCORE!C$5*'DATASET 102018'!V30),SCORE!A$5,(IF(SCORE!B$6*'DATASET 102018'!V30&lt;=U30,SCORE!A$6,0)))))))))</f>
        <v>High</v>
      </c>
      <c r="X30" s="8">
        <f>Tableau14[[#This Row],[F &amp; S crashes2016]]/4</f>
        <v>0.5</v>
      </c>
      <c r="Y30" s="8" t="str">
        <f>IF( AND(X30&gt;=SCORE!G$2*V30, X30&lt;SCORE!H$2*V30),SCORE!F$2,(IF(AND(X30&gt;=SCORE!G$3*V30, X30&lt;SCORE!H$3*V30),SCORE!A$3,(IF(AND(X30&gt;=SCORE!G$4*V30, X30&lt;SCORE!H$4*V30),SCORE!A$4,(IF(AND(X30&gt;=SCORE!G$5*V30, X30&lt;SCORE!H$5*V30),SCORE!A$5,(IF(SCORE!G$6*'DATASET 102018'!V30&lt;=X30,SCORE!A$6,0)))))))))</f>
        <v>High</v>
      </c>
      <c r="Z30" s="42">
        <v>0</v>
      </c>
      <c r="AA30" s="42">
        <v>0</v>
      </c>
      <c r="AB30" s="42">
        <v>74</v>
      </c>
      <c r="AC30" s="42">
        <v>87</v>
      </c>
      <c r="AD30" s="42">
        <v>29</v>
      </c>
      <c r="AE30" s="42">
        <v>301</v>
      </c>
    </row>
    <row r="31" spans="1:31" x14ac:dyDescent="0.3">
      <c r="A31">
        <f t="shared" si="1"/>
        <v>30</v>
      </c>
      <c r="B31" s="43" t="s">
        <v>124</v>
      </c>
      <c r="C31" s="43">
        <v>1325</v>
      </c>
      <c r="D31" s="43">
        <v>1360</v>
      </c>
      <c r="E31" s="42">
        <f t="shared" si="0"/>
        <v>1342.5</v>
      </c>
      <c r="F31" s="43">
        <v>2</v>
      </c>
      <c r="G31" s="43" t="s">
        <v>385</v>
      </c>
      <c r="H31" s="43" t="s">
        <v>371</v>
      </c>
      <c r="I31" s="43">
        <v>60</v>
      </c>
      <c r="J31" s="43">
        <v>5.5</v>
      </c>
      <c r="K31" s="43" t="s">
        <v>212</v>
      </c>
      <c r="L31" s="43" t="s">
        <v>212</v>
      </c>
      <c r="M31" s="43" t="s">
        <v>212</v>
      </c>
      <c r="N31" s="43" t="s">
        <v>212</v>
      </c>
      <c r="O31" s="43">
        <v>4.6500000000000004</v>
      </c>
      <c r="P31" s="27">
        <v>0</v>
      </c>
      <c r="Q31" s="91">
        <f>IF(Tableau14[[#This Row],[F crashes2015]] &lt;&gt; 0, Tableau14[[#This Row],[F &amp; S crashes2015]]/Tableau14[[#This Row],[F crashes2015]], 1)</f>
        <v>1</v>
      </c>
      <c r="R31" s="91" t="str">
        <f>IF( AND(P31&gt;=SCORE!B$2*'DATASET 102018'!Q31, P31&lt;SCORE!C$2*'DATASET 102018'!Q31),SCORE!A$2,(IF(AND(P31&gt;=SCORE!B$3*'DATASET 102018'!Q31,P31&lt;SCORE!C$3*'DATASET 102018'!Q31),SCORE!A$3,(IF(AND(P31&gt;=SCORE!B$4*'DATASET 102018'!Q31,P31&lt;SCORE!C$4*'DATASET 102018'!Q31),SCORE!A$4,(IF(AND(P31&gt;=SCORE!B$5*'DATASET 102018'!Q31,P31&lt;SCORE!C$5*'DATASET 102018'!Q31),SCORE!A$5,(IF(SCORE!B$6*'DATASET 102018'!Q31&lt;=P31,SCORE!A$6,0)))))))))</f>
        <v>Low</v>
      </c>
      <c r="S31" s="63">
        <f>Tableau14[[#This Row],[F &amp; S crashes2015]]/4</f>
        <v>0</v>
      </c>
      <c r="T31" s="66" t="str">
        <f>IF( AND(S31&gt;=SCORE!G$2*'DATASET 102018'!Q31, S31&lt;SCORE!H$2*'DATASET 102018'!Q31),SCORE!F$2,(IF(AND(S31&gt;=SCORE!G$3*'DATASET 102018'!Q31, S31&lt;SCORE!H$3*'DATASET 102018'!Q31),SCORE!A$3,(IF(AND(S31&gt;=SCORE!G$4*'DATASET 102018'!Q31, S31&lt;SCORE!H$4*'DATASET 102018'!Q31),SCORE!A$4,(IF(AND(S31&gt;=SCORE!G$5*'DATASET 102018'!Q31, S31&lt;SCORE!H$5*'DATASET 102018'!Q31),SCORE!A$5,(IF(SCORE!G$6*'DATASET 102018'!Q31&lt;=S31,SCORE!A$6,0)))))))))</f>
        <v>Low</v>
      </c>
      <c r="U31" s="8">
        <f>(Tableau14[[#This Row],[F &amp; S crashes2016]]/Tableau14[[#This Row],[BILLION VEH KM TRAVELLED2016]])</f>
        <v>0</v>
      </c>
      <c r="V31" s="91">
        <f>IF(Tableau14[[#This Row],[F crashes2016]] &lt;&gt; 0, Tableau14[[#This Row],[F &amp; S crashes2016]]/Tableau14[[#This Row],[F crashes2016]], 1)</f>
        <v>1</v>
      </c>
      <c r="W31" s="91" t="str">
        <f>IF(AND(U31&gt;=SCORE!B$2*'DATASET 102018'!V31, U31&lt;SCORE!C$2*'DATASET 102018'!V31),SCORE!A$2,(IF(AND(U31&gt;=SCORE!B$3*'DATASET 102018'!V31, U31&lt;SCORE!C$3*'DATASET 102018'!V31),SCORE!A$3,(IF(AND(U31&gt;=SCORE!B$4*'DATASET 102018'!V31, U31&lt;SCORE!C$4*'DATASET 102018'!V31),SCORE!A$4,(IF(AND(U31&gt;=SCORE!B$5*'DATASET 102018'!V31, U31&lt;SCORE!C$5*'DATASET 102018'!V31),SCORE!A$5,(IF(SCORE!B$6*'DATASET 102018'!V31&lt;=U31,SCORE!A$6,0)))))))))</f>
        <v>Low</v>
      </c>
      <c r="X31" s="8">
        <f>Tableau14[[#This Row],[F &amp; S crashes2016]]/4</f>
        <v>0</v>
      </c>
      <c r="Y31" s="8" t="str">
        <f>IF( AND(X31&gt;=SCORE!G$2*V31, X31&lt;SCORE!H$2*V31),SCORE!F$2,(IF(AND(X31&gt;=SCORE!G$3*V31, X31&lt;SCORE!H$3*V31),SCORE!A$3,(IF(AND(X31&gt;=SCORE!G$4*V31, X31&lt;SCORE!H$4*V31),SCORE!A$4,(IF(AND(X31&gt;=SCORE!G$5*V31, X31&lt;SCORE!H$5*V31),SCORE!A$5,(IF(SCORE!G$6*'DATASET 102018'!V31&lt;=X31,SCORE!A$6,0)))))))))</f>
        <v>Low</v>
      </c>
      <c r="Z31" s="43">
        <v>0</v>
      </c>
      <c r="AA31" s="43">
        <v>0</v>
      </c>
      <c r="AB31" s="43">
        <v>76</v>
      </c>
      <c r="AC31" s="43">
        <v>200</v>
      </c>
      <c r="AD31" s="43">
        <v>42</v>
      </c>
      <c r="AE31" s="43">
        <v>313</v>
      </c>
    </row>
    <row r="32" spans="1:31" x14ac:dyDescent="0.3">
      <c r="A32">
        <f t="shared" si="1"/>
        <v>31</v>
      </c>
      <c r="B32" s="42" t="s">
        <v>125</v>
      </c>
      <c r="C32" s="42">
        <v>1711</v>
      </c>
      <c r="D32" s="42">
        <v>1757</v>
      </c>
      <c r="E32" s="42">
        <f t="shared" si="0"/>
        <v>1734</v>
      </c>
      <c r="F32" s="42">
        <v>2</v>
      </c>
      <c r="G32" s="42" t="s">
        <v>385</v>
      </c>
      <c r="H32" s="42" t="s">
        <v>371</v>
      </c>
      <c r="I32" s="42">
        <v>60</v>
      </c>
      <c r="J32" s="42">
        <v>1.65</v>
      </c>
      <c r="K32" s="42" t="s">
        <v>212</v>
      </c>
      <c r="L32" s="42" t="s">
        <v>212</v>
      </c>
      <c r="M32" s="42" t="s">
        <v>212</v>
      </c>
      <c r="N32" s="42" t="s">
        <v>211</v>
      </c>
      <c r="O32" s="42">
        <v>1.8</v>
      </c>
      <c r="P32" s="27">
        <v>0</v>
      </c>
      <c r="Q32" s="91">
        <f>IF(Tableau14[[#This Row],[F crashes2015]] &lt;&gt; 0, Tableau14[[#This Row],[F &amp; S crashes2015]]/Tableau14[[#This Row],[F crashes2015]], 1)</f>
        <v>1</v>
      </c>
      <c r="R32" s="91" t="str">
        <f>IF( AND(P32&gt;=SCORE!B$2*'DATASET 102018'!Q32, P32&lt;SCORE!C$2*'DATASET 102018'!Q32),SCORE!A$2,(IF(AND(P32&gt;=SCORE!B$3*'DATASET 102018'!Q32,P32&lt;SCORE!C$3*'DATASET 102018'!Q32),SCORE!A$3,(IF(AND(P32&gt;=SCORE!B$4*'DATASET 102018'!Q32,P32&lt;SCORE!C$4*'DATASET 102018'!Q32),SCORE!A$4,(IF(AND(P32&gt;=SCORE!B$5*'DATASET 102018'!Q32,P32&lt;SCORE!C$5*'DATASET 102018'!Q32),SCORE!A$5,(IF(SCORE!B$6*'DATASET 102018'!Q32&lt;=P32,SCORE!A$6,0)))))))))</f>
        <v>Low</v>
      </c>
      <c r="S32" s="66">
        <f>Tableau14[[#This Row],[F &amp; S crashes2015]]/4</f>
        <v>0</v>
      </c>
      <c r="T32" s="66" t="str">
        <f>IF( AND(S32&gt;=SCORE!G$2*'DATASET 102018'!Q32, S32&lt;SCORE!H$2*'DATASET 102018'!Q32),SCORE!F$2,(IF(AND(S32&gt;=SCORE!G$3*'DATASET 102018'!Q32, S32&lt;SCORE!H$3*'DATASET 102018'!Q32),SCORE!A$3,(IF(AND(S32&gt;=SCORE!G$4*'DATASET 102018'!Q32, S32&lt;SCORE!H$4*'DATASET 102018'!Q32),SCORE!A$4,(IF(AND(S32&gt;=SCORE!G$5*'DATASET 102018'!Q32, S32&lt;SCORE!H$5*'DATASET 102018'!Q32),SCORE!A$5,(IF(SCORE!G$6*'DATASET 102018'!Q32&lt;=S32,SCORE!A$6,0)))))))))</f>
        <v>Low</v>
      </c>
      <c r="U32" s="8">
        <f>(Tableau14[[#This Row],[F &amp; S crashes2016]]/Tableau14[[#This Row],[BILLION VEH KM TRAVELLED2016]])</f>
        <v>0</v>
      </c>
      <c r="V32" s="91">
        <f>IF(Tableau14[[#This Row],[F crashes2016]] &lt;&gt; 0, Tableau14[[#This Row],[F &amp; S crashes2016]]/Tableau14[[#This Row],[F crashes2016]], 1)</f>
        <v>1</v>
      </c>
      <c r="W32" s="91" t="str">
        <f>IF(AND(U32&gt;=SCORE!B$2*'DATASET 102018'!V32, U32&lt;SCORE!C$2*'DATASET 102018'!V32),SCORE!A$2,(IF(AND(U32&gt;=SCORE!B$3*'DATASET 102018'!V32, U32&lt;SCORE!C$3*'DATASET 102018'!V32),SCORE!A$3,(IF(AND(U32&gt;=SCORE!B$4*'DATASET 102018'!V32, U32&lt;SCORE!C$4*'DATASET 102018'!V32),SCORE!A$4,(IF(AND(U32&gt;=SCORE!B$5*'DATASET 102018'!V32, U32&lt;SCORE!C$5*'DATASET 102018'!V32),SCORE!A$5,(IF(SCORE!B$6*'DATASET 102018'!V32&lt;=U32,SCORE!A$6,0)))))))))</f>
        <v>Low</v>
      </c>
      <c r="X32" s="8">
        <f>Tableau14[[#This Row],[F &amp; S crashes2016]]/4</f>
        <v>0</v>
      </c>
      <c r="Y32" s="8" t="str">
        <f>IF( AND(X32&gt;=SCORE!G$2*V32, X32&lt;SCORE!H$2*V32),SCORE!F$2,(IF(AND(X32&gt;=SCORE!G$3*V32, X32&lt;SCORE!H$3*V32),SCORE!A$3,(IF(AND(X32&gt;=SCORE!G$4*V32, X32&lt;SCORE!H$4*V32),SCORE!A$4,(IF(AND(X32&gt;=SCORE!G$5*V32, X32&lt;SCORE!H$5*V32),SCORE!A$5,(IF(SCORE!G$6*'DATASET 102018'!V32&lt;=X32,SCORE!A$6,0)))))))))</f>
        <v>Low</v>
      </c>
      <c r="Z32" s="42">
        <v>0</v>
      </c>
      <c r="AA32" s="42">
        <v>0</v>
      </c>
      <c r="AB32" s="42">
        <v>119</v>
      </c>
      <c r="AC32" s="42">
        <v>15</v>
      </c>
      <c r="AD32" s="42">
        <v>84</v>
      </c>
      <c r="AE32" s="42">
        <v>298</v>
      </c>
    </row>
    <row r="33" spans="1:31" x14ac:dyDescent="0.3">
      <c r="A33">
        <f t="shared" si="1"/>
        <v>32</v>
      </c>
      <c r="B33" s="43" t="s">
        <v>119</v>
      </c>
      <c r="C33" s="43">
        <v>4236</v>
      </c>
      <c r="D33" s="43">
        <v>4350</v>
      </c>
      <c r="E33" s="42">
        <f t="shared" si="0"/>
        <v>4293</v>
      </c>
      <c r="F33" s="43">
        <v>2</v>
      </c>
      <c r="G33" s="43" t="s">
        <v>385</v>
      </c>
      <c r="H33" s="43" t="s">
        <v>371</v>
      </c>
      <c r="I33" s="43">
        <v>60</v>
      </c>
      <c r="J33" s="43">
        <v>2.89</v>
      </c>
      <c r="K33" s="43" t="s">
        <v>212</v>
      </c>
      <c r="L33" s="43" t="s">
        <v>212</v>
      </c>
      <c r="M33" s="43" t="s">
        <v>212</v>
      </c>
      <c r="N33" s="43" t="s">
        <v>211</v>
      </c>
      <c r="O33" s="43">
        <v>1</v>
      </c>
      <c r="P33" s="27">
        <v>34.960646548212999</v>
      </c>
      <c r="Q33" s="91">
        <f>IF(Tableau14[[#This Row],[F crashes2015]] &lt;&gt; 0, Tableau14[[#This Row],[F &amp; S crashes2015]]/Tableau14[[#This Row],[F crashes2015]], 1)</f>
        <v>1</v>
      </c>
      <c r="R33" s="91" t="str">
        <f>IF( AND(P33&gt;=SCORE!B$2*'DATASET 102018'!Q33, P33&lt;SCORE!C$2*'DATASET 102018'!Q33),SCORE!A$2,(IF(AND(P33&gt;=SCORE!B$3*'DATASET 102018'!Q33,P33&lt;SCORE!C$3*'DATASET 102018'!Q33),SCORE!A$3,(IF(AND(P33&gt;=SCORE!B$4*'DATASET 102018'!Q33,P33&lt;SCORE!C$4*'DATASET 102018'!Q33),SCORE!A$4,(IF(AND(P33&gt;=SCORE!B$5*'DATASET 102018'!Q33,P33&lt;SCORE!C$5*'DATASET 102018'!Q33),SCORE!A$5,(IF(SCORE!B$6*'DATASET 102018'!Q33&lt;=P33,SCORE!A$6,0)))))))))</f>
        <v>High</v>
      </c>
      <c r="S33" s="63">
        <f>Tableau14[[#This Row],[F &amp; S crashes2015]]/4</f>
        <v>0.25</v>
      </c>
      <c r="T33" s="66" t="str">
        <f>IF( AND(S33&gt;=SCORE!G$2*'DATASET 102018'!Q33, S33&lt;SCORE!H$2*'DATASET 102018'!Q33),SCORE!F$2,(IF(AND(S33&gt;=SCORE!G$3*'DATASET 102018'!Q33, S33&lt;SCORE!H$3*'DATASET 102018'!Q33),SCORE!A$3,(IF(AND(S33&gt;=SCORE!G$4*'DATASET 102018'!Q33, S33&lt;SCORE!H$4*'DATASET 102018'!Q33),SCORE!A$4,(IF(AND(S33&gt;=SCORE!G$5*'DATASET 102018'!Q33, S33&lt;SCORE!H$5*'DATASET 102018'!Q33),SCORE!A$5,(IF(SCORE!G$6*'DATASET 102018'!Q33&lt;=S33,SCORE!A$6,0)))))))))</f>
        <v>High</v>
      </c>
      <c r="U33" s="8">
        <f>(Tableau14[[#This Row],[F &amp; S crashes2016]]/Tableau14[[#This Row],[BILLION VEH KM TRAVELLED2016]])</f>
        <v>0</v>
      </c>
      <c r="V33" s="91">
        <f>IF(Tableau14[[#This Row],[F crashes2016]] &lt;&gt; 0, Tableau14[[#This Row],[F &amp; S crashes2016]]/Tableau14[[#This Row],[F crashes2016]], 1)</f>
        <v>1</v>
      </c>
      <c r="W33" s="91" t="str">
        <f>IF(AND(U33&gt;=SCORE!B$2*'DATASET 102018'!V33, U33&lt;SCORE!C$2*'DATASET 102018'!V33),SCORE!A$2,(IF(AND(U33&gt;=SCORE!B$3*'DATASET 102018'!V33, U33&lt;SCORE!C$3*'DATASET 102018'!V33),SCORE!A$3,(IF(AND(U33&gt;=SCORE!B$4*'DATASET 102018'!V33, U33&lt;SCORE!C$4*'DATASET 102018'!V33),SCORE!A$4,(IF(AND(U33&gt;=SCORE!B$5*'DATASET 102018'!V33, U33&lt;SCORE!C$5*'DATASET 102018'!V33),SCORE!A$5,(IF(SCORE!B$6*'DATASET 102018'!V33&lt;=U33,SCORE!A$6,0)))))))))</f>
        <v>Low</v>
      </c>
      <c r="X33" s="8">
        <f>Tableau14[[#This Row],[F &amp; S crashes2016]]/4</f>
        <v>0</v>
      </c>
      <c r="Y33" s="8" t="str">
        <f>IF( AND(X33&gt;=SCORE!G$2*V33, X33&lt;SCORE!H$2*V33),SCORE!F$2,(IF(AND(X33&gt;=SCORE!G$3*V33, X33&lt;SCORE!H$3*V33),SCORE!A$3,(IF(AND(X33&gt;=SCORE!G$4*V33, X33&lt;SCORE!H$4*V33),SCORE!A$4,(IF(AND(X33&gt;=SCORE!G$5*V33, X33&lt;SCORE!H$5*V33),SCORE!A$5,(IF(SCORE!G$6*'DATASET 102018'!V33&lt;=X33,SCORE!A$6,0)))))))))</f>
        <v>Low</v>
      </c>
      <c r="Z33" s="43">
        <v>0</v>
      </c>
      <c r="AA33" s="43">
        <v>0</v>
      </c>
      <c r="AB33" s="43">
        <v>62</v>
      </c>
      <c r="AC33" s="43">
        <v>99</v>
      </c>
      <c r="AD33" s="43">
        <v>42</v>
      </c>
      <c r="AE33" s="43">
        <v>332</v>
      </c>
    </row>
    <row r="34" spans="1:31" x14ac:dyDescent="0.3">
      <c r="A34">
        <f t="shared" si="1"/>
        <v>33</v>
      </c>
      <c r="B34" s="42" t="s">
        <v>97</v>
      </c>
      <c r="C34" s="42">
        <v>11017</v>
      </c>
      <c r="D34" s="42">
        <v>11314</v>
      </c>
      <c r="E34" s="42">
        <f t="shared" si="0"/>
        <v>11165.5</v>
      </c>
      <c r="F34" s="42">
        <v>2</v>
      </c>
      <c r="G34" s="42" t="s">
        <v>384</v>
      </c>
      <c r="H34" s="42" t="s">
        <v>371</v>
      </c>
      <c r="I34" s="42">
        <v>80</v>
      </c>
      <c r="J34" s="42">
        <v>2.25</v>
      </c>
      <c r="K34" s="42" t="s">
        <v>212</v>
      </c>
      <c r="L34" s="42" t="s">
        <v>212</v>
      </c>
      <c r="M34" s="42" t="s">
        <v>212</v>
      </c>
      <c r="N34" s="42" t="s">
        <v>211</v>
      </c>
      <c r="O34" s="42">
        <v>3.5</v>
      </c>
      <c r="P34" s="27">
        <v>454.11257320943412</v>
      </c>
      <c r="Q34" s="91">
        <f>IF(Tableau14[[#This Row],[F crashes2015]] &lt;&gt; 0, Tableau14[[#This Row],[F &amp; S crashes2015]]/Tableau14[[#This Row],[F crashes2015]], 1)</f>
        <v>10.5</v>
      </c>
      <c r="R34" s="91" t="str">
        <f>IF( AND(P34&gt;=SCORE!B$2*'DATASET 102018'!Q34, P34&lt;SCORE!C$2*'DATASET 102018'!Q34),SCORE!A$2,(IF(AND(P34&gt;=SCORE!B$3*'DATASET 102018'!Q34,P34&lt;SCORE!C$3*'DATASET 102018'!Q34),SCORE!A$3,(IF(AND(P34&gt;=SCORE!B$4*'DATASET 102018'!Q34,P34&lt;SCORE!C$4*'DATASET 102018'!Q34),SCORE!A$4,(IF(AND(P34&gt;=SCORE!B$5*'DATASET 102018'!Q34,P34&lt;SCORE!C$5*'DATASET 102018'!Q34),SCORE!A$5,(IF(SCORE!B$6*'DATASET 102018'!Q34&lt;=P34,SCORE!A$6,0)))))))))</f>
        <v>High</v>
      </c>
      <c r="S34" s="66">
        <f>Tableau14[[#This Row],[F &amp; S crashes2015]]/4</f>
        <v>5.25</v>
      </c>
      <c r="T34" s="66" t="str">
        <f>IF( AND(S34&gt;=SCORE!G$2*'DATASET 102018'!Q34, S34&lt;SCORE!H$2*'DATASET 102018'!Q34),SCORE!F$2,(IF(AND(S34&gt;=SCORE!G$3*'DATASET 102018'!Q34, S34&lt;SCORE!H$3*'DATASET 102018'!Q34),SCORE!A$3,(IF(AND(S34&gt;=SCORE!G$4*'DATASET 102018'!Q34, S34&lt;SCORE!H$4*'DATASET 102018'!Q34),SCORE!A$4,(IF(AND(S34&gt;=SCORE!G$5*'DATASET 102018'!Q34, S34&lt;SCORE!H$5*'DATASET 102018'!Q34),SCORE!A$5,(IF(SCORE!G$6*'DATASET 102018'!Q34&lt;=S34,SCORE!A$6,0)))))))))</f>
        <v>High</v>
      </c>
      <c r="U34" s="8">
        <f>(Tableau14[[#This Row],[F &amp; S crashes2016]]/Tableau14[[#This Row],[BILLION VEH KM TRAVELLED2016]])</f>
        <v>505.3640711203069</v>
      </c>
      <c r="V34" s="91">
        <f>IF(Tableau14[[#This Row],[F crashes2016]] &lt;&gt; 0, Tableau14[[#This Row],[F &amp; S crashes2016]]/Tableau14[[#This Row],[F crashes2016]], 1)</f>
        <v>24</v>
      </c>
      <c r="W34" s="91" t="str">
        <f>IF(AND(U34&gt;=SCORE!B$2*'DATASET 102018'!V34, U34&lt;SCORE!C$2*'DATASET 102018'!V34),SCORE!A$2,(IF(AND(U34&gt;=SCORE!B$3*'DATASET 102018'!V34, U34&lt;SCORE!C$3*'DATASET 102018'!V34),SCORE!A$3,(IF(AND(U34&gt;=SCORE!B$4*'DATASET 102018'!V34, U34&lt;SCORE!C$4*'DATASET 102018'!V34),SCORE!A$4,(IF(AND(U34&gt;=SCORE!B$5*'DATASET 102018'!V34, U34&lt;SCORE!C$5*'DATASET 102018'!V34),SCORE!A$5,(IF(SCORE!B$6*'DATASET 102018'!V34&lt;=U34,SCORE!A$6,0)))))))))</f>
        <v>High</v>
      </c>
      <c r="X34" s="8">
        <f>Tableau14[[#This Row],[F &amp; S crashes2016]]/4</f>
        <v>6</v>
      </c>
      <c r="Y34" s="8" t="str">
        <f>IF( AND(X34&gt;=SCORE!G$2*V34, X34&lt;SCORE!H$2*V34),SCORE!F$2,(IF(AND(X34&gt;=SCORE!G$3*V34, X34&lt;SCORE!H$3*V34),SCORE!A$3,(IF(AND(X34&gt;=SCORE!G$4*V34, X34&lt;SCORE!H$4*V34),SCORE!A$4,(IF(AND(X34&gt;=SCORE!G$5*V34, X34&lt;SCORE!H$5*V34),SCORE!A$5,(IF(SCORE!G$6*'DATASET 102018'!V34&lt;=X34,SCORE!A$6,0)))))))))</f>
        <v>High</v>
      </c>
      <c r="Z34" s="42">
        <v>0</v>
      </c>
      <c r="AA34" s="42">
        <v>0</v>
      </c>
      <c r="AB34" s="42">
        <v>31</v>
      </c>
      <c r="AC34" s="42">
        <v>200</v>
      </c>
      <c r="AD34" s="42">
        <v>21</v>
      </c>
      <c r="AE34" s="42">
        <v>351</v>
      </c>
    </row>
    <row r="35" spans="1:31" x14ac:dyDescent="0.3">
      <c r="A35">
        <f t="shared" si="1"/>
        <v>34</v>
      </c>
      <c r="B35" s="43" t="s">
        <v>98</v>
      </c>
      <c r="C35" s="43">
        <v>14163</v>
      </c>
      <c r="D35" s="43">
        <v>14195</v>
      </c>
      <c r="E35" s="42">
        <f t="shared" si="0"/>
        <v>14179</v>
      </c>
      <c r="F35" s="43">
        <v>4</v>
      </c>
      <c r="G35" s="43" t="s">
        <v>384</v>
      </c>
      <c r="H35" s="43" t="s">
        <v>386</v>
      </c>
      <c r="I35" s="43">
        <v>80</v>
      </c>
      <c r="J35" s="43">
        <v>1.87</v>
      </c>
      <c r="K35" s="43" t="s">
        <v>212</v>
      </c>
      <c r="L35" s="43" t="s">
        <v>212</v>
      </c>
      <c r="M35" s="43" t="s">
        <v>212</v>
      </c>
      <c r="N35" s="43" t="s">
        <v>211</v>
      </c>
      <c r="O35" s="43">
        <v>8</v>
      </c>
      <c r="P35" s="27">
        <v>20.192318099117792</v>
      </c>
      <c r="Q35" s="91">
        <f>IF(Tableau14[[#This Row],[F crashes2015]] &lt;&gt; 0, Tableau14[[#This Row],[F &amp; S crashes2015]]/Tableau14[[#This Row],[F crashes2015]], 1)</f>
        <v>1</v>
      </c>
      <c r="R35" s="91" t="str">
        <f>IF( AND(P35&gt;=SCORE!B$2*'DATASET 102018'!Q35, P35&lt;SCORE!C$2*'DATASET 102018'!Q35),SCORE!A$2,(IF(AND(P35&gt;=SCORE!B$3*'DATASET 102018'!Q35,P35&lt;SCORE!C$3*'DATASET 102018'!Q35),SCORE!A$3,(IF(AND(P35&gt;=SCORE!B$4*'DATASET 102018'!Q35,P35&lt;SCORE!C$4*'DATASET 102018'!Q35),SCORE!A$4,(IF(AND(P35&gt;=SCORE!B$5*'DATASET 102018'!Q35,P35&lt;SCORE!C$5*'DATASET 102018'!Q35),SCORE!A$5,(IF(SCORE!B$6*'DATASET 102018'!Q35&lt;=P35,SCORE!A$6,0)))))))))</f>
        <v>High</v>
      </c>
      <c r="S35" s="63">
        <f>Tableau14[[#This Row],[F &amp; S crashes2015]]/4</f>
        <v>1.25</v>
      </c>
      <c r="T35" s="66" t="str">
        <f>IF( AND(S35&gt;=SCORE!G$2*'DATASET 102018'!Q35, S35&lt;SCORE!H$2*'DATASET 102018'!Q35),SCORE!F$2,(IF(AND(S35&gt;=SCORE!G$3*'DATASET 102018'!Q35, S35&lt;SCORE!H$3*'DATASET 102018'!Q35),SCORE!A$3,(IF(AND(S35&gt;=SCORE!G$4*'DATASET 102018'!Q35, S35&lt;SCORE!H$4*'DATASET 102018'!Q35),SCORE!A$4,(IF(AND(S35&gt;=SCORE!G$5*'DATASET 102018'!Q35, S35&lt;SCORE!H$5*'DATASET 102018'!Q35),SCORE!A$5,(IF(SCORE!G$6*'DATASET 102018'!Q35&lt;=S35,SCORE!A$6,0)))))))))</f>
        <v>High</v>
      </c>
      <c r="U35" s="8">
        <f>(Tableau14[[#This Row],[F &amp; S crashes2016]]/Tableau14[[#This Row],[BILLION VEH KM TRAVELLED2016]])</f>
        <v>12.088075409766114</v>
      </c>
      <c r="V35" s="91">
        <f>IF(Tableau14[[#This Row],[F crashes2016]] &lt;&gt; 0, Tableau14[[#This Row],[F &amp; S crashes2016]]/Tableau14[[#This Row],[F crashes2016]], 1)</f>
        <v>3</v>
      </c>
      <c r="W35" s="91" t="str">
        <f>IF(AND(U35&gt;=SCORE!B$2*'DATASET 102018'!V35, U35&lt;SCORE!C$2*'DATASET 102018'!V35),SCORE!A$2,(IF(AND(U35&gt;=SCORE!B$3*'DATASET 102018'!V35, U35&lt;SCORE!C$3*'DATASET 102018'!V35),SCORE!A$3,(IF(AND(U35&gt;=SCORE!B$4*'DATASET 102018'!V35, U35&lt;SCORE!C$4*'DATASET 102018'!V35),SCORE!A$4,(IF(AND(U35&gt;=SCORE!B$5*'DATASET 102018'!V35, U35&lt;SCORE!C$5*'DATASET 102018'!V35),SCORE!A$5,(IF(SCORE!B$6*'DATASET 102018'!V35&lt;=U35,SCORE!A$6,0)))))))))</f>
        <v>Low-medium</v>
      </c>
      <c r="X35" s="8">
        <f>Tableau14[[#This Row],[F &amp; S crashes2016]]/4</f>
        <v>0.75</v>
      </c>
      <c r="Y35" s="8" t="str">
        <f>IF( AND(X35&gt;=SCORE!G$2*V35, X35&lt;SCORE!H$2*V35),SCORE!F$2,(IF(AND(X35&gt;=SCORE!G$3*V35, X35&lt;SCORE!H$3*V35),SCORE!A$3,(IF(AND(X35&gt;=SCORE!G$4*V35, X35&lt;SCORE!H$4*V35),SCORE!A$4,(IF(AND(X35&gt;=SCORE!G$5*V35, X35&lt;SCORE!H$5*V35),SCORE!A$5,(IF(SCORE!G$6*'DATASET 102018'!V35&lt;=X35,SCORE!A$6,0)))))))))</f>
        <v>High</v>
      </c>
      <c r="Z35" s="43">
        <v>0</v>
      </c>
      <c r="AA35" s="43">
        <v>0</v>
      </c>
      <c r="AB35" s="43">
        <v>39</v>
      </c>
      <c r="AC35" s="43">
        <v>149</v>
      </c>
      <c r="AD35" s="43">
        <v>1</v>
      </c>
      <c r="AE35" s="43">
        <v>115</v>
      </c>
    </row>
    <row r="36" spans="1:31" x14ac:dyDescent="0.3">
      <c r="A36">
        <f t="shared" si="1"/>
        <v>35</v>
      </c>
      <c r="B36" s="42" t="s">
        <v>95</v>
      </c>
      <c r="C36" s="42">
        <v>18701</v>
      </c>
      <c r="D36" s="42">
        <v>18875</v>
      </c>
      <c r="E36" s="42">
        <f t="shared" si="0"/>
        <v>18788</v>
      </c>
      <c r="F36" s="42">
        <v>2</v>
      </c>
      <c r="G36" s="42" t="s">
        <v>384</v>
      </c>
      <c r="H36" s="42" t="s">
        <v>371</v>
      </c>
      <c r="I36" s="42">
        <v>60</v>
      </c>
      <c r="J36" s="42">
        <v>1.74</v>
      </c>
      <c r="K36" s="42" t="s">
        <v>212</v>
      </c>
      <c r="L36" s="42" t="s">
        <v>212</v>
      </c>
      <c r="M36" s="42" t="s">
        <v>212</v>
      </c>
      <c r="N36" s="42" t="s">
        <v>211</v>
      </c>
      <c r="O36" s="42">
        <v>1</v>
      </c>
      <c r="P36" s="27">
        <v>97.667719280511207</v>
      </c>
      <c r="Q36" s="91">
        <f>IF(Tableau14[[#This Row],[F crashes2015]] &lt;&gt; 0, Tableau14[[#This Row],[F &amp; S crashes2015]]/Tableau14[[#This Row],[F crashes2015]], 1)</f>
        <v>2</v>
      </c>
      <c r="R36" s="91" t="str">
        <f>IF( AND(P36&gt;=SCORE!B$2*'DATASET 102018'!Q36, P36&lt;SCORE!C$2*'DATASET 102018'!Q36),SCORE!A$2,(IF(AND(P36&gt;=SCORE!B$3*'DATASET 102018'!Q36,P36&lt;SCORE!C$3*'DATASET 102018'!Q36),SCORE!A$3,(IF(AND(P36&gt;=SCORE!B$4*'DATASET 102018'!Q36,P36&lt;SCORE!C$4*'DATASET 102018'!Q36),SCORE!A$4,(IF(AND(P36&gt;=SCORE!B$5*'DATASET 102018'!Q36,P36&lt;SCORE!C$5*'DATASET 102018'!Q36),SCORE!A$5,(IF(SCORE!B$6*'DATASET 102018'!Q36&lt;=P36,SCORE!A$6,0)))))))))</f>
        <v>High</v>
      </c>
      <c r="S36" s="66">
        <f>Tableau14[[#This Row],[F &amp; S crashes2015]]/4</f>
        <v>2</v>
      </c>
      <c r="T36" s="66" t="str">
        <f>IF( AND(S36&gt;=SCORE!G$2*'DATASET 102018'!Q36, S36&lt;SCORE!H$2*'DATASET 102018'!Q36),SCORE!F$2,(IF(AND(S36&gt;=SCORE!G$3*'DATASET 102018'!Q36, S36&lt;SCORE!H$3*'DATASET 102018'!Q36),SCORE!A$3,(IF(AND(S36&gt;=SCORE!G$4*'DATASET 102018'!Q36, S36&lt;SCORE!H$4*'DATASET 102018'!Q36),SCORE!A$4,(IF(AND(S36&gt;=SCORE!G$5*'DATASET 102018'!Q36, S36&lt;SCORE!H$5*'DATASET 102018'!Q36),SCORE!A$5,(IF(SCORE!G$6*'DATASET 102018'!Q36&lt;=S36,SCORE!A$6,0)))))))))</f>
        <v>High</v>
      </c>
      <c r="U36" s="8">
        <f>(Tableau14[[#This Row],[F &amp; S crashes2016]]/Tableau14[[#This Row],[BILLION VEH KM TRAVELLED2016]])</f>
        <v>48.383682603042125</v>
      </c>
      <c r="V36" s="91">
        <f>IF(Tableau14[[#This Row],[F crashes2016]] &lt;&gt; 0, Tableau14[[#This Row],[F &amp; S crashes2016]]/Tableau14[[#This Row],[F crashes2016]], 1)</f>
        <v>4</v>
      </c>
      <c r="W36" s="91" t="str">
        <f>IF(AND(U36&gt;=SCORE!B$2*'DATASET 102018'!V36, U36&lt;SCORE!C$2*'DATASET 102018'!V36),SCORE!A$2,(IF(AND(U36&gt;=SCORE!B$3*'DATASET 102018'!V36, U36&lt;SCORE!C$3*'DATASET 102018'!V36),SCORE!A$3,(IF(AND(U36&gt;=SCORE!B$4*'DATASET 102018'!V36, U36&lt;SCORE!C$4*'DATASET 102018'!V36),SCORE!A$4,(IF(AND(U36&gt;=SCORE!B$5*'DATASET 102018'!V36, U36&lt;SCORE!C$5*'DATASET 102018'!V36),SCORE!A$5,(IF(SCORE!B$6*'DATASET 102018'!V36&lt;=U36,SCORE!A$6,0)))))))))</f>
        <v>Medium-high</v>
      </c>
      <c r="X36" s="8">
        <f>Tableau14[[#This Row],[F &amp; S crashes2016]]/4</f>
        <v>1</v>
      </c>
      <c r="Y36" s="8" t="str">
        <f>IF( AND(X36&gt;=SCORE!G$2*V36, X36&lt;SCORE!H$2*V36),SCORE!F$2,(IF(AND(X36&gt;=SCORE!G$3*V36, X36&lt;SCORE!H$3*V36),SCORE!A$3,(IF(AND(X36&gt;=SCORE!G$4*V36, X36&lt;SCORE!H$4*V36),SCORE!A$4,(IF(AND(X36&gt;=SCORE!G$5*V36, X36&lt;SCORE!H$5*V36),SCORE!A$5,(IF(SCORE!G$6*'DATASET 102018'!V36&lt;=X36,SCORE!A$6,0)))))))))</f>
        <v>High</v>
      </c>
      <c r="Z36" s="42">
        <v>0</v>
      </c>
      <c r="AA36" s="42">
        <v>0</v>
      </c>
      <c r="AB36" s="42">
        <v>140</v>
      </c>
      <c r="AC36" s="42">
        <v>189</v>
      </c>
      <c r="AD36" s="42">
        <v>84</v>
      </c>
      <c r="AE36" s="42">
        <v>357</v>
      </c>
    </row>
    <row r="37" spans="1:31" x14ac:dyDescent="0.3">
      <c r="A37">
        <f t="shared" si="1"/>
        <v>36</v>
      </c>
      <c r="B37" s="43" t="s">
        <v>96</v>
      </c>
      <c r="C37" s="43">
        <v>18701</v>
      </c>
      <c r="D37" s="43">
        <v>18875</v>
      </c>
      <c r="E37" s="42">
        <f t="shared" si="0"/>
        <v>18788</v>
      </c>
      <c r="F37" s="43">
        <v>2</v>
      </c>
      <c r="G37" s="43" t="s">
        <v>384</v>
      </c>
      <c r="H37" s="43" t="s">
        <v>371</v>
      </c>
      <c r="I37" s="43">
        <v>60</v>
      </c>
      <c r="J37" s="43">
        <v>1.74</v>
      </c>
      <c r="K37" s="43" t="s">
        <v>212</v>
      </c>
      <c r="L37" s="43" t="s">
        <v>212</v>
      </c>
      <c r="M37" s="43" t="s">
        <v>212</v>
      </c>
      <c r="N37" s="43" t="s">
        <v>211</v>
      </c>
      <c r="O37" s="43">
        <v>1</v>
      </c>
      <c r="P37" s="27">
        <v>97.667719280511207</v>
      </c>
      <c r="Q37" s="91">
        <f>IF(Tableau14[[#This Row],[F crashes2015]] &lt;&gt; 0, Tableau14[[#This Row],[F &amp; S crashes2015]]/Tableau14[[#This Row],[F crashes2015]], 1)</f>
        <v>2</v>
      </c>
      <c r="R37" s="91" t="str">
        <f>IF( AND(P37&gt;=SCORE!B$2*'DATASET 102018'!Q37, P37&lt;SCORE!C$2*'DATASET 102018'!Q37),SCORE!A$2,(IF(AND(P37&gt;=SCORE!B$3*'DATASET 102018'!Q37,P37&lt;SCORE!C$3*'DATASET 102018'!Q37),SCORE!A$3,(IF(AND(P37&gt;=SCORE!B$4*'DATASET 102018'!Q37,P37&lt;SCORE!C$4*'DATASET 102018'!Q37),SCORE!A$4,(IF(AND(P37&gt;=SCORE!B$5*'DATASET 102018'!Q37,P37&lt;SCORE!C$5*'DATASET 102018'!Q37),SCORE!A$5,(IF(SCORE!B$6*'DATASET 102018'!Q37&lt;=P37,SCORE!A$6,0)))))))))</f>
        <v>High</v>
      </c>
      <c r="S37" s="63">
        <f>Tableau14[[#This Row],[F &amp; S crashes2015]]/4</f>
        <v>2</v>
      </c>
      <c r="T37" s="66" t="str">
        <f>IF( AND(S37&gt;=SCORE!G$2*'DATASET 102018'!Q37, S37&lt;SCORE!H$2*'DATASET 102018'!Q37),SCORE!F$2,(IF(AND(S37&gt;=SCORE!G$3*'DATASET 102018'!Q37, S37&lt;SCORE!H$3*'DATASET 102018'!Q37),SCORE!A$3,(IF(AND(S37&gt;=SCORE!G$4*'DATASET 102018'!Q37, S37&lt;SCORE!H$4*'DATASET 102018'!Q37),SCORE!A$4,(IF(AND(S37&gt;=SCORE!G$5*'DATASET 102018'!Q37, S37&lt;SCORE!H$5*'DATASET 102018'!Q37),SCORE!A$5,(IF(SCORE!G$6*'DATASET 102018'!Q37&lt;=S37,SCORE!A$6,0)))))))))</f>
        <v>High</v>
      </c>
      <c r="U37" s="8">
        <f>(Tableau14[[#This Row],[F &amp; S crashes2016]]/Tableau14[[#This Row],[BILLION VEH KM TRAVELLED2016]])</f>
        <v>48.383682603042125</v>
      </c>
      <c r="V37" s="91">
        <f>IF(Tableau14[[#This Row],[F crashes2016]] &lt;&gt; 0, Tableau14[[#This Row],[F &amp; S crashes2016]]/Tableau14[[#This Row],[F crashes2016]], 1)</f>
        <v>4</v>
      </c>
      <c r="W37" s="91" t="str">
        <f>IF(AND(U37&gt;=SCORE!B$2*'DATASET 102018'!V37, U37&lt;SCORE!C$2*'DATASET 102018'!V37),SCORE!A$2,(IF(AND(U37&gt;=SCORE!B$3*'DATASET 102018'!V37, U37&lt;SCORE!C$3*'DATASET 102018'!V37),SCORE!A$3,(IF(AND(U37&gt;=SCORE!B$4*'DATASET 102018'!V37, U37&lt;SCORE!C$4*'DATASET 102018'!V37),SCORE!A$4,(IF(AND(U37&gt;=SCORE!B$5*'DATASET 102018'!V37, U37&lt;SCORE!C$5*'DATASET 102018'!V37),SCORE!A$5,(IF(SCORE!B$6*'DATASET 102018'!V37&lt;=U37,SCORE!A$6,0)))))))))</f>
        <v>Medium-high</v>
      </c>
      <c r="X37" s="8">
        <f>Tableau14[[#This Row],[F &amp; S crashes2016]]/4</f>
        <v>1</v>
      </c>
      <c r="Y37" s="8" t="str">
        <f>IF( AND(X37&gt;=SCORE!G$2*V37, X37&lt;SCORE!H$2*V37),SCORE!F$2,(IF(AND(X37&gt;=SCORE!G$3*V37, X37&lt;SCORE!H$3*V37),SCORE!A$3,(IF(AND(X37&gt;=SCORE!G$4*V37, X37&lt;SCORE!H$4*V37),SCORE!A$4,(IF(AND(X37&gt;=SCORE!G$5*V37, X37&lt;SCORE!H$5*V37),SCORE!A$5,(IF(SCORE!G$6*'DATASET 102018'!V37&lt;=X37,SCORE!A$6,0)))))))))</f>
        <v>High</v>
      </c>
      <c r="Z37" s="43">
        <v>0</v>
      </c>
      <c r="AA37" s="43">
        <v>0</v>
      </c>
      <c r="AB37" s="43">
        <v>111</v>
      </c>
      <c r="AC37" s="43">
        <v>208</v>
      </c>
      <c r="AD37" s="43">
        <v>67</v>
      </c>
      <c r="AE37" s="43">
        <v>357</v>
      </c>
    </row>
    <row r="38" spans="1:31" x14ac:dyDescent="0.3">
      <c r="A38">
        <f t="shared" si="1"/>
        <v>37</v>
      </c>
      <c r="B38" s="42" t="s">
        <v>306</v>
      </c>
      <c r="C38" s="42">
        <v>16271</v>
      </c>
      <c r="D38" s="42">
        <v>16256</v>
      </c>
      <c r="E38" s="42">
        <f t="shared" si="0"/>
        <v>16263.5</v>
      </c>
      <c r="F38" s="42">
        <v>2</v>
      </c>
      <c r="G38" s="42" t="s">
        <v>385</v>
      </c>
      <c r="H38" s="42" t="s">
        <v>371</v>
      </c>
      <c r="I38" s="42">
        <v>60</v>
      </c>
      <c r="J38" s="42">
        <v>7.66</v>
      </c>
      <c r="K38" s="42" t="s">
        <v>212</v>
      </c>
      <c r="L38" s="42" t="s">
        <v>212</v>
      </c>
      <c r="M38" s="42" t="s">
        <v>212</v>
      </c>
      <c r="N38" s="42" t="s">
        <v>211</v>
      </c>
      <c r="O38" s="42">
        <v>1</v>
      </c>
      <c r="P38" s="27">
        <v>0</v>
      </c>
      <c r="Q38" s="91">
        <f>IF(Tableau14[[#This Row],[F crashes2015]] &lt;&gt; 0, Tableau14[[#This Row],[F &amp; S crashes2015]]/Tableau14[[#This Row],[F crashes2015]], 1)</f>
        <v>1</v>
      </c>
      <c r="R38" s="91" t="str">
        <f>IF( AND(P38&gt;=SCORE!B$2*'DATASET 102018'!Q38, P38&lt;SCORE!C$2*'DATASET 102018'!Q38),SCORE!A$2,(IF(AND(P38&gt;=SCORE!B$3*'DATASET 102018'!Q38,P38&lt;SCORE!C$3*'DATASET 102018'!Q38),SCORE!A$3,(IF(AND(P38&gt;=SCORE!B$4*'DATASET 102018'!Q38,P38&lt;SCORE!C$4*'DATASET 102018'!Q38),SCORE!A$4,(IF(AND(P38&gt;=SCORE!B$5*'DATASET 102018'!Q38,P38&lt;SCORE!C$5*'DATASET 102018'!Q38),SCORE!A$5,(IF(SCORE!B$6*'DATASET 102018'!Q38&lt;=P38,SCORE!A$6,0)))))))))</f>
        <v>Low</v>
      </c>
      <c r="S38" s="68">
        <f>Tableau14[[#This Row],[F &amp; S crashes2015]]/4</f>
        <v>0</v>
      </c>
      <c r="T38" s="66" t="str">
        <f>IF( AND(S38&gt;=SCORE!G$2*'DATASET 102018'!Q38, S38&lt;SCORE!H$2*'DATASET 102018'!Q38),SCORE!F$2,(IF(AND(S38&gt;=SCORE!G$3*'DATASET 102018'!Q38, S38&lt;SCORE!H$3*'DATASET 102018'!Q38),SCORE!A$3,(IF(AND(S38&gt;=SCORE!G$4*'DATASET 102018'!Q38, S38&lt;SCORE!H$4*'DATASET 102018'!Q38),SCORE!A$4,(IF(AND(S38&gt;=SCORE!G$5*'DATASET 102018'!Q38, S38&lt;SCORE!H$5*'DATASET 102018'!Q38),SCORE!A$5,(IF(SCORE!G$6*'DATASET 102018'!Q38&lt;=S38,SCORE!A$6,0)))))))))</f>
        <v>Low</v>
      </c>
      <c r="U38" s="8">
        <f>(Tableau14[[#This Row],[F &amp; S crashes2016]]/Tableau14[[#This Row],[BILLION VEH KM TRAVELLED2016]])</f>
        <v>16.523186202346409</v>
      </c>
      <c r="V38" s="91">
        <f>IF(Tableau14[[#This Row],[F crashes2016]] &lt;&gt; 0, Tableau14[[#This Row],[F &amp; S crashes2016]]/Tableau14[[#This Row],[F crashes2016]], 1)</f>
        <v>1</v>
      </c>
      <c r="W38" s="91" t="str">
        <f>IF(AND(U38&gt;=SCORE!B$2*'DATASET 102018'!V38, U38&lt;SCORE!C$2*'DATASET 102018'!V38),SCORE!A$2,(IF(AND(U38&gt;=SCORE!B$3*'DATASET 102018'!V38, U38&lt;SCORE!C$3*'DATASET 102018'!V38),SCORE!A$3,(IF(AND(U38&gt;=SCORE!B$4*'DATASET 102018'!V38, U38&lt;SCORE!C$4*'DATASET 102018'!V38),SCORE!A$4,(IF(AND(U38&gt;=SCORE!B$5*'DATASET 102018'!V38, U38&lt;SCORE!C$5*'DATASET 102018'!V38),SCORE!A$5,(IF(SCORE!B$6*'DATASET 102018'!V38&lt;=U38,SCORE!A$6,0)))))))))</f>
        <v>High</v>
      </c>
      <c r="X38" s="8">
        <f>Tableau14[[#This Row],[F &amp; S crashes2016]]/4</f>
        <v>0.25</v>
      </c>
      <c r="Y38" s="8" t="str">
        <f>IF( AND(X38&gt;=SCORE!G$2*V38, X38&lt;SCORE!H$2*V38),SCORE!F$2,(IF(AND(X38&gt;=SCORE!G$3*V38, X38&lt;SCORE!H$3*V38),SCORE!A$3,(IF(AND(X38&gt;=SCORE!G$4*V38, X38&lt;SCORE!H$4*V38),SCORE!A$4,(IF(AND(X38&gt;=SCORE!G$5*V38, X38&lt;SCORE!H$5*V38),SCORE!A$5,(IF(SCORE!G$6*'DATASET 102018'!V38&lt;=X38,SCORE!A$6,0)))))))))</f>
        <v>High</v>
      </c>
      <c r="Z38" s="42">
        <v>565</v>
      </c>
      <c r="AA38" s="42">
        <v>3</v>
      </c>
      <c r="AB38" s="42">
        <v>356</v>
      </c>
      <c r="AC38" s="42">
        <v>248</v>
      </c>
      <c r="AD38" s="42">
        <v>162</v>
      </c>
      <c r="AE38" s="42">
        <v>364</v>
      </c>
    </row>
    <row r="39" spans="1:31" x14ac:dyDescent="0.3">
      <c r="A39">
        <f t="shared" si="1"/>
        <v>38</v>
      </c>
      <c r="B39" s="43" t="s">
        <v>307</v>
      </c>
      <c r="C39" s="43">
        <v>16271</v>
      </c>
      <c r="D39" s="43">
        <v>16256</v>
      </c>
      <c r="E39" s="42">
        <f t="shared" si="0"/>
        <v>16263.5</v>
      </c>
      <c r="F39" s="43">
        <v>2</v>
      </c>
      <c r="G39" s="43" t="s">
        <v>384</v>
      </c>
      <c r="H39" s="43" t="s">
        <v>371</v>
      </c>
      <c r="I39" s="43">
        <v>60</v>
      </c>
      <c r="J39" s="43">
        <v>7.66</v>
      </c>
      <c r="K39" s="43" t="s">
        <v>212</v>
      </c>
      <c r="L39" s="43" t="s">
        <v>212</v>
      </c>
      <c r="M39" s="43" t="s">
        <v>212</v>
      </c>
      <c r="N39" s="43" t="s">
        <v>211</v>
      </c>
      <c r="O39" s="43">
        <v>1</v>
      </c>
      <c r="P39" s="27">
        <v>0</v>
      </c>
      <c r="Q39" s="91">
        <f>IF(Tableau14[[#This Row],[F crashes2015]] &lt;&gt; 0, Tableau14[[#This Row],[F &amp; S crashes2015]]/Tableau14[[#This Row],[F crashes2015]], 1)</f>
        <v>1</v>
      </c>
      <c r="R39" s="91" t="str">
        <f>IF( AND(P39&gt;=SCORE!B$2*'DATASET 102018'!Q39, P39&lt;SCORE!C$2*'DATASET 102018'!Q39),SCORE!A$2,(IF(AND(P39&gt;=SCORE!B$3*'DATASET 102018'!Q39,P39&lt;SCORE!C$3*'DATASET 102018'!Q39),SCORE!A$3,(IF(AND(P39&gt;=SCORE!B$4*'DATASET 102018'!Q39,P39&lt;SCORE!C$4*'DATASET 102018'!Q39),SCORE!A$4,(IF(AND(P39&gt;=SCORE!B$5*'DATASET 102018'!Q39,P39&lt;SCORE!C$5*'DATASET 102018'!Q39),SCORE!A$5,(IF(SCORE!B$6*'DATASET 102018'!Q39&lt;=P39,SCORE!A$6,0)))))))))</f>
        <v>Low</v>
      </c>
      <c r="S39" s="71">
        <f>Tableau14[[#This Row],[F &amp; S crashes2015]]/4</f>
        <v>0</v>
      </c>
      <c r="T39" s="66" t="str">
        <f>IF( AND(S39&gt;=SCORE!G$2*'DATASET 102018'!Q39, S39&lt;SCORE!H$2*'DATASET 102018'!Q39),SCORE!F$2,(IF(AND(S39&gt;=SCORE!G$3*'DATASET 102018'!Q39, S39&lt;SCORE!H$3*'DATASET 102018'!Q39),SCORE!A$3,(IF(AND(S39&gt;=SCORE!G$4*'DATASET 102018'!Q39, S39&lt;SCORE!H$4*'DATASET 102018'!Q39),SCORE!A$4,(IF(AND(S39&gt;=SCORE!G$5*'DATASET 102018'!Q39, S39&lt;SCORE!H$5*'DATASET 102018'!Q39),SCORE!A$5,(IF(SCORE!G$6*'DATASET 102018'!Q39&lt;=S39,SCORE!A$6,0)))))))))</f>
        <v>Low</v>
      </c>
      <c r="U39" s="8">
        <f>(Tableau14[[#This Row],[F &amp; S crashes2016]]/Tableau14[[#This Row],[BILLION VEH KM TRAVELLED2016]])</f>
        <v>16.523186202346409</v>
      </c>
      <c r="V39" s="91">
        <f>IF(Tableau14[[#This Row],[F crashes2016]] &lt;&gt; 0, Tableau14[[#This Row],[F &amp; S crashes2016]]/Tableau14[[#This Row],[F crashes2016]], 1)</f>
        <v>1</v>
      </c>
      <c r="W39" s="91" t="str">
        <f>IF(AND(U39&gt;=SCORE!B$2*'DATASET 102018'!V39, U39&lt;SCORE!C$2*'DATASET 102018'!V39),SCORE!A$2,(IF(AND(U39&gt;=SCORE!B$3*'DATASET 102018'!V39, U39&lt;SCORE!C$3*'DATASET 102018'!V39),SCORE!A$3,(IF(AND(U39&gt;=SCORE!B$4*'DATASET 102018'!V39, U39&lt;SCORE!C$4*'DATASET 102018'!V39),SCORE!A$4,(IF(AND(U39&gt;=SCORE!B$5*'DATASET 102018'!V39, U39&lt;SCORE!C$5*'DATASET 102018'!V39),SCORE!A$5,(IF(SCORE!B$6*'DATASET 102018'!V39&lt;=U39,SCORE!A$6,0)))))))))</f>
        <v>High</v>
      </c>
      <c r="X39" s="8">
        <f>Tableau14[[#This Row],[F &amp; S crashes2016]]/4</f>
        <v>0.25</v>
      </c>
      <c r="Y39" s="8" t="str">
        <f>IF( AND(X39&gt;=SCORE!G$2*V39, X39&lt;SCORE!H$2*V39),SCORE!F$2,(IF(AND(X39&gt;=SCORE!G$3*V39, X39&lt;SCORE!H$3*V39),SCORE!A$3,(IF(AND(X39&gt;=SCORE!G$4*V39, X39&lt;SCORE!H$4*V39),SCORE!A$4,(IF(AND(X39&gt;=SCORE!G$5*V39, X39&lt;SCORE!H$5*V39),SCORE!A$5,(IF(SCORE!G$6*'DATASET 102018'!V39&lt;=X39,SCORE!A$6,0)))))))))</f>
        <v>High</v>
      </c>
      <c r="Z39" s="43">
        <v>509</v>
      </c>
      <c r="AA39" s="43">
        <v>83</v>
      </c>
      <c r="AB39" s="43">
        <v>305</v>
      </c>
      <c r="AC39" s="43">
        <v>358</v>
      </c>
      <c r="AD39" s="43">
        <v>112</v>
      </c>
      <c r="AE39" s="43">
        <v>364</v>
      </c>
    </row>
    <row r="40" spans="1:31" x14ac:dyDescent="0.3">
      <c r="A40">
        <f t="shared" si="1"/>
        <v>39</v>
      </c>
      <c r="B40" s="42" t="s">
        <v>126</v>
      </c>
      <c r="C40" s="42">
        <v>6285</v>
      </c>
      <c r="D40" s="42">
        <v>5868</v>
      </c>
      <c r="E40" s="42">
        <f t="shared" si="0"/>
        <v>6076.5</v>
      </c>
      <c r="F40" s="42">
        <v>2</v>
      </c>
      <c r="G40" s="42" t="s">
        <v>384</v>
      </c>
      <c r="H40" s="42" t="s">
        <v>371</v>
      </c>
      <c r="I40" s="42">
        <v>100</v>
      </c>
      <c r="J40" s="42">
        <v>6.57</v>
      </c>
      <c r="K40" s="42" t="s">
        <v>212</v>
      </c>
      <c r="L40" s="42" t="s">
        <v>212</v>
      </c>
      <c r="M40" s="42" t="s">
        <v>212</v>
      </c>
      <c r="N40" s="42" t="s">
        <v>211</v>
      </c>
      <c r="O40" s="42">
        <v>3.59</v>
      </c>
      <c r="P40" s="27">
        <v>0</v>
      </c>
      <c r="Q40" s="91">
        <f>IF(Tableau14[[#This Row],[F crashes2015]] &lt;&gt; 0, Tableau14[[#This Row],[F &amp; S crashes2015]]/Tableau14[[#This Row],[F crashes2015]], 1)</f>
        <v>1</v>
      </c>
      <c r="R40" s="91" t="str">
        <f>IF( AND(P40&gt;=SCORE!B$2*'DATASET 102018'!Q40, P40&lt;SCORE!C$2*'DATASET 102018'!Q40),SCORE!A$2,(IF(AND(P40&gt;=SCORE!B$3*'DATASET 102018'!Q40,P40&lt;SCORE!C$3*'DATASET 102018'!Q40),SCORE!A$3,(IF(AND(P40&gt;=SCORE!B$4*'DATASET 102018'!Q40,P40&lt;SCORE!C$4*'DATASET 102018'!Q40),SCORE!A$4,(IF(AND(P40&gt;=SCORE!B$5*'DATASET 102018'!Q40,P40&lt;SCORE!C$5*'DATASET 102018'!Q40),SCORE!A$5,(IF(SCORE!B$6*'DATASET 102018'!Q40&lt;=P40,SCORE!A$6,0)))))))))</f>
        <v>Low</v>
      </c>
      <c r="S40" s="66">
        <f>Tableau14[[#This Row],[F &amp; S crashes2015]]/4</f>
        <v>0</v>
      </c>
      <c r="T40" s="66" t="str">
        <f>IF( AND(S40&gt;=SCORE!G$2*'DATASET 102018'!Q40, S40&lt;SCORE!H$2*'DATASET 102018'!Q40),SCORE!F$2,(IF(AND(S40&gt;=SCORE!G$3*'DATASET 102018'!Q40, S40&lt;SCORE!H$3*'DATASET 102018'!Q40),SCORE!A$3,(IF(AND(S40&gt;=SCORE!G$4*'DATASET 102018'!Q40, S40&lt;SCORE!H$4*'DATASET 102018'!Q40),SCORE!A$4,(IF(AND(S40&gt;=SCORE!G$5*'DATASET 102018'!Q40, S40&lt;SCORE!H$5*'DATASET 102018'!Q40),SCORE!A$5,(IF(SCORE!G$6*'DATASET 102018'!Q40&lt;=S40,SCORE!A$6,0)))))))))</f>
        <v>Low</v>
      </c>
      <c r="U40" s="8">
        <f>(Tableau14[[#This Row],[F &amp; S crashes2016]]/Tableau14[[#This Row],[BILLION VEH KM TRAVELLED2016]])</f>
        <v>12.384397838377664</v>
      </c>
      <c r="V40" s="91">
        <f>IF(Tableau14[[#This Row],[F crashes2016]] &lt;&gt; 0, Tableau14[[#This Row],[F &amp; S crashes2016]]/Tableau14[[#This Row],[F crashes2016]], 1)</f>
        <v>1</v>
      </c>
      <c r="W40" s="91" t="str">
        <f>IF(AND(U40&gt;=SCORE!B$2*'DATASET 102018'!V40, U40&lt;SCORE!C$2*'DATASET 102018'!V40),SCORE!A$2,(IF(AND(U40&gt;=SCORE!B$3*'DATASET 102018'!V40, U40&lt;SCORE!C$3*'DATASET 102018'!V40),SCORE!A$3,(IF(AND(U40&gt;=SCORE!B$4*'DATASET 102018'!V40, U40&lt;SCORE!C$4*'DATASET 102018'!V40),SCORE!A$4,(IF(AND(U40&gt;=SCORE!B$5*'DATASET 102018'!V40, U40&lt;SCORE!C$5*'DATASET 102018'!V40),SCORE!A$5,(IF(SCORE!B$6*'DATASET 102018'!V40&lt;=U40,SCORE!A$6,0)))))))))</f>
        <v>Medium-high</v>
      </c>
      <c r="X40" s="8">
        <f>Tableau14[[#This Row],[F &amp; S crashes2016]]/4</f>
        <v>0.25</v>
      </c>
      <c r="Y40" s="8" t="str">
        <f>IF( AND(X40&gt;=SCORE!G$2*V40, X40&lt;SCORE!H$2*V40),SCORE!F$2,(IF(AND(X40&gt;=SCORE!G$3*V40, X40&lt;SCORE!H$3*V40),SCORE!A$3,(IF(AND(X40&gt;=SCORE!G$4*V40, X40&lt;SCORE!H$4*V40),SCORE!A$4,(IF(AND(X40&gt;=SCORE!G$5*V40, X40&lt;SCORE!H$5*V40),SCORE!A$5,(IF(SCORE!G$6*'DATASET 102018'!V40&lt;=X40,SCORE!A$6,0)))))))))</f>
        <v>High</v>
      </c>
      <c r="Z40" s="42">
        <v>0</v>
      </c>
      <c r="AA40" s="42">
        <v>0</v>
      </c>
      <c r="AB40" s="42">
        <v>2</v>
      </c>
      <c r="AC40" s="42">
        <v>145</v>
      </c>
      <c r="AD40" s="42">
        <v>97</v>
      </c>
      <c r="AE40" s="42">
        <v>332</v>
      </c>
    </row>
    <row r="41" spans="1:31" x14ac:dyDescent="0.3">
      <c r="A41">
        <f t="shared" si="1"/>
        <v>40</v>
      </c>
      <c r="B41" s="43" t="s">
        <v>127</v>
      </c>
      <c r="C41" s="43">
        <v>6285</v>
      </c>
      <c r="D41" s="43">
        <v>5868</v>
      </c>
      <c r="E41" s="42">
        <f t="shared" si="0"/>
        <v>6076.5</v>
      </c>
      <c r="F41" s="43">
        <v>2</v>
      </c>
      <c r="G41" s="43" t="s">
        <v>385</v>
      </c>
      <c r="H41" s="43" t="s">
        <v>371</v>
      </c>
      <c r="I41" s="43">
        <v>80</v>
      </c>
      <c r="J41" s="43">
        <v>6.57</v>
      </c>
      <c r="K41" s="43" t="s">
        <v>212</v>
      </c>
      <c r="L41" s="43" t="s">
        <v>212</v>
      </c>
      <c r="M41" s="43" t="s">
        <v>212</v>
      </c>
      <c r="N41" s="43" t="s">
        <v>211</v>
      </c>
      <c r="O41" s="43">
        <v>3.59</v>
      </c>
      <c r="P41" s="27">
        <v>0</v>
      </c>
      <c r="Q41" s="91">
        <f>IF(Tableau14[[#This Row],[F crashes2015]] &lt;&gt; 0, Tableau14[[#This Row],[F &amp; S crashes2015]]/Tableau14[[#This Row],[F crashes2015]], 1)</f>
        <v>1</v>
      </c>
      <c r="R41" s="91" t="str">
        <f>IF( AND(P41&gt;=SCORE!B$2*'DATASET 102018'!Q41, P41&lt;SCORE!C$2*'DATASET 102018'!Q41),SCORE!A$2,(IF(AND(P41&gt;=SCORE!B$3*'DATASET 102018'!Q41,P41&lt;SCORE!C$3*'DATASET 102018'!Q41),SCORE!A$3,(IF(AND(P41&gt;=SCORE!B$4*'DATASET 102018'!Q41,P41&lt;SCORE!C$4*'DATASET 102018'!Q41),SCORE!A$4,(IF(AND(P41&gt;=SCORE!B$5*'DATASET 102018'!Q41,P41&lt;SCORE!C$5*'DATASET 102018'!Q41),SCORE!A$5,(IF(SCORE!B$6*'DATASET 102018'!Q41&lt;=P41,SCORE!A$6,0)))))))))</f>
        <v>Low</v>
      </c>
      <c r="S41" s="63">
        <f>Tableau14[[#This Row],[F &amp; S crashes2015]]/4</f>
        <v>0</v>
      </c>
      <c r="T41" s="66" t="str">
        <f>IF( AND(S41&gt;=SCORE!G$2*'DATASET 102018'!Q41, S41&lt;SCORE!H$2*'DATASET 102018'!Q41),SCORE!F$2,(IF(AND(S41&gt;=SCORE!G$3*'DATASET 102018'!Q41, S41&lt;SCORE!H$3*'DATASET 102018'!Q41),SCORE!A$3,(IF(AND(S41&gt;=SCORE!G$4*'DATASET 102018'!Q41, S41&lt;SCORE!H$4*'DATASET 102018'!Q41),SCORE!A$4,(IF(AND(S41&gt;=SCORE!G$5*'DATASET 102018'!Q41, S41&lt;SCORE!H$5*'DATASET 102018'!Q41),SCORE!A$5,(IF(SCORE!G$6*'DATASET 102018'!Q41&lt;=S41,SCORE!A$6,0)))))))))</f>
        <v>Low</v>
      </c>
      <c r="U41" s="8">
        <f>(Tableau14[[#This Row],[F &amp; S crashes2016]]/Tableau14[[#This Row],[BILLION VEH KM TRAVELLED2016]])</f>
        <v>12.384397838377664</v>
      </c>
      <c r="V41" s="91">
        <f>IF(Tableau14[[#This Row],[F crashes2016]] &lt;&gt; 0, Tableau14[[#This Row],[F &amp; S crashes2016]]/Tableau14[[#This Row],[F crashes2016]], 1)</f>
        <v>1</v>
      </c>
      <c r="W41" s="91" t="str">
        <f>IF(AND(U41&gt;=SCORE!B$2*'DATASET 102018'!V41, U41&lt;SCORE!C$2*'DATASET 102018'!V41),SCORE!A$2,(IF(AND(U41&gt;=SCORE!B$3*'DATASET 102018'!V41, U41&lt;SCORE!C$3*'DATASET 102018'!V41),SCORE!A$3,(IF(AND(U41&gt;=SCORE!B$4*'DATASET 102018'!V41, U41&lt;SCORE!C$4*'DATASET 102018'!V41),SCORE!A$4,(IF(AND(U41&gt;=SCORE!B$5*'DATASET 102018'!V41, U41&lt;SCORE!C$5*'DATASET 102018'!V41),SCORE!A$5,(IF(SCORE!B$6*'DATASET 102018'!V41&lt;=U41,SCORE!A$6,0)))))))))</f>
        <v>Medium-high</v>
      </c>
      <c r="X41" s="8">
        <f>Tableau14[[#This Row],[F &amp; S crashes2016]]/4</f>
        <v>0.25</v>
      </c>
      <c r="Y41" s="8" t="str">
        <f>IF( AND(X41&gt;=SCORE!G$2*V41, X41&lt;SCORE!H$2*V41),SCORE!F$2,(IF(AND(X41&gt;=SCORE!G$3*V41, X41&lt;SCORE!H$3*V41),SCORE!A$3,(IF(AND(X41&gt;=SCORE!G$4*V41, X41&lt;SCORE!H$4*V41),SCORE!A$4,(IF(AND(X41&gt;=SCORE!G$5*V41, X41&lt;SCORE!H$5*V41),SCORE!A$5,(IF(SCORE!G$6*'DATASET 102018'!V41&lt;=X41,SCORE!A$6,0)))))))))</f>
        <v>High</v>
      </c>
      <c r="Z41" s="43">
        <v>42</v>
      </c>
      <c r="AA41" s="43">
        <v>3</v>
      </c>
      <c r="AB41" s="43">
        <v>29</v>
      </c>
      <c r="AC41" s="43">
        <v>276</v>
      </c>
      <c r="AD41" s="43">
        <v>15</v>
      </c>
      <c r="AE41" s="43">
        <v>207</v>
      </c>
    </row>
    <row r="42" spans="1:31" x14ac:dyDescent="0.3">
      <c r="A42">
        <f t="shared" si="1"/>
        <v>41</v>
      </c>
      <c r="B42" s="42" t="s">
        <v>308</v>
      </c>
      <c r="C42" s="42">
        <v>5246</v>
      </c>
      <c r="D42" s="42">
        <v>5830</v>
      </c>
      <c r="E42" s="42">
        <f t="shared" si="0"/>
        <v>5538</v>
      </c>
      <c r="F42" s="42">
        <v>2</v>
      </c>
      <c r="G42" s="42" t="s">
        <v>384</v>
      </c>
      <c r="H42" s="42" t="s">
        <v>371</v>
      </c>
      <c r="I42" s="42">
        <v>100</v>
      </c>
      <c r="J42" s="42">
        <v>1</v>
      </c>
      <c r="K42" s="42" t="s">
        <v>212</v>
      </c>
      <c r="L42" s="42" t="s">
        <v>212</v>
      </c>
      <c r="M42" s="42" t="s">
        <v>212</v>
      </c>
      <c r="N42" s="42" t="s">
        <v>211</v>
      </c>
      <c r="O42" s="42">
        <v>1</v>
      </c>
      <c r="P42" s="27">
        <v>13.743433730949196</v>
      </c>
      <c r="Q42" s="91">
        <f>IF(Tableau14[[#This Row],[F crashes2015]] &lt;&gt; 0, Tableau14[[#This Row],[F &amp; S crashes2015]]/Tableau14[[#This Row],[F crashes2015]], 1)</f>
        <v>1</v>
      </c>
      <c r="R42" s="91" t="str">
        <f>IF( AND(P42&gt;=SCORE!B$2*'DATASET 102018'!Q42, P42&lt;SCORE!C$2*'DATASET 102018'!Q42),SCORE!A$2,(IF(AND(P42&gt;=SCORE!B$3*'DATASET 102018'!Q42,P42&lt;SCORE!C$3*'DATASET 102018'!Q42),SCORE!A$3,(IF(AND(P42&gt;=SCORE!B$4*'DATASET 102018'!Q42,P42&lt;SCORE!C$4*'DATASET 102018'!Q42),SCORE!A$4,(IF(AND(P42&gt;=SCORE!B$5*'DATASET 102018'!Q42,P42&lt;SCORE!C$5*'DATASET 102018'!Q42),SCORE!A$5,(IF(SCORE!B$6*'DATASET 102018'!Q42&lt;=P42,SCORE!A$6,0)))))))))</f>
        <v>Medium-high</v>
      </c>
      <c r="S42" s="68">
        <f>Tableau14[[#This Row],[F &amp; S crashes2015]]/4</f>
        <v>0.25</v>
      </c>
      <c r="T42" s="66" t="str">
        <f>IF( AND(S42&gt;=SCORE!G$2*'DATASET 102018'!Q42, S42&lt;SCORE!H$2*'DATASET 102018'!Q42),SCORE!F$2,(IF(AND(S42&gt;=SCORE!G$3*'DATASET 102018'!Q42, S42&lt;SCORE!H$3*'DATASET 102018'!Q42),SCORE!A$3,(IF(AND(S42&gt;=SCORE!G$4*'DATASET 102018'!Q42, S42&lt;SCORE!H$4*'DATASET 102018'!Q42),SCORE!A$4,(IF(AND(S42&gt;=SCORE!G$5*'DATASET 102018'!Q42, S42&lt;SCORE!H$5*'DATASET 102018'!Q42),SCORE!A$5,(IF(SCORE!G$6*'DATASET 102018'!Q42&lt;=S42,SCORE!A$6,0)))))))))</f>
        <v>High</v>
      </c>
      <c r="U42" s="8">
        <f>(Tableau14[[#This Row],[F &amp; S crashes2016]]/Tableau14[[#This Row],[BILLION VEH KM TRAVELLED2016]])</f>
        <v>0</v>
      </c>
      <c r="V42" s="91">
        <f>IF(Tableau14[[#This Row],[F crashes2016]] &lt;&gt; 0, Tableau14[[#This Row],[F &amp; S crashes2016]]/Tableau14[[#This Row],[F crashes2016]], 1)</f>
        <v>1</v>
      </c>
      <c r="W42" s="91" t="str">
        <f>IF(AND(U42&gt;=SCORE!B$2*'DATASET 102018'!V42, U42&lt;SCORE!C$2*'DATASET 102018'!V42),SCORE!A$2,(IF(AND(U42&gt;=SCORE!B$3*'DATASET 102018'!V42, U42&lt;SCORE!C$3*'DATASET 102018'!V42),SCORE!A$3,(IF(AND(U42&gt;=SCORE!B$4*'DATASET 102018'!V42, U42&lt;SCORE!C$4*'DATASET 102018'!V42),SCORE!A$4,(IF(AND(U42&gt;=SCORE!B$5*'DATASET 102018'!V42, U42&lt;SCORE!C$5*'DATASET 102018'!V42),SCORE!A$5,(IF(SCORE!B$6*'DATASET 102018'!V42&lt;=U42,SCORE!A$6,0)))))))))</f>
        <v>Low</v>
      </c>
      <c r="X42" s="8">
        <f>Tableau14[[#This Row],[F &amp; S crashes2016]]/4</f>
        <v>0</v>
      </c>
      <c r="Y42" s="8" t="str">
        <f>IF( AND(X42&gt;=SCORE!G$2*V42, X42&lt;SCORE!H$2*V42),SCORE!F$2,(IF(AND(X42&gt;=SCORE!G$3*V42, X42&lt;SCORE!H$3*V42),SCORE!A$3,(IF(AND(X42&gt;=SCORE!G$4*V42, X42&lt;SCORE!H$4*V42),SCORE!A$4,(IF(AND(X42&gt;=SCORE!G$5*V42, X42&lt;SCORE!H$5*V42),SCORE!A$5,(IF(SCORE!G$6*'DATASET 102018'!V42&lt;=X42,SCORE!A$6,0)))))))))</f>
        <v>Low</v>
      </c>
      <c r="Z42" s="42">
        <v>0</v>
      </c>
      <c r="AA42" s="42">
        <v>0</v>
      </c>
      <c r="AB42" s="42">
        <v>16</v>
      </c>
      <c r="AC42" s="42">
        <v>212</v>
      </c>
      <c r="AD42" s="42">
        <v>10</v>
      </c>
      <c r="AE42" s="42">
        <v>289</v>
      </c>
    </row>
    <row r="43" spans="1:31" x14ac:dyDescent="0.3">
      <c r="A43">
        <f t="shared" si="1"/>
        <v>42</v>
      </c>
      <c r="B43" s="43" t="s">
        <v>120</v>
      </c>
      <c r="C43" s="43">
        <v>5246</v>
      </c>
      <c r="D43" s="43">
        <v>5830</v>
      </c>
      <c r="E43" s="42">
        <f t="shared" si="0"/>
        <v>5538</v>
      </c>
      <c r="F43" s="43">
        <v>2</v>
      </c>
      <c r="G43" s="43" t="s">
        <v>384</v>
      </c>
      <c r="H43" s="43" t="s">
        <v>371</v>
      </c>
      <c r="I43" s="43">
        <v>100</v>
      </c>
      <c r="J43" s="43">
        <v>0.16</v>
      </c>
      <c r="K43" s="43" t="s">
        <v>212</v>
      </c>
      <c r="L43" s="43" t="s">
        <v>212</v>
      </c>
      <c r="M43" s="43" t="s">
        <v>212</v>
      </c>
      <c r="N43" s="43" t="s">
        <v>211</v>
      </c>
      <c r="O43" s="43">
        <v>1</v>
      </c>
      <c r="P43" s="27">
        <v>13.743433730949196</v>
      </c>
      <c r="Q43" s="91">
        <f>IF(Tableau14[[#This Row],[F crashes2015]] &lt;&gt; 0, Tableau14[[#This Row],[F &amp; S crashes2015]]/Tableau14[[#This Row],[F crashes2015]], 1)</f>
        <v>1</v>
      </c>
      <c r="R43" s="91" t="str">
        <f>IF( AND(P43&gt;=SCORE!B$2*'DATASET 102018'!Q43, P43&lt;SCORE!C$2*'DATASET 102018'!Q43),SCORE!A$2,(IF(AND(P43&gt;=SCORE!B$3*'DATASET 102018'!Q43,P43&lt;SCORE!C$3*'DATASET 102018'!Q43),SCORE!A$3,(IF(AND(P43&gt;=SCORE!B$4*'DATASET 102018'!Q43,P43&lt;SCORE!C$4*'DATASET 102018'!Q43),SCORE!A$4,(IF(AND(P43&gt;=SCORE!B$5*'DATASET 102018'!Q43,P43&lt;SCORE!C$5*'DATASET 102018'!Q43),SCORE!A$5,(IF(SCORE!B$6*'DATASET 102018'!Q43&lt;=P43,SCORE!A$6,0)))))))))</f>
        <v>Medium-high</v>
      </c>
      <c r="S43" s="63">
        <f>Tableau14[[#This Row],[F &amp; S crashes2015]]/4</f>
        <v>0.25</v>
      </c>
      <c r="T43" s="66" t="str">
        <f>IF( AND(S43&gt;=SCORE!G$2*'DATASET 102018'!Q43, S43&lt;SCORE!H$2*'DATASET 102018'!Q43),SCORE!F$2,(IF(AND(S43&gt;=SCORE!G$3*'DATASET 102018'!Q43, S43&lt;SCORE!H$3*'DATASET 102018'!Q43),SCORE!A$3,(IF(AND(S43&gt;=SCORE!G$4*'DATASET 102018'!Q43, S43&lt;SCORE!H$4*'DATASET 102018'!Q43),SCORE!A$4,(IF(AND(S43&gt;=SCORE!G$5*'DATASET 102018'!Q43, S43&lt;SCORE!H$5*'DATASET 102018'!Q43),SCORE!A$5,(IF(SCORE!G$6*'DATASET 102018'!Q43&lt;=S43,SCORE!A$6,0)))))))))</f>
        <v>High</v>
      </c>
      <c r="U43" s="8">
        <f>(Tableau14[[#This Row],[F &amp; S crashes2016]]/Tableau14[[#This Row],[BILLION VEH KM TRAVELLED2016]])</f>
        <v>0</v>
      </c>
      <c r="V43" s="91">
        <f>IF(Tableau14[[#This Row],[F crashes2016]] &lt;&gt; 0, Tableau14[[#This Row],[F &amp; S crashes2016]]/Tableau14[[#This Row],[F crashes2016]], 1)</f>
        <v>1</v>
      </c>
      <c r="W43" s="91" t="str">
        <f>IF(AND(U43&gt;=SCORE!B$2*'DATASET 102018'!V43, U43&lt;SCORE!C$2*'DATASET 102018'!V43),SCORE!A$2,(IF(AND(U43&gt;=SCORE!B$3*'DATASET 102018'!V43, U43&lt;SCORE!C$3*'DATASET 102018'!V43),SCORE!A$3,(IF(AND(U43&gt;=SCORE!B$4*'DATASET 102018'!V43, U43&lt;SCORE!C$4*'DATASET 102018'!V43),SCORE!A$4,(IF(AND(U43&gt;=SCORE!B$5*'DATASET 102018'!V43, U43&lt;SCORE!C$5*'DATASET 102018'!V43),SCORE!A$5,(IF(SCORE!B$6*'DATASET 102018'!V43&lt;=U43,SCORE!A$6,0)))))))))</f>
        <v>Low</v>
      </c>
      <c r="X43" s="8">
        <f>Tableau14[[#This Row],[F &amp; S crashes2016]]/4</f>
        <v>0</v>
      </c>
      <c r="Y43" s="8" t="str">
        <f>IF( AND(X43&gt;=SCORE!G$2*V43, X43&lt;SCORE!H$2*V43),SCORE!F$2,(IF(AND(X43&gt;=SCORE!G$3*V43, X43&lt;SCORE!H$3*V43),SCORE!A$3,(IF(AND(X43&gt;=SCORE!G$4*V43, X43&lt;SCORE!H$4*V43),SCORE!A$4,(IF(AND(X43&gt;=SCORE!G$5*V43, X43&lt;SCORE!H$5*V43),SCORE!A$5,(IF(SCORE!G$6*'DATASET 102018'!V43&lt;=X43,SCORE!A$6,0)))))))))</f>
        <v>Low</v>
      </c>
      <c r="Z43" s="43">
        <v>0</v>
      </c>
      <c r="AA43" s="43">
        <v>0</v>
      </c>
      <c r="AB43" s="43">
        <v>5</v>
      </c>
      <c r="AC43" s="43">
        <v>8</v>
      </c>
      <c r="AD43" s="43">
        <v>11</v>
      </c>
      <c r="AE43" s="43">
        <v>178</v>
      </c>
    </row>
    <row r="44" spans="1:31" x14ac:dyDescent="0.3">
      <c r="A44">
        <f t="shared" si="1"/>
        <v>43</v>
      </c>
      <c r="B44" s="42" t="s">
        <v>309</v>
      </c>
      <c r="C44" s="42">
        <v>20247</v>
      </c>
      <c r="D44" s="42">
        <v>17448</v>
      </c>
      <c r="E44" s="42">
        <f t="shared" si="0"/>
        <v>18847.5</v>
      </c>
      <c r="F44" s="42">
        <v>4</v>
      </c>
      <c r="G44" s="42" t="s">
        <v>384</v>
      </c>
      <c r="H44" s="42" t="s">
        <v>371</v>
      </c>
      <c r="I44" s="42">
        <v>60</v>
      </c>
      <c r="J44" s="42">
        <v>1.1299999999999999</v>
      </c>
      <c r="K44" s="42" t="s">
        <v>212</v>
      </c>
      <c r="L44" s="42" t="s">
        <v>212</v>
      </c>
      <c r="M44" s="42" t="s">
        <v>212</v>
      </c>
      <c r="N44" s="42" t="s">
        <v>212</v>
      </c>
      <c r="O44" s="42">
        <v>4.5999999999999996</v>
      </c>
      <c r="P44" s="27">
        <v>0</v>
      </c>
      <c r="Q44" s="91">
        <f>IF(Tableau14[[#This Row],[F crashes2015]] &lt;&gt; 0, Tableau14[[#This Row],[F &amp; S crashes2015]]/Tableau14[[#This Row],[F crashes2015]], 1)</f>
        <v>1</v>
      </c>
      <c r="R44" s="91" t="str">
        <f>IF( AND(P44&gt;=SCORE!B$2*'DATASET 102018'!Q44, P44&lt;SCORE!C$2*'DATASET 102018'!Q44),SCORE!A$2,(IF(AND(P44&gt;=SCORE!B$3*'DATASET 102018'!Q44,P44&lt;SCORE!C$3*'DATASET 102018'!Q44),SCORE!A$3,(IF(AND(P44&gt;=SCORE!B$4*'DATASET 102018'!Q44,P44&lt;SCORE!C$4*'DATASET 102018'!Q44),SCORE!A$4,(IF(AND(P44&gt;=SCORE!B$5*'DATASET 102018'!Q44,P44&lt;SCORE!C$5*'DATASET 102018'!Q44),SCORE!A$5,(IF(SCORE!B$6*'DATASET 102018'!Q44&lt;=P44,SCORE!A$6,0)))))))))</f>
        <v>Low</v>
      </c>
      <c r="S44" s="68">
        <f>Tableau14[[#This Row],[F &amp; S crashes2015]]/4</f>
        <v>0</v>
      </c>
      <c r="T44" s="66" t="str">
        <f>IF( AND(S44&gt;=SCORE!G$2*'DATASET 102018'!Q44, S44&lt;SCORE!H$2*'DATASET 102018'!Q44),SCORE!F$2,(IF(AND(S44&gt;=SCORE!G$3*'DATASET 102018'!Q44, S44&lt;SCORE!H$3*'DATASET 102018'!Q44),SCORE!A$3,(IF(AND(S44&gt;=SCORE!G$4*'DATASET 102018'!Q44, S44&lt;SCORE!H$4*'DATASET 102018'!Q44),SCORE!A$4,(IF(AND(S44&gt;=SCORE!G$5*'DATASET 102018'!Q44, S44&lt;SCORE!H$5*'DATASET 102018'!Q44),SCORE!A$5,(IF(SCORE!G$6*'DATASET 102018'!Q44&lt;=S44,SCORE!A$6,0)))))))))</f>
        <v>Low</v>
      </c>
      <c r="U44" s="16">
        <f>(Tableau14[[#This Row],[F &amp; S crashes2016]]/Tableau14[[#This Row],[BILLION VEH KM TRAVELLED2016]])</f>
        <v>0</v>
      </c>
      <c r="V44" s="91">
        <f>IF(Tableau14[[#This Row],[F crashes2016]] &lt;&gt; 0, Tableau14[[#This Row],[F &amp; S crashes2016]]/Tableau14[[#This Row],[F crashes2016]], 1)</f>
        <v>1</v>
      </c>
      <c r="W44" s="91" t="str">
        <f>IF(AND(U44&gt;=SCORE!B$2*'DATASET 102018'!V44, U44&lt;SCORE!C$2*'DATASET 102018'!V44),SCORE!A$2,(IF(AND(U44&gt;=SCORE!B$3*'DATASET 102018'!V44, U44&lt;SCORE!C$3*'DATASET 102018'!V44),SCORE!A$3,(IF(AND(U44&gt;=SCORE!B$4*'DATASET 102018'!V44, U44&lt;SCORE!C$4*'DATASET 102018'!V44),SCORE!A$4,(IF(AND(U44&gt;=SCORE!B$5*'DATASET 102018'!V44, U44&lt;SCORE!C$5*'DATASET 102018'!V44),SCORE!A$5,(IF(SCORE!B$6*'DATASET 102018'!V44&lt;=U44,SCORE!A$6,0)))))))))</f>
        <v>Low</v>
      </c>
      <c r="X44" s="16">
        <f>Tableau14[[#This Row],[F &amp; S crashes2016]]/4</f>
        <v>0</v>
      </c>
      <c r="Y44" s="8" t="str">
        <f>IF( AND(X44&gt;=SCORE!G$2*V44, X44&lt;SCORE!H$2*V44),SCORE!F$2,(IF(AND(X44&gt;=SCORE!G$3*V44, X44&lt;SCORE!H$3*V44),SCORE!A$3,(IF(AND(X44&gt;=SCORE!G$4*V44, X44&lt;SCORE!H$4*V44),SCORE!A$4,(IF(AND(X44&gt;=SCORE!G$5*V44, X44&lt;SCORE!H$5*V44),SCORE!A$5,(IF(SCORE!G$6*'DATASET 102018'!V44&lt;=X44,SCORE!A$6,0)))))))))</f>
        <v>Low</v>
      </c>
      <c r="Z44" s="42">
        <v>303</v>
      </c>
      <c r="AA44" s="42">
        <v>175</v>
      </c>
      <c r="AB44" s="42">
        <v>365</v>
      </c>
      <c r="AC44" s="42">
        <v>307</v>
      </c>
      <c r="AD44" s="42">
        <v>250</v>
      </c>
      <c r="AE44" s="42">
        <v>253</v>
      </c>
    </row>
    <row r="45" spans="1:31" x14ac:dyDescent="0.3">
      <c r="A45">
        <f t="shared" si="1"/>
        <v>44</v>
      </c>
      <c r="B45" s="43" t="s">
        <v>310</v>
      </c>
      <c r="C45" s="43">
        <v>20247</v>
      </c>
      <c r="D45" s="43">
        <v>17448</v>
      </c>
      <c r="E45" s="42">
        <f t="shared" si="0"/>
        <v>18847.5</v>
      </c>
      <c r="F45" s="43">
        <v>4</v>
      </c>
      <c r="G45" s="43" t="s">
        <v>384</v>
      </c>
      <c r="H45" s="43" t="s">
        <v>371</v>
      </c>
      <c r="I45" s="43">
        <v>60</v>
      </c>
      <c r="J45" s="43">
        <v>1.18</v>
      </c>
      <c r="K45" s="43" t="s">
        <v>212</v>
      </c>
      <c r="L45" s="43" t="s">
        <v>212</v>
      </c>
      <c r="M45" s="43" t="s">
        <v>212</v>
      </c>
      <c r="N45" s="43" t="s">
        <v>212</v>
      </c>
      <c r="O45" s="43">
        <v>2.83</v>
      </c>
      <c r="P45" s="27">
        <v>0</v>
      </c>
      <c r="Q45" s="91">
        <f>IF(Tableau14[[#This Row],[F crashes2015]] &lt;&gt; 0, Tableau14[[#This Row],[F &amp; S crashes2015]]/Tableau14[[#This Row],[F crashes2015]], 1)</f>
        <v>1</v>
      </c>
      <c r="R45" s="91" t="str">
        <f>IF( AND(P45&gt;=SCORE!B$2*'DATASET 102018'!Q45, P45&lt;SCORE!C$2*'DATASET 102018'!Q45),SCORE!A$2,(IF(AND(P45&gt;=SCORE!B$3*'DATASET 102018'!Q45,P45&lt;SCORE!C$3*'DATASET 102018'!Q45),SCORE!A$3,(IF(AND(P45&gt;=SCORE!B$4*'DATASET 102018'!Q45,P45&lt;SCORE!C$4*'DATASET 102018'!Q45),SCORE!A$4,(IF(AND(P45&gt;=SCORE!B$5*'DATASET 102018'!Q45,P45&lt;SCORE!C$5*'DATASET 102018'!Q45),SCORE!A$5,(IF(SCORE!B$6*'DATASET 102018'!Q45&lt;=P45,SCORE!A$6,0)))))))))</f>
        <v>Low</v>
      </c>
      <c r="S45" s="71">
        <f>Tableau14[[#This Row],[F &amp; S crashes2015]]/4</f>
        <v>0</v>
      </c>
      <c r="T45" s="66" t="str">
        <f>IF( AND(S45&gt;=SCORE!G$2*'DATASET 102018'!Q45, S45&lt;SCORE!H$2*'DATASET 102018'!Q45),SCORE!F$2,(IF(AND(S45&gt;=SCORE!G$3*'DATASET 102018'!Q45, S45&lt;SCORE!H$3*'DATASET 102018'!Q45),SCORE!A$3,(IF(AND(S45&gt;=SCORE!G$4*'DATASET 102018'!Q45, S45&lt;SCORE!H$4*'DATASET 102018'!Q45),SCORE!A$4,(IF(AND(S45&gt;=SCORE!G$5*'DATASET 102018'!Q45, S45&lt;SCORE!H$5*'DATASET 102018'!Q45),SCORE!A$5,(IF(SCORE!G$6*'DATASET 102018'!Q45&lt;=S45,SCORE!A$6,0)))))))))</f>
        <v>Low</v>
      </c>
      <c r="U45" s="16">
        <f>(Tableau14[[#This Row],[F &amp; S crashes2016]]/Tableau14[[#This Row],[BILLION VEH KM TRAVELLED2016]])</f>
        <v>0</v>
      </c>
      <c r="V45" s="91">
        <f>IF(Tableau14[[#This Row],[F crashes2016]] &lt;&gt; 0, Tableau14[[#This Row],[F &amp; S crashes2016]]/Tableau14[[#This Row],[F crashes2016]], 1)</f>
        <v>1</v>
      </c>
      <c r="W45" s="91" t="str">
        <f>IF(AND(U45&gt;=SCORE!B$2*'DATASET 102018'!V45, U45&lt;SCORE!C$2*'DATASET 102018'!V45),SCORE!A$2,(IF(AND(U45&gt;=SCORE!B$3*'DATASET 102018'!V45, U45&lt;SCORE!C$3*'DATASET 102018'!V45),SCORE!A$3,(IF(AND(U45&gt;=SCORE!B$4*'DATASET 102018'!V45, U45&lt;SCORE!C$4*'DATASET 102018'!V45),SCORE!A$4,(IF(AND(U45&gt;=SCORE!B$5*'DATASET 102018'!V45, U45&lt;SCORE!C$5*'DATASET 102018'!V45),SCORE!A$5,(IF(SCORE!B$6*'DATASET 102018'!V45&lt;=U45,SCORE!A$6,0)))))))))</f>
        <v>Low</v>
      </c>
      <c r="X45" s="16">
        <f>Tableau14[[#This Row],[F &amp; S crashes2016]]/4</f>
        <v>0</v>
      </c>
      <c r="Y45" s="8" t="str">
        <f>IF( AND(X45&gt;=SCORE!G$2*V45, X45&lt;SCORE!H$2*V45),SCORE!F$2,(IF(AND(X45&gt;=SCORE!G$3*V45, X45&lt;SCORE!H$3*V45),SCORE!A$3,(IF(AND(X45&gt;=SCORE!G$4*V45, X45&lt;SCORE!H$4*V45),SCORE!A$4,(IF(AND(X45&gt;=SCORE!G$5*V45, X45&lt;SCORE!H$5*V45),SCORE!A$5,(IF(SCORE!G$6*'DATASET 102018'!V45&lt;=X45,SCORE!A$6,0)))))))))</f>
        <v>Low</v>
      </c>
      <c r="Z45" s="43">
        <v>229</v>
      </c>
      <c r="AA45" s="43">
        <v>94</v>
      </c>
      <c r="AB45" s="43">
        <v>177</v>
      </c>
      <c r="AC45" s="43">
        <v>119</v>
      </c>
      <c r="AD45" s="43">
        <v>119</v>
      </c>
      <c r="AE45" s="43">
        <v>318</v>
      </c>
    </row>
    <row r="46" spans="1:31" x14ac:dyDescent="0.3">
      <c r="A46">
        <f t="shared" si="1"/>
        <v>45</v>
      </c>
      <c r="B46" s="42" t="s">
        <v>107</v>
      </c>
      <c r="C46" s="42">
        <v>9899</v>
      </c>
      <c r="D46" s="42">
        <v>10166</v>
      </c>
      <c r="E46" s="42">
        <f t="shared" si="0"/>
        <v>10032.5</v>
      </c>
      <c r="F46" s="42">
        <v>4</v>
      </c>
      <c r="G46" s="42" t="s">
        <v>385</v>
      </c>
      <c r="H46" s="42" t="s">
        <v>371</v>
      </c>
      <c r="I46" s="42">
        <v>60</v>
      </c>
      <c r="J46" s="42">
        <v>4.7699999999999996</v>
      </c>
      <c r="K46" s="42" t="s">
        <v>212</v>
      </c>
      <c r="L46" s="42" t="s">
        <v>212</v>
      </c>
      <c r="M46" s="42" t="s">
        <v>212</v>
      </c>
      <c r="N46" s="42" t="s">
        <v>211</v>
      </c>
      <c r="O46" s="42">
        <v>1</v>
      </c>
      <c r="P46" s="27">
        <v>102.1627387415501</v>
      </c>
      <c r="Q46" s="91">
        <f>IF(Tableau14[[#This Row],[F crashes2015]] &lt;&gt; 0, Tableau14[[#This Row],[F &amp; S crashes2015]]/Tableau14[[#This Row],[F crashes2015]], 1)</f>
        <v>2.75</v>
      </c>
      <c r="R46" s="91" t="str">
        <f>IF( AND(P46&gt;=SCORE!B$2*'DATASET 102018'!Q46, P46&lt;SCORE!C$2*'DATASET 102018'!Q46),SCORE!A$2,(IF(AND(P46&gt;=SCORE!B$3*'DATASET 102018'!Q46,P46&lt;SCORE!C$3*'DATASET 102018'!Q46),SCORE!A$3,(IF(AND(P46&gt;=SCORE!B$4*'DATASET 102018'!Q46,P46&lt;SCORE!C$4*'DATASET 102018'!Q46),SCORE!A$4,(IF(AND(P46&gt;=SCORE!B$5*'DATASET 102018'!Q46,P46&lt;SCORE!C$5*'DATASET 102018'!Q46),SCORE!A$5,(IF(SCORE!B$6*'DATASET 102018'!Q46&lt;=P46,SCORE!A$6,0)))))))))</f>
        <v>High</v>
      </c>
      <c r="S46" s="66">
        <f>Tableau14[[#This Row],[F &amp; S crashes2015]]/4</f>
        <v>2.75</v>
      </c>
      <c r="T46" s="66" t="str">
        <f>IF( AND(S46&gt;=SCORE!G$2*'DATASET 102018'!Q46, S46&lt;SCORE!H$2*'DATASET 102018'!Q46),SCORE!F$2,(IF(AND(S46&gt;=SCORE!G$3*'DATASET 102018'!Q46, S46&lt;SCORE!H$3*'DATASET 102018'!Q46),SCORE!A$3,(IF(AND(S46&gt;=SCORE!G$4*'DATASET 102018'!Q46, S46&lt;SCORE!H$4*'DATASET 102018'!Q46),SCORE!A$4,(IF(AND(S46&gt;=SCORE!G$5*'DATASET 102018'!Q46, S46&lt;SCORE!H$5*'DATASET 102018'!Q46),SCORE!A$5,(IF(SCORE!G$6*'DATASET 102018'!Q46&lt;=S46,SCORE!A$6,0)))))))))</f>
        <v>High</v>
      </c>
      <c r="U46" s="16">
        <f>(Tableau14[[#This Row],[F &amp; S crashes2016]]/Tableau14[[#This Row],[BILLION VEH KM TRAVELLED2016]])</f>
        <v>36.174327884379252</v>
      </c>
      <c r="V46" s="91">
        <f>IF(Tableau14[[#This Row],[F crashes2016]] &lt;&gt; 0, Tableau14[[#This Row],[F &amp; S crashes2016]]/Tableau14[[#This Row],[F crashes2016]], 1)</f>
        <v>4</v>
      </c>
      <c r="W46" s="91" t="str">
        <f>IF(AND(U46&gt;=SCORE!B$2*'DATASET 102018'!V46, U46&lt;SCORE!C$2*'DATASET 102018'!V46),SCORE!A$2,(IF(AND(U46&gt;=SCORE!B$3*'DATASET 102018'!V46, U46&lt;SCORE!C$3*'DATASET 102018'!V46),SCORE!A$3,(IF(AND(U46&gt;=SCORE!B$4*'DATASET 102018'!V46, U46&lt;SCORE!C$4*'DATASET 102018'!V46),SCORE!A$4,(IF(AND(U46&gt;=SCORE!B$5*'DATASET 102018'!V46, U46&lt;SCORE!C$5*'DATASET 102018'!V46),SCORE!A$5,(IF(SCORE!B$6*'DATASET 102018'!V46&lt;=U46,SCORE!A$6,0)))))))))</f>
        <v>Medium-high</v>
      </c>
      <c r="X46" s="16">
        <f>Tableau14[[#This Row],[F &amp; S crashes2016]]/4</f>
        <v>1</v>
      </c>
      <c r="Y46" s="8" t="str">
        <f>IF( AND(X46&gt;=SCORE!G$2*V46, X46&lt;SCORE!H$2*V46),SCORE!F$2,(IF(AND(X46&gt;=SCORE!G$3*V46, X46&lt;SCORE!H$3*V46),SCORE!A$3,(IF(AND(X46&gt;=SCORE!G$4*V46, X46&lt;SCORE!H$4*V46),SCORE!A$4,(IF(AND(X46&gt;=SCORE!G$5*V46, X46&lt;SCORE!H$5*V46),SCORE!A$5,(IF(SCORE!G$6*'DATASET 102018'!V46&lt;=X46,SCORE!A$6,0)))))))))</f>
        <v>High</v>
      </c>
      <c r="Z46" s="42">
        <v>0</v>
      </c>
      <c r="AA46" s="42">
        <v>0</v>
      </c>
      <c r="AB46" s="42">
        <v>0</v>
      </c>
      <c r="AC46" s="42">
        <v>0</v>
      </c>
      <c r="AD46" s="42">
        <v>322</v>
      </c>
      <c r="AE46" s="42">
        <v>76</v>
      </c>
    </row>
    <row r="47" spans="1:31" x14ac:dyDescent="0.3">
      <c r="A47">
        <f t="shared" si="1"/>
        <v>46</v>
      </c>
      <c r="B47" s="43" t="s">
        <v>101</v>
      </c>
      <c r="C47" s="43">
        <v>7266</v>
      </c>
      <c r="D47" s="43">
        <v>7044</v>
      </c>
      <c r="E47" s="42">
        <f t="shared" si="0"/>
        <v>7155</v>
      </c>
      <c r="F47" s="43">
        <v>2</v>
      </c>
      <c r="G47" s="43" t="s">
        <v>384</v>
      </c>
      <c r="H47" s="42" t="s">
        <v>371</v>
      </c>
      <c r="I47" s="43">
        <v>60</v>
      </c>
      <c r="J47" s="43">
        <v>3.5</v>
      </c>
      <c r="K47" s="43" t="s">
        <v>212</v>
      </c>
      <c r="L47" s="43" t="s">
        <v>212</v>
      </c>
      <c r="M47" s="43" t="s">
        <v>212</v>
      </c>
      <c r="N47" s="43" t="s">
        <v>211</v>
      </c>
      <c r="O47" s="43">
        <v>1</v>
      </c>
      <c r="P47" s="27">
        <v>44.360130622840636</v>
      </c>
      <c r="Q47" s="91">
        <f>IF(Tableau14[[#This Row],[F crashes2015]] &lt;&gt; 0, Tableau14[[#This Row],[F &amp; S crashes2015]]/Tableau14[[#This Row],[F crashes2015]], 1)</f>
        <v>1</v>
      </c>
      <c r="R47" s="91" t="str">
        <f>IF( AND(P47&gt;=SCORE!B$2*'DATASET 102018'!Q47, P47&lt;SCORE!C$2*'DATASET 102018'!Q47),SCORE!A$2,(IF(AND(P47&gt;=SCORE!B$3*'DATASET 102018'!Q47,P47&lt;SCORE!C$3*'DATASET 102018'!Q47),SCORE!A$3,(IF(AND(P47&gt;=SCORE!B$4*'DATASET 102018'!Q47,P47&lt;SCORE!C$4*'DATASET 102018'!Q47),SCORE!A$4,(IF(AND(P47&gt;=SCORE!B$5*'DATASET 102018'!Q47,P47&lt;SCORE!C$5*'DATASET 102018'!Q47),SCORE!A$5,(IF(SCORE!B$6*'DATASET 102018'!Q47&lt;=P47,SCORE!A$6,0)))))))))</f>
        <v>High</v>
      </c>
      <c r="S47" s="63">
        <f>Tableau14[[#This Row],[F &amp; S crashes2015]]/4</f>
        <v>1</v>
      </c>
      <c r="T47" s="66" t="str">
        <f>IF( AND(S47&gt;=SCORE!G$2*'DATASET 102018'!Q47, S47&lt;SCORE!H$2*'DATASET 102018'!Q47),SCORE!F$2,(IF(AND(S47&gt;=SCORE!G$3*'DATASET 102018'!Q47, S47&lt;SCORE!H$3*'DATASET 102018'!Q47),SCORE!A$3,(IF(AND(S47&gt;=SCORE!G$4*'DATASET 102018'!Q47, S47&lt;SCORE!H$4*'DATASET 102018'!Q47),SCORE!A$4,(IF(AND(S47&gt;=SCORE!G$5*'DATASET 102018'!Q47, S47&lt;SCORE!H$5*'DATASET 102018'!Q47),SCORE!A$5,(IF(SCORE!G$6*'DATASET 102018'!Q47&lt;=S47,SCORE!A$6,0)))))))))</f>
        <v>High</v>
      </c>
      <c r="U47" s="16">
        <f>(Tableau14[[#This Row],[F &amp; S crashes2016]]/Tableau14[[#This Row],[BILLION VEH KM TRAVELLED2016]])</f>
        <v>22.879096330604771</v>
      </c>
      <c r="V47" s="91">
        <f>IF(Tableau14[[#This Row],[F crashes2016]] &lt;&gt; 0, Tableau14[[#This Row],[F &amp; S crashes2016]]/Tableau14[[#This Row],[F crashes2016]], 1)</f>
        <v>2</v>
      </c>
      <c r="W47" s="91" t="str">
        <f>IF(AND(U47&gt;=SCORE!B$2*'DATASET 102018'!V47, U47&lt;SCORE!C$2*'DATASET 102018'!V47),SCORE!A$2,(IF(AND(U47&gt;=SCORE!B$3*'DATASET 102018'!V47, U47&lt;SCORE!C$3*'DATASET 102018'!V47),SCORE!A$3,(IF(AND(U47&gt;=SCORE!B$4*'DATASET 102018'!V47, U47&lt;SCORE!C$4*'DATASET 102018'!V47),SCORE!A$4,(IF(AND(U47&gt;=SCORE!B$5*'DATASET 102018'!V47, U47&lt;SCORE!C$5*'DATASET 102018'!V47),SCORE!A$5,(IF(SCORE!B$6*'DATASET 102018'!V47&lt;=U47,SCORE!A$6,0)))))))))</f>
        <v>Medium-high</v>
      </c>
      <c r="X47" s="16">
        <f>Tableau14[[#This Row],[F &amp; S crashes2016]]/4</f>
        <v>0.5</v>
      </c>
      <c r="Y47" s="8" t="str">
        <f>IF( AND(X47&gt;=SCORE!G$2*V47, X47&lt;SCORE!H$2*V47),SCORE!F$2,(IF(AND(X47&gt;=SCORE!G$3*V47, X47&lt;SCORE!H$3*V47),SCORE!A$3,(IF(AND(X47&gt;=SCORE!G$4*V47, X47&lt;SCORE!H$4*V47),SCORE!A$4,(IF(AND(X47&gt;=SCORE!G$5*V47, X47&lt;SCORE!H$5*V47),SCORE!A$5,(IF(SCORE!G$6*'DATASET 102018'!V47&lt;=X47,SCORE!A$6,0)))))))))</f>
        <v>High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</row>
    <row r="48" spans="1:31" x14ac:dyDescent="0.3">
      <c r="A48">
        <f t="shared" si="1"/>
        <v>47</v>
      </c>
      <c r="B48" s="87" t="s">
        <v>229</v>
      </c>
      <c r="C48" s="42">
        <v>42523</v>
      </c>
      <c r="D48" s="42">
        <v>47130</v>
      </c>
      <c r="E48" s="42">
        <f t="shared" si="0"/>
        <v>44826.5</v>
      </c>
      <c r="F48" s="42" t="s">
        <v>218</v>
      </c>
      <c r="G48" s="43" t="s">
        <v>384</v>
      </c>
      <c r="H48" s="42" t="s">
        <v>218</v>
      </c>
      <c r="I48" s="42">
        <v>120</v>
      </c>
      <c r="J48" s="42"/>
      <c r="K48" s="42" t="s">
        <v>211</v>
      </c>
      <c r="L48" s="42" t="s">
        <v>211</v>
      </c>
      <c r="M48" s="42" t="s">
        <v>212</v>
      </c>
      <c r="N48" s="43" t="s">
        <v>212</v>
      </c>
      <c r="O48" s="42" t="s">
        <v>218</v>
      </c>
      <c r="P48" s="27">
        <v>25.771830899162428</v>
      </c>
      <c r="Q48" s="91">
        <f>IF(Tableau14[[#This Row],[F crashes2015]] &lt;&gt; 0, Tableau14[[#This Row],[F &amp; S crashes2015]]/Tableau14[[#This Row],[F crashes2015]], 1)</f>
        <v>2</v>
      </c>
      <c r="R48" s="91" t="str">
        <f>IF( AND(P48&gt;=SCORE!B$2*'DATASET 102018'!Q48, P48&lt;SCORE!C$2*'DATASET 102018'!Q48),SCORE!A$2,(IF(AND(P48&gt;=SCORE!B$3*'DATASET 102018'!Q48,P48&lt;SCORE!C$3*'DATASET 102018'!Q48),SCORE!A$3,(IF(AND(P48&gt;=SCORE!B$4*'DATASET 102018'!Q48,P48&lt;SCORE!C$4*'DATASET 102018'!Q48),SCORE!A$4,(IF(AND(P48&gt;=SCORE!B$5*'DATASET 102018'!Q48,P48&lt;SCORE!C$5*'DATASET 102018'!Q48),SCORE!A$5,(IF(SCORE!B$6*'DATASET 102018'!Q48&lt;=P48,SCORE!A$6,0)))))))))</f>
        <v>Medium-high</v>
      </c>
      <c r="S48" s="68">
        <f>Tableau14[[#This Row],[F &amp; S crashes2015]]/4</f>
        <v>0.5</v>
      </c>
      <c r="T48" s="66" t="str">
        <f>IF( AND(S48&gt;=SCORE!G$2*'DATASET 102018'!Q48, S48&lt;SCORE!H$2*'DATASET 102018'!Q48),SCORE!F$2,(IF(AND(S48&gt;=SCORE!G$3*'DATASET 102018'!Q48, S48&lt;SCORE!H$3*'DATASET 102018'!Q48),SCORE!A$3,(IF(AND(S48&gt;=SCORE!G$4*'DATASET 102018'!Q48, S48&lt;SCORE!H$4*'DATASET 102018'!Q48),SCORE!A$4,(IF(AND(S48&gt;=SCORE!G$5*'DATASET 102018'!Q48, S48&lt;SCORE!H$5*'DATASET 102018'!Q48),SCORE!A$5,(IF(SCORE!G$6*'DATASET 102018'!Q48&lt;=S48,SCORE!A$6,0)))))))))</f>
        <v>High</v>
      </c>
      <c r="U48" s="16">
        <f>(Tableau14[[#This Row],[F &amp; S crashes2016]]/Tableau14[[#This Row],[BILLION VEH KM TRAVELLED2016]])</f>
        <v>23.252699173320039</v>
      </c>
      <c r="V48" s="91">
        <f>IF(Tableau14[[#This Row],[F crashes2016]] &lt;&gt; 0, Tableau14[[#This Row],[F &amp; S crashes2016]]/Tableau14[[#This Row],[F crashes2016]], 1)</f>
        <v>2</v>
      </c>
      <c r="W48" s="91" t="str">
        <f>IF(AND(U48&gt;=SCORE!B$2*'DATASET 102018'!V48, U48&lt;SCORE!C$2*'DATASET 102018'!V48),SCORE!A$2,(IF(AND(U48&gt;=SCORE!B$3*'DATASET 102018'!V48, U48&lt;SCORE!C$3*'DATASET 102018'!V48),SCORE!A$3,(IF(AND(U48&gt;=SCORE!B$4*'DATASET 102018'!V48, U48&lt;SCORE!C$4*'DATASET 102018'!V48),SCORE!A$4,(IF(AND(U48&gt;=SCORE!B$5*'DATASET 102018'!V48, U48&lt;SCORE!C$5*'DATASET 102018'!V48),SCORE!A$5,(IF(SCORE!B$6*'DATASET 102018'!V48&lt;=U48,SCORE!A$6,0)))))))))</f>
        <v>Medium-high</v>
      </c>
      <c r="X48" s="16">
        <f>Tableau14[[#This Row],[F &amp; S crashes2016]]/4</f>
        <v>0.5</v>
      </c>
      <c r="Y48" s="8" t="str">
        <f>IF( AND(X48&gt;=SCORE!G$2*V48, X48&lt;SCORE!H$2*V48),SCORE!F$2,(IF(AND(X48&gt;=SCORE!G$3*V48, X48&lt;SCORE!H$3*V48),SCORE!A$3,(IF(AND(X48&gt;=SCORE!G$4*V48, X48&lt;SCORE!H$4*V48),SCORE!A$4,(IF(AND(X48&gt;=SCORE!G$5*V48, X48&lt;SCORE!H$5*V48),SCORE!A$5,(IF(SCORE!G$6*'DATASET 102018'!V48&lt;=X48,SCORE!A$6,0)))))))))</f>
        <v>High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</row>
    <row r="49" spans="1:31" x14ac:dyDescent="0.3">
      <c r="A49">
        <f t="shared" si="1"/>
        <v>48</v>
      </c>
      <c r="B49" s="87" t="s">
        <v>230</v>
      </c>
      <c r="C49" s="43">
        <v>49015</v>
      </c>
      <c r="D49" s="43">
        <v>53556</v>
      </c>
      <c r="E49" s="42">
        <f t="shared" si="0"/>
        <v>51285.5</v>
      </c>
      <c r="F49" s="43" t="s">
        <v>218</v>
      </c>
      <c r="G49" s="43" t="s">
        <v>384</v>
      </c>
      <c r="H49" s="43" t="s">
        <v>218</v>
      </c>
      <c r="I49" s="43">
        <v>120</v>
      </c>
      <c r="J49" s="43"/>
      <c r="K49" s="43" t="s">
        <v>211</v>
      </c>
      <c r="L49" s="43" t="s">
        <v>212</v>
      </c>
      <c r="M49" s="43" t="s">
        <v>212</v>
      </c>
      <c r="N49" s="43" t="s">
        <v>212</v>
      </c>
      <c r="O49" s="43" t="s">
        <v>218</v>
      </c>
      <c r="P49" s="27">
        <v>17.19847726402152</v>
      </c>
      <c r="Q49" s="91">
        <f>IF(Tableau14[[#This Row],[F crashes2015]] &lt;&gt; 0, Tableau14[[#This Row],[F &amp; S crashes2015]]/Tableau14[[#This Row],[F crashes2015]], 1)</f>
        <v>2</v>
      </c>
      <c r="R49" s="91" t="str">
        <f>IF( AND(P49&gt;=SCORE!B$2*'DATASET 102018'!Q49, P49&lt;SCORE!C$2*'DATASET 102018'!Q49),SCORE!A$2,(IF(AND(P49&gt;=SCORE!B$3*'DATASET 102018'!Q49,P49&lt;SCORE!C$3*'DATASET 102018'!Q49),SCORE!A$3,(IF(AND(P49&gt;=SCORE!B$4*'DATASET 102018'!Q49,P49&lt;SCORE!C$4*'DATASET 102018'!Q49),SCORE!A$4,(IF(AND(P49&gt;=SCORE!B$5*'DATASET 102018'!Q49,P49&lt;SCORE!C$5*'DATASET 102018'!Q49),SCORE!A$5,(IF(SCORE!B$6*'DATASET 102018'!Q49&lt;=P49,SCORE!A$6,0)))))))))</f>
        <v>Medium-high</v>
      </c>
      <c r="S49" s="71">
        <f>Tableau14[[#This Row],[F &amp; S crashes2015]]/4</f>
        <v>0.5</v>
      </c>
      <c r="T49" s="66" t="str">
        <f>IF( AND(S49&gt;=SCORE!G$2*'DATASET 102018'!Q49, S49&lt;SCORE!H$2*'DATASET 102018'!Q49),SCORE!F$2,(IF(AND(S49&gt;=SCORE!G$3*'DATASET 102018'!Q49, S49&lt;SCORE!H$3*'DATASET 102018'!Q49),SCORE!A$3,(IF(AND(S49&gt;=SCORE!G$4*'DATASET 102018'!Q49, S49&lt;SCORE!H$4*'DATASET 102018'!Q49),SCORE!A$4,(IF(AND(S49&gt;=SCORE!G$5*'DATASET 102018'!Q49, S49&lt;SCORE!H$5*'DATASET 102018'!Q49),SCORE!A$5,(IF(SCORE!G$6*'DATASET 102018'!Q49&lt;=S49,SCORE!A$6,0)))))))))</f>
        <v>High</v>
      </c>
      <c r="U49" s="16">
        <f>(Tableau14[[#This Row],[F &amp; S crashes2016]]/Tableau14[[#This Row],[BILLION VEH KM TRAVELLED2016]])</f>
        <v>7.8702655974596034</v>
      </c>
      <c r="V49" s="91">
        <f>IF(Tableau14[[#This Row],[F crashes2016]] &lt;&gt; 0, Tableau14[[#This Row],[F &amp; S crashes2016]]/Tableau14[[#This Row],[F crashes2016]], 1)</f>
        <v>1</v>
      </c>
      <c r="W49" s="91" t="str">
        <f>IF(AND(U49&gt;=SCORE!B$2*'DATASET 102018'!V49, U49&lt;SCORE!C$2*'DATASET 102018'!V49),SCORE!A$2,(IF(AND(U49&gt;=SCORE!B$3*'DATASET 102018'!V49, U49&lt;SCORE!C$3*'DATASET 102018'!V49),SCORE!A$3,(IF(AND(U49&gt;=SCORE!B$4*'DATASET 102018'!V49, U49&lt;SCORE!C$4*'DATASET 102018'!V49),SCORE!A$4,(IF(AND(U49&gt;=SCORE!B$5*'DATASET 102018'!V49, U49&lt;SCORE!C$5*'DATASET 102018'!V49),SCORE!A$5,(IF(SCORE!B$6*'DATASET 102018'!V49&lt;=U49,SCORE!A$6,0)))))))))</f>
        <v>Medium</v>
      </c>
      <c r="X49" s="16">
        <f>Tableau14[[#This Row],[F &amp; S crashes2016]]/4</f>
        <v>0.25</v>
      </c>
      <c r="Y49" s="8" t="str">
        <f>IF( AND(X49&gt;=SCORE!G$2*V49, X49&lt;SCORE!H$2*V49),SCORE!F$2,(IF(AND(X49&gt;=SCORE!G$3*V49, X49&lt;SCORE!H$3*V49),SCORE!A$3,(IF(AND(X49&gt;=SCORE!G$4*V49, X49&lt;SCORE!H$4*V49),SCORE!A$4,(IF(AND(X49&gt;=SCORE!G$5*V49, X49&lt;SCORE!H$5*V49),SCORE!A$5,(IF(SCORE!G$6*'DATASET 102018'!V49&lt;=X49,SCORE!A$6,0)))))))))</f>
        <v>High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</row>
    <row r="50" spans="1:31" x14ac:dyDescent="0.3">
      <c r="A50">
        <f t="shared" si="1"/>
        <v>49</v>
      </c>
      <c r="B50" s="85" t="s">
        <v>181</v>
      </c>
      <c r="C50" s="42">
        <v>18763</v>
      </c>
      <c r="D50" s="42">
        <v>20576</v>
      </c>
      <c r="E50" s="42">
        <f t="shared" si="0"/>
        <v>19669.5</v>
      </c>
      <c r="F50" s="42" t="s">
        <v>218</v>
      </c>
      <c r="G50" s="43" t="s">
        <v>384</v>
      </c>
      <c r="H50" s="42" t="s">
        <v>218</v>
      </c>
      <c r="I50" s="42">
        <v>120</v>
      </c>
      <c r="J50" s="42" t="s">
        <v>218</v>
      </c>
      <c r="K50" s="42" t="s">
        <v>211</v>
      </c>
      <c r="L50" s="42" t="s">
        <v>212</v>
      </c>
      <c r="M50" s="42" t="s">
        <v>211</v>
      </c>
      <c r="N50" s="43" t="s">
        <v>212</v>
      </c>
      <c r="O50" s="42" t="s">
        <v>218</v>
      </c>
      <c r="P50" s="27">
        <v>9.1260622679441994</v>
      </c>
      <c r="Q50" s="92">
        <f>IF(Tableau14[[#This Row],[F crashes2015]] &lt;&gt; 0, Tableau14[[#This Row],[F &amp; S crashes2015]]/Tableau14[[#This Row],[F crashes2015]], 1)</f>
        <v>1</v>
      </c>
      <c r="R50" s="91" t="str">
        <f>IF( AND(P50&gt;=SCORE!B$2*'DATASET 102018'!Q50, P50&lt;SCORE!C$2*'DATASET 102018'!Q50),SCORE!A$2,(IF(AND(P50&gt;=SCORE!B$3*'DATASET 102018'!Q50,P50&lt;SCORE!C$3*'DATASET 102018'!Q50),SCORE!A$3,(IF(AND(P50&gt;=SCORE!B$4*'DATASET 102018'!Q50,P50&lt;SCORE!C$4*'DATASET 102018'!Q50),SCORE!A$4,(IF(AND(P50&gt;=SCORE!B$5*'DATASET 102018'!Q50,P50&lt;SCORE!C$5*'DATASET 102018'!Q50),SCORE!A$5,(IF(SCORE!B$6*'DATASET 102018'!Q50&lt;=P50,SCORE!A$6,0)))))))))</f>
        <v>Medium-high</v>
      </c>
      <c r="S50" s="68">
        <f>Tableau14[[#This Row],[F &amp; S crashes2015]]/4</f>
        <v>0.25</v>
      </c>
      <c r="T50" s="66" t="str">
        <f>IF( AND(S50&gt;=SCORE!G$2*'DATASET 102018'!Q50, S50&lt;SCORE!H$2*'DATASET 102018'!Q50),SCORE!F$2,(IF(AND(S50&gt;=SCORE!G$3*'DATASET 102018'!Q50, S50&lt;SCORE!H$3*'DATASET 102018'!Q50),SCORE!A$3,(IF(AND(S50&gt;=SCORE!G$4*'DATASET 102018'!Q50, S50&lt;SCORE!H$4*'DATASET 102018'!Q50),SCORE!A$4,(IF(AND(S50&gt;=SCORE!G$5*'DATASET 102018'!Q50, S50&lt;SCORE!H$5*'DATASET 102018'!Q50),SCORE!A$5,(IF(SCORE!G$6*'DATASET 102018'!Q50&lt;=S50,SCORE!A$6,0)))))))))</f>
        <v>High</v>
      </c>
      <c r="U50" s="16">
        <f>(Tableau14[[#This Row],[F &amp; S crashes2016]]/Tableau14[[#This Row],[BILLION VEH KM TRAVELLED2016]])</f>
        <v>0</v>
      </c>
      <c r="V50" s="91">
        <f>IF(Tableau14[[#This Row],[F crashes2016]] &lt;&gt; 0, Tableau14[[#This Row],[F &amp; S crashes2016]]/Tableau14[[#This Row],[F crashes2016]], 1)</f>
        <v>1</v>
      </c>
      <c r="W50" s="91" t="str">
        <f>IF(AND(U50&gt;=SCORE!B$2*'DATASET 102018'!V50, U50&lt;SCORE!C$2*'DATASET 102018'!V50),SCORE!A$2,(IF(AND(U50&gt;=SCORE!B$3*'DATASET 102018'!V50, U50&lt;SCORE!C$3*'DATASET 102018'!V50),SCORE!A$3,(IF(AND(U50&gt;=SCORE!B$4*'DATASET 102018'!V50, U50&lt;SCORE!C$4*'DATASET 102018'!V50),SCORE!A$4,(IF(AND(U50&gt;=SCORE!B$5*'DATASET 102018'!V50, U50&lt;SCORE!C$5*'DATASET 102018'!V50),SCORE!A$5,(IF(SCORE!B$6*'DATASET 102018'!V50&lt;=U50,SCORE!A$6,0)))))))))</f>
        <v>Low</v>
      </c>
      <c r="X50" s="16">
        <f>Tableau14[[#This Row],[F &amp; S crashes2016]]/4</f>
        <v>0</v>
      </c>
      <c r="Y50" s="8" t="str">
        <f>IF( AND(X50&gt;=SCORE!G$2*V50, X50&lt;SCORE!H$2*V50),SCORE!F$2,(IF(AND(X50&gt;=SCORE!G$3*V50, X50&lt;SCORE!H$3*V50),SCORE!A$3,(IF(AND(X50&gt;=SCORE!G$4*V50, X50&lt;SCORE!H$4*V50),SCORE!A$4,(IF(AND(X50&gt;=SCORE!G$5*V50, X50&lt;SCORE!H$5*V50),SCORE!A$5,(IF(SCORE!G$6*'DATASET 102018'!V50&lt;=X50,SCORE!A$6,0)))))))))</f>
        <v>Low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</row>
    <row r="51" spans="1:31" x14ac:dyDescent="0.3">
      <c r="A51">
        <f t="shared" si="1"/>
        <v>50</v>
      </c>
      <c r="B51" s="88" t="s">
        <v>182</v>
      </c>
      <c r="C51" s="43">
        <v>34208</v>
      </c>
      <c r="D51" s="43">
        <v>36399</v>
      </c>
      <c r="E51" s="42">
        <f t="shared" si="0"/>
        <v>35303.5</v>
      </c>
      <c r="F51" s="43" t="s">
        <v>218</v>
      </c>
      <c r="G51" s="43" t="s">
        <v>384</v>
      </c>
      <c r="H51" s="43" t="s">
        <v>218</v>
      </c>
      <c r="I51" s="43">
        <v>120</v>
      </c>
      <c r="J51" s="43" t="s">
        <v>218</v>
      </c>
      <c r="K51" s="43" t="s">
        <v>211</v>
      </c>
      <c r="L51" s="43" t="s">
        <v>211</v>
      </c>
      <c r="M51" s="43" t="s">
        <v>212</v>
      </c>
      <c r="N51" s="43" t="s">
        <v>212</v>
      </c>
      <c r="O51" s="43" t="s">
        <v>218</v>
      </c>
      <c r="P51" s="27">
        <v>8.4305228597631849</v>
      </c>
      <c r="Q51" s="91">
        <f>IF(Tableau14[[#This Row],[F crashes2015]] &lt;&gt; 0, Tableau14[[#This Row],[F &amp; S crashes2015]]/Tableau14[[#This Row],[F crashes2015]], 1)</f>
        <v>1</v>
      </c>
      <c r="R51" s="91" t="str">
        <f>IF( AND(P51&gt;=SCORE!B$2*'DATASET 102018'!Q51, P51&lt;SCORE!C$2*'DATASET 102018'!Q51),SCORE!A$2,(IF(AND(P51&gt;=SCORE!B$3*'DATASET 102018'!Q51,P51&lt;SCORE!C$3*'DATASET 102018'!Q51),SCORE!A$3,(IF(AND(P51&gt;=SCORE!B$4*'DATASET 102018'!Q51,P51&lt;SCORE!C$4*'DATASET 102018'!Q51),SCORE!A$4,(IF(AND(P51&gt;=SCORE!B$5*'DATASET 102018'!Q51,P51&lt;SCORE!C$5*'DATASET 102018'!Q51),SCORE!A$5,(IF(SCORE!B$6*'DATASET 102018'!Q51&lt;=P51,SCORE!A$6,0)))))))))</f>
        <v>Medium-high</v>
      </c>
      <c r="S51" s="71">
        <f>Tableau14[[#This Row],[F &amp; S crashes2015]]/4</f>
        <v>0.5</v>
      </c>
      <c r="T51" s="66" t="str">
        <f>IF( AND(S51&gt;=SCORE!G$2*'DATASET 102018'!Q51, S51&lt;SCORE!H$2*'DATASET 102018'!Q51),SCORE!F$2,(IF(AND(S51&gt;=SCORE!G$3*'DATASET 102018'!Q51, S51&lt;SCORE!H$3*'DATASET 102018'!Q51),SCORE!A$3,(IF(AND(S51&gt;=SCORE!G$4*'DATASET 102018'!Q51, S51&lt;SCORE!H$4*'DATASET 102018'!Q51),SCORE!A$4,(IF(AND(S51&gt;=SCORE!G$5*'DATASET 102018'!Q51, S51&lt;SCORE!H$5*'DATASET 102018'!Q51),SCORE!A$5,(IF(SCORE!G$6*'DATASET 102018'!Q51&lt;=S51,SCORE!A$6,0)))))))))</f>
        <v>High</v>
      </c>
      <c r="U51" s="16">
        <f>(Tableau14[[#This Row],[F &amp; S crashes2016]]/Tableau14[[#This Row],[BILLION VEH KM TRAVELLED2016]])</f>
        <v>3.9615575212011662</v>
      </c>
      <c r="V51" s="91">
        <f>IF(Tableau14[[#This Row],[F crashes2016]] &lt;&gt; 0, Tableau14[[#This Row],[F &amp; S crashes2016]]/Tableau14[[#This Row],[F crashes2016]], 1)</f>
        <v>1</v>
      </c>
      <c r="W51" s="91" t="str">
        <f>IF(AND(U51&gt;=SCORE!B$2*'DATASET 102018'!V51, U51&lt;SCORE!C$2*'DATASET 102018'!V51),SCORE!A$2,(IF(AND(U51&gt;=SCORE!B$3*'DATASET 102018'!V51, U51&lt;SCORE!C$3*'DATASET 102018'!V51),SCORE!A$3,(IF(AND(U51&gt;=SCORE!B$4*'DATASET 102018'!V51, U51&lt;SCORE!C$4*'DATASET 102018'!V51),SCORE!A$4,(IF(AND(U51&gt;=SCORE!B$5*'DATASET 102018'!V51, U51&lt;SCORE!C$5*'DATASET 102018'!V51),SCORE!A$5,(IF(SCORE!B$6*'DATASET 102018'!V51&lt;=U51,SCORE!A$6,0)))))))))</f>
        <v>Low-medium</v>
      </c>
      <c r="X51" s="16">
        <f>Tableau14[[#This Row],[F &amp; S crashes2016]]/4</f>
        <v>0.25</v>
      </c>
      <c r="Y51" s="8" t="str">
        <f>IF( AND(X51&gt;=SCORE!G$2*V51, X51&lt;SCORE!H$2*V51),SCORE!F$2,(IF(AND(X51&gt;=SCORE!G$3*V51, X51&lt;SCORE!H$3*V51),SCORE!A$3,(IF(AND(X51&gt;=SCORE!G$4*V51, X51&lt;SCORE!H$4*V51),SCORE!A$4,(IF(AND(X51&gt;=SCORE!G$5*V51, X51&lt;SCORE!H$5*V51),SCORE!A$5,(IF(SCORE!G$6*'DATASET 102018'!V51&lt;=X51,SCORE!A$6,0)))))))))</f>
        <v>High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</row>
    <row r="52" spans="1:31" x14ac:dyDescent="0.3">
      <c r="A52">
        <f t="shared" si="1"/>
        <v>51</v>
      </c>
      <c r="B52" s="85" t="s">
        <v>183</v>
      </c>
      <c r="C52" s="42">
        <v>34208</v>
      </c>
      <c r="D52" s="42">
        <v>36399</v>
      </c>
      <c r="E52" s="42">
        <f t="shared" si="0"/>
        <v>35303.5</v>
      </c>
      <c r="F52" s="42" t="s">
        <v>218</v>
      </c>
      <c r="G52" s="43" t="s">
        <v>384</v>
      </c>
      <c r="H52" s="42" t="s">
        <v>218</v>
      </c>
      <c r="I52" s="42">
        <v>120</v>
      </c>
      <c r="J52" s="42" t="s">
        <v>218</v>
      </c>
      <c r="K52" s="42" t="s">
        <v>211</v>
      </c>
      <c r="L52" s="42" t="s">
        <v>211</v>
      </c>
      <c r="M52" s="42" t="s">
        <v>212</v>
      </c>
      <c r="N52" s="43" t="s">
        <v>212</v>
      </c>
      <c r="O52" s="42" t="s">
        <v>218</v>
      </c>
      <c r="P52" s="27">
        <v>8.4305228597631849</v>
      </c>
      <c r="Q52" s="91">
        <f>IF(Tableau14[[#This Row],[F crashes2015]] &lt;&gt; 0, Tableau14[[#This Row],[F &amp; S crashes2015]]/Tableau14[[#This Row],[F crashes2015]], 1)</f>
        <v>1</v>
      </c>
      <c r="R52" s="91" t="str">
        <f>IF( AND(P52&gt;=SCORE!B$2*'DATASET 102018'!Q52, P52&lt;SCORE!C$2*'DATASET 102018'!Q52),SCORE!A$2,(IF(AND(P52&gt;=SCORE!B$3*'DATASET 102018'!Q52,P52&lt;SCORE!C$3*'DATASET 102018'!Q52),SCORE!A$3,(IF(AND(P52&gt;=SCORE!B$4*'DATASET 102018'!Q52,P52&lt;SCORE!C$4*'DATASET 102018'!Q52),SCORE!A$4,(IF(AND(P52&gt;=SCORE!B$5*'DATASET 102018'!Q52,P52&lt;SCORE!C$5*'DATASET 102018'!Q52),SCORE!A$5,(IF(SCORE!B$6*'DATASET 102018'!Q52&lt;=P52,SCORE!A$6,0)))))))))</f>
        <v>Medium-high</v>
      </c>
      <c r="S52" s="68">
        <f>Tableau14[[#This Row],[F &amp; S crashes2015]]/4</f>
        <v>0.5</v>
      </c>
      <c r="T52" s="66" t="str">
        <f>IF( AND(S52&gt;=SCORE!G$2*'DATASET 102018'!Q52, S52&lt;SCORE!H$2*'DATASET 102018'!Q52),SCORE!F$2,(IF(AND(S52&gt;=SCORE!G$3*'DATASET 102018'!Q52, S52&lt;SCORE!H$3*'DATASET 102018'!Q52),SCORE!A$3,(IF(AND(S52&gt;=SCORE!G$4*'DATASET 102018'!Q52, S52&lt;SCORE!H$4*'DATASET 102018'!Q52),SCORE!A$4,(IF(AND(S52&gt;=SCORE!G$5*'DATASET 102018'!Q52, S52&lt;SCORE!H$5*'DATASET 102018'!Q52),SCORE!A$5,(IF(SCORE!G$6*'DATASET 102018'!Q52&lt;=S52,SCORE!A$6,0)))))))))</f>
        <v>High</v>
      </c>
      <c r="U52" s="16">
        <f>(Tableau14[[#This Row],[F &amp; S crashes2016]]/Tableau14[[#This Row],[BILLION VEH KM TRAVELLED2016]])</f>
        <v>3.9615575212011662</v>
      </c>
      <c r="V52" s="91">
        <f>IF(Tableau14[[#This Row],[F crashes2016]] &lt;&gt; 0, Tableau14[[#This Row],[F &amp; S crashes2016]]/Tableau14[[#This Row],[F crashes2016]], 1)</f>
        <v>1</v>
      </c>
      <c r="W52" s="91" t="str">
        <f>IF(AND(U52&gt;=SCORE!B$2*'DATASET 102018'!V52, U52&lt;SCORE!C$2*'DATASET 102018'!V52),SCORE!A$2,(IF(AND(U52&gt;=SCORE!B$3*'DATASET 102018'!V52, U52&lt;SCORE!C$3*'DATASET 102018'!V52),SCORE!A$3,(IF(AND(U52&gt;=SCORE!B$4*'DATASET 102018'!V52, U52&lt;SCORE!C$4*'DATASET 102018'!V52),SCORE!A$4,(IF(AND(U52&gt;=SCORE!B$5*'DATASET 102018'!V52, U52&lt;SCORE!C$5*'DATASET 102018'!V52),SCORE!A$5,(IF(SCORE!B$6*'DATASET 102018'!V52&lt;=U52,SCORE!A$6,0)))))))))</f>
        <v>Low-medium</v>
      </c>
      <c r="X52" s="16">
        <f>Tableau14[[#This Row],[F &amp; S crashes2016]]/4</f>
        <v>0.25</v>
      </c>
      <c r="Y52" s="8" t="str">
        <f>IF( AND(X52&gt;=SCORE!G$2*V52, X52&lt;SCORE!H$2*V52),SCORE!F$2,(IF(AND(X52&gt;=SCORE!G$3*V52, X52&lt;SCORE!H$3*V52),SCORE!A$3,(IF(AND(X52&gt;=SCORE!G$4*V52, X52&lt;SCORE!H$4*V52),SCORE!A$4,(IF(AND(X52&gt;=SCORE!G$5*V52, X52&lt;SCORE!H$5*V52),SCORE!A$5,(IF(SCORE!G$6*'DATASET 102018'!V52&lt;=X52,SCORE!A$6,0)))))))))</f>
        <v>High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</row>
    <row r="53" spans="1:31" x14ac:dyDescent="0.3">
      <c r="A53">
        <f t="shared" si="1"/>
        <v>52</v>
      </c>
      <c r="B53" s="43" t="s">
        <v>184</v>
      </c>
      <c r="C53" s="43">
        <v>57943</v>
      </c>
      <c r="D53" s="43">
        <v>62479</v>
      </c>
      <c r="E53" s="42">
        <f t="shared" si="0"/>
        <v>60211</v>
      </c>
      <c r="F53" s="43">
        <v>3</v>
      </c>
      <c r="G53" s="43" t="s">
        <v>384</v>
      </c>
      <c r="H53" s="43" t="s">
        <v>417</v>
      </c>
      <c r="I53" s="43">
        <v>120</v>
      </c>
      <c r="J53" s="43" t="s">
        <v>218</v>
      </c>
      <c r="K53" s="43" t="s">
        <v>211</v>
      </c>
      <c r="L53" s="43" t="s">
        <v>212</v>
      </c>
      <c r="M53" s="43" t="s">
        <v>212</v>
      </c>
      <c r="N53" s="43" t="s">
        <v>212</v>
      </c>
      <c r="O53" s="43" t="s">
        <v>218</v>
      </c>
      <c r="P53" s="27">
        <v>19.469521458493006</v>
      </c>
      <c r="Q53" s="91">
        <f>IF(Tableau14[[#This Row],[F crashes2015]] &lt;&gt; 0, Tableau14[[#This Row],[F &amp; S crashes2015]]/Tableau14[[#This Row],[F crashes2015]], 1)</f>
        <v>2.3333333333333335</v>
      </c>
      <c r="R53" s="91" t="str">
        <f>IF( AND(P53&gt;=SCORE!B$2*'DATASET 102018'!Q53, P53&lt;SCORE!C$2*'DATASET 102018'!Q53),SCORE!A$2,(IF(AND(P53&gt;=SCORE!B$3*'DATASET 102018'!Q53,P53&lt;SCORE!C$3*'DATASET 102018'!Q53),SCORE!A$3,(IF(AND(P53&gt;=SCORE!B$4*'DATASET 102018'!Q53,P53&lt;SCORE!C$4*'DATASET 102018'!Q53),SCORE!A$4,(IF(AND(P53&gt;=SCORE!B$5*'DATASET 102018'!Q53,P53&lt;SCORE!C$5*'DATASET 102018'!Q53),SCORE!A$5,(IF(SCORE!B$6*'DATASET 102018'!Q53&lt;=P53,SCORE!A$6,0)))))))))</f>
        <v>Medium</v>
      </c>
      <c r="S53" s="71">
        <f>Tableau14[[#This Row],[F &amp; S crashes2015]]/4</f>
        <v>1.75</v>
      </c>
      <c r="T53" s="66" t="str">
        <f>IF( AND(S53&gt;=SCORE!G$2*'DATASET 102018'!Q53, S53&lt;SCORE!H$2*'DATASET 102018'!Q53),SCORE!F$2,(IF(AND(S53&gt;=SCORE!G$3*'DATASET 102018'!Q53, S53&lt;SCORE!H$3*'DATASET 102018'!Q53),SCORE!A$3,(IF(AND(S53&gt;=SCORE!G$4*'DATASET 102018'!Q53, S53&lt;SCORE!H$4*'DATASET 102018'!Q53),SCORE!A$4,(IF(AND(S53&gt;=SCORE!G$5*'DATASET 102018'!Q53, S53&lt;SCORE!H$5*'DATASET 102018'!Q53),SCORE!A$5,(IF(SCORE!G$6*'DATASET 102018'!Q53&lt;=S53,SCORE!A$6,0)))))))))</f>
        <v>High</v>
      </c>
      <c r="U53" s="16">
        <f>(Tableau14[[#This Row],[F &amp; S crashes2016]]/Tableau14[[#This Row],[BILLION VEH KM TRAVELLED2016]])</f>
        <v>12.897258952003561</v>
      </c>
      <c r="V53" s="91">
        <f>IF(Tableau14[[#This Row],[F crashes2016]] &lt;&gt; 0, Tableau14[[#This Row],[F &amp; S crashes2016]]/Tableau14[[#This Row],[F crashes2016]], 1)</f>
        <v>1.6666666666666667</v>
      </c>
      <c r="W53" s="91" t="str">
        <f>IF(AND(U53&gt;=SCORE!B$2*'DATASET 102018'!V53, U53&lt;SCORE!C$2*'DATASET 102018'!V53),SCORE!A$2,(IF(AND(U53&gt;=SCORE!B$3*'DATASET 102018'!V53, U53&lt;SCORE!C$3*'DATASET 102018'!V53),SCORE!A$3,(IF(AND(U53&gt;=SCORE!B$4*'DATASET 102018'!V53, U53&lt;SCORE!C$4*'DATASET 102018'!V53),SCORE!A$4,(IF(AND(U53&gt;=SCORE!B$5*'DATASET 102018'!V53, U53&lt;SCORE!C$5*'DATASET 102018'!V53),SCORE!A$5,(IF(SCORE!B$6*'DATASET 102018'!V53&lt;=U53,SCORE!A$6,0)))))))))</f>
        <v>Medium</v>
      </c>
      <c r="X53" s="16">
        <f>Tableau14[[#This Row],[F &amp; S crashes2016]]/4</f>
        <v>1.25</v>
      </c>
      <c r="Y53" s="8" t="str">
        <f>IF( AND(X53&gt;=SCORE!G$2*V53, X53&lt;SCORE!H$2*V53),SCORE!F$2,(IF(AND(X53&gt;=SCORE!G$3*V53, X53&lt;SCORE!H$3*V53),SCORE!A$3,(IF(AND(X53&gt;=SCORE!G$4*V53, X53&lt;SCORE!H$4*V53),SCORE!A$4,(IF(AND(X53&gt;=SCORE!G$5*V53, X53&lt;SCORE!H$5*V53),SCORE!A$5,(IF(SCORE!G$6*'DATASET 102018'!V53&lt;=X53,SCORE!A$6,0)))))))))</f>
        <v>High</v>
      </c>
      <c r="Z53" s="43">
        <v>0</v>
      </c>
      <c r="AA53" s="43">
        <v>0</v>
      </c>
      <c r="AB53" s="43">
        <v>187</v>
      </c>
      <c r="AC53" s="43">
        <v>191</v>
      </c>
      <c r="AD53" s="43">
        <v>131</v>
      </c>
      <c r="AE53" s="43">
        <v>224</v>
      </c>
    </row>
    <row r="54" spans="1:31" x14ac:dyDescent="0.3">
      <c r="A54">
        <f t="shared" si="1"/>
        <v>53</v>
      </c>
      <c r="B54" s="85" t="s">
        <v>185</v>
      </c>
      <c r="C54" s="42">
        <v>57943</v>
      </c>
      <c r="D54" s="42">
        <v>62479</v>
      </c>
      <c r="E54" s="42">
        <f t="shared" si="0"/>
        <v>60211</v>
      </c>
      <c r="F54" s="42">
        <v>3</v>
      </c>
      <c r="G54" s="43" t="s">
        <v>384</v>
      </c>
      <c r="H54" s="42" t="s">
        <v>417</v>
      </c>
      <c r="I54" s="42">
        <v>120</v>
      </c>
      <c r="J54" s="42" t="s">
        <v>218</v>
      </c>
      <c r="K54" s="42" t="s">
        <v>211</v>
      </c>
      <c r="L54" s="42" t="s">
        <v>212</v>
      </c>
      <c r="M54" s="42" t="s">
        <v>212</v>
      </c>
      <c r="N54" s="43" t="s">
        <v>212</v>
      </c>
      <c r="O54" s="42" t="s">
        <v>218</v>
      </c>
      <c r="P54" s="27">
        <v>0</v>
      </c>
      <c r="Q54" s="91">
        <f>IF(Tableau14[[#This Row],[F crashes2015]] &lt;&gt; 0, Tableau14[[#This Row],[F &amp; S crashes2015]]/Tableau14[[#This Row],[F crashes2015]], 1)</f>
        <v>0</v>
      </c>
      <c r="R54" s="91" t="str">
        <f>IF( AND(P54&gt;=SCORE!B$2*'DATASET 102018'!Q54, P54&lt;SCORE!C$2*'DATASET 102018'!Q54),SCORE!A$2,(IF(AND(P54&gt;=SCORE!B$3*'DATASET 102018'!Q54,P54&lt;SCORE!C$3*'DATASET 102018'!Q54),SCORE!A$3,(IF(AND(P54&gt;=SCORE!B$4*'DATASET 102018'!Q54,P54&lt;SCORE!C$4*'DATASET 102018'!Q54),SCORE!A$4,(IF(AND(P54&gt;=SCORE!B$5*'DATASET 102018'!Q54,P54&lt;SCORE!C$5*'DATASET 102018'!Q54),SCORE!A$5,(IF(SCORE!B$6*'DATASET 102018'!Q54&lt;=P54,SCORE!A$6,0)))))))))</f>
        <v>High</v>
      </c>
      <c r="S54" s="68">
        <f>Tableau14[[#This Row],[F &amp; S crashes2015]]/4</f>
        <v>0</v>
      </c>
      <c r="T54" s="66" t="str">
        <f>IF( AND(S54&gt;=SCORE!G$2*'DATASET 102018'!Q54, S54&lt;SCORE!H$2*'DATASET 102018'!Q54),SCORE!F$2,(IF(AND(S54&gt;=SCORE!G$3*'DATASET 102018'!Q54, S54&lt;SCORE!H$3*'DATASET 102018'!Q54),SCORE!A$3,(IF(AND(S54&gt;=SCORE!G$4*'DATASET 102018'!Q54, S54&lt;SCORE!H$4*'DATASET 102018'!Q54),SCORE!A$4,(IF(AND(S54&gt;=SCORE!G$5*'DATASET 102018'!Q54, S54&lt;SCORE!H$5*'DATASET 102018'!Q54),SCORE!A$5,(IF(SCORE!G$6*'DATASET 102018'!Q54&lt;=S54,SCORE!A$6,0)))))))))</f>
        <v>High</v>
      </c>
      <c r="U54" s="16">
        <f>(Tableau14[[#This Row],[F &amp; S crashes2016]]/Tableau14[[#This Row],[BILLION VEH KM TRAVELLED2016]])</f>
        <v>5.1589035808014243</v>
      </c>
      <c r="V54" s="91">
        <f>IF(Tableau14[[#This Row],[F crashes2016]] &lt;&gt; 0, Tableau14[[#This Row],[F &amp; S crashes2016]]/Tableau14[[#This Row],[F crashes2016]], 1)</f>
        <v>2</v>
      </c>
      <c r="W54" s="91" t="str">
        <f>IF(AND(U54&gt;=SCORE!B$2*'DATASET 102018'!V54, U54&lt;SCORE!C$2*'DATASET 102018'!V54),SCORE!A$2,(IF(AND(U54&gt;=SCORE!B$3*'DATASET 102018'!V54, U54&lt;SCORE!C$3*'DATASET 102018'!V54),SCORE!A$3,(IF(AND(U54&gt;=SCORE!B$4*'DATASET 102018'!V54, U54&lt;SCORE!C$4*'DATASET 102018'!V54),SCORE!A$4,(IF(AND(U54&gt;=SCORE!B$5*'DATASET 102018'!V54, U54&lt;SCORE!C$5*'DATASET 102018'!V54),SCORE!A$5,(IF(SCORE!B$6*'DATASET 102018'!V54&lt;=U54,SCORE!A$6,0)))))))))</f>
        <v>Low-medium</v>
      </c>
      <c r="X54" s="16">
        <f>Tableau14[[#This Row],[F &amp; S crashes2016]]/4</f>
        <v>0.5</v>
      </c>
      <c r="Y54" s="8" t="str">
        <f>IF( AND(X54&gt;=SCORE!G$2*V54, X54&lt;SCORE!H$2*V54),SCORE!F$2,(IF(AND(X54&gt;=SCORE!G$3*V54, X54&lt;SCORE!H$3*V54),SCORE!A$3,(IF(AND(X54&gt;=SCORE!G$4*V54, X54&lt;SCORE!H$4*V54),SCORE!A$4,(IF(AND(X54&gt;=SCORE!G$5*V54, X54&lt;SCORE!H$5*V54),SCORE!A$5,(IF(SCORE!G$6*'DATASET 102018'!V54&lt;=X54,SCORE!A$6,0)))))))))</f>
        <v>High</v>
      </c>
      <c r="Z54" s="42">
        <v>134</v>
      </c>
      <c r="AA54" s="42">
        <v>1</v>
      </c>
      <c r="AB54" s="42">
        <v>227</v>
      </c>
      <c r="AC54" s="42">
        <v>249</v>
      </c>
      <c r="AD54" s="42">
        <v>144</v>
      </c>
      <c r="AE54" s="42">
        <v>96</v>
      </c>
    </row>
    <row r="55" spans="1:31" x14ac:dyDescent="0.3">
      <c r="A55">
        <f t="shared" si="1"/>
        <v>54</v>
      </c>
      <c r="B55" s="43" t="s">
        <v>311</v>
      </c>
      <c r="C55" s="43">
        <v>54565</v>
      </c>
      <c r="D55" s="43">
        <v>58634</v>
      </c>
      <c r="E55" s="42">
        <f t="shared" si="0"/>
        <v>56599.5</v>
      </c>
      <c r="F55" s="43">
        <v>3</v>
      </c>
      <c r="G55" s="43" t="s">
        <v>384</v>
      </c>
      <c r="H55" s="43" t="s">
        <v>417</v>
      </c>
      <c r="I55" s="42">
        <v>120</v>
      </c>
      <c r="J55" s="43" t="s">
        <v>218</v>
      </c>
      <c r="K55" s="43" t="s">
        <v>212</v>
      </c>
      <c r="L55" s="43" t="s">
        <v>212</v>
      </c>
      <c r="M55" s="43" t="s">
        <v>212</v>
      </c>
      <c r="N55" s="43" t="s">
        <v>212</v>
      </c>
      <c r="O55" s="43"/>
      <c r="P55" s="27">
        <v>20.92106188364329</v>
      </c>
      <c r="Q55" s="91">
        <f>IF(Tableau14[[#This Row],[F crashes2015]] &lt;&gt; 0, Tableau14[[#This Row],[F &amp; S crashes2015]]/Tableau14[[#This Row],[F crashes2015]], 1)</f>
        <v>2.5</v>
      </c>
      <c r="R55" s="91" t="str">
        <f>IF( AND(P55&gt;=SCORE!B$2*'DATASET 102018'!Q55, P55&lt;SCORE!C$2*'DATASET 102018'!Q55),SCORE!A$2,(IF(AND(P55&gt;=SCORE!B$3*'DATASET 102018'!Q55,P55&lt;SCORE!C$3*'DATASET 102018'!Q55),SCORE!A$3,(IF(AND(P55&gt;=SCORE!B$4*'DATASET 102018'!Q55,P55&lt;SCORE!C$4*'DATASET 102018'!Q55),SCORE!A$4,(IF(AND(P55&gt;=SCORE!B$5*'DATASET 102018'!Q55,P55&lt;SCORE!C$5*'DATASET 102018'!Q55),SCORE!A$5,(IF(SCORE!B$6*'DATASET 102018'!Q55&lt;=P55,SCORE!A$6,0)))))))))</f>
        <v>Medium</v>
      </c>
      <c r="S55" s="71">
        <f>Tableau14[[#This Row],[F &amp; S crashes2015]]/4</f>
        <v>1.25</v>
      </c>
      <c r="T55" s="66" t="str">
        <f>IF( AND(S55&gt;=SCORE!G$2*'DATASET 102018'!Q55, S55&lt;SCORE!H$2*'DATASET 102018'!Q55),SCORE!F$2,(IF(AND(S55&gt;=SCORE!G$3*'DATASET 102018'!Q55, S55&lt;SCORE!H$3*'DATASET 102018'!Q55),SCORE!A$3,(IF(AND(S55&gt;=SCORE!G$4*'DATASET 102018'!Q55, S55&lt;SCORE!H$4*'DATASET 102018'!Q55),SCORE!A$4,(IF(AND(S55&gt;=SCORE!G$5*'DATASET 102018'!Q55, S55&lt;SCORE!H$5*'DATASET 102018'!Q55),SCORE!A$5,(IF(SCORE!G$6*'DATASET 102018'!Q55&lt;=S55,SCORE!A$6,0)))))))))</f>
        <v>High</v>
      </c>
      <c r="U55" s="16">
        <f>(Tableau14[[#This Row],[F &amp; S crashes2016]]/Tableau14[[#This Row],[BILLION VEH KM TRAVELLED2016]])</f>
        <v>7.7875935418966398</v>
      </c>
      <c r="V55" s="91">
        <f>IF(Tableau14[[#This Row],[F crashes2016]] &lt;&gt; 0, Tableau14[[#This Row],[F &amp; S crashes2016]]/Tableau14[[#This Row],[F crashes2016]], 1)</f>
        <v>2</v>
      </c>
      <c r="W55" s="91" t="str">
        <f>IF(AND(U55&gt;=SCORE!B$2*'DATASET 102018'!V55, U55&lt;SCORE!C$2*'DATASET 102018'!V55),SCORE!A$2,(IF(AND(U55&gt;=SCORE!B$3*'DATASET 102018'!V55, U55&lt;SCORE!C$3*'DATASET 102018'!V55),SCORE!A$3,(IF(AND(U55&gt;=SCORE!B$4*'DATASET 102018'!V55, U55&lt;SCORE!C$4*'DATASET 102018'!V55),SCORE!A$4,(IF(AND(U55&gt;=SCORE!B$5*'DATASET 102018'!V55, U55&lt;SCORE!C$5*'DATASET 102018'!V55),SCORE!A$5,(IF(SCORE!B$6*'DATASET 102018'!V55&lt;=U55,SCORE!A$6,0)))))))))</f>
        <v>Low-medium</v>
      </c>
      <c r="X55" s="16">
        <f>Tableau14[[#This Row],[F &amp; S crashes2016]]/4</f>
        <v>0.5</v>
      </c>
      <c r="Y55" s="8" t="str">
        <f>IF( AND(X55&gt;=SCORE!G$2*V55, X55&lt;SCORE!H$2*V55),SCORE!F$2,(IF(AND(X55&gt;=SCORE!G$3*V55, X55&lt;SCORE!H$3*V55),SCORE!A$3,(IF(AND(X55&gt;=SCORE!G$4*V55, X55&lt;SCORE!H$4*V55),SCORE!A$4,(IF(AND(X55&gt;=SCORE!G$5*V55, X55&lt;SCORE!H$5*V55),SCORE!A$5,(IF(SCORE!G$6*'DATASET 102018'!V55&lt;=X55,SCORE!A$6,0)))))))))</f>
        <v>High</v>
      </c>
      <c r="Z55" s="43">
        <v>0</v>
      </c>
      <c r="AA55" s="43">
        <v>0</v>
      </c>
      <c r="AB55" s="43">
        <v>467</v>
      </c>
      <c r="AC55" s="43">
        <v>148</v>
      </c>
      <c r="AD55" s="43">
        <v>307</v>
      </c>
      <c r="AE55" s="43">
        <v>25</v>
      </c>
    </row>
    <row r="56" spans="1:31" x14ac:dyDescent="0.3">
      <c r="A56">
        <f t="shared" si="1"/>
        <v>55</v>
      </c>
      <c r="B56" s="42" t="s">
        <v>186</v>
      </c>
      <c r="C56" s="42">
        <v>50325</v>
      </c>
      <c r="D56" s="42">
        <v>53986</v>
      </c>
      <c r="E56" s="42">
        <f t="shared" si="0"/>
        <v>52155.5</v>
      </c>
      <c r="F56" s="42">
        <v>6</v>
      </c>
      <c r="G56" s="42" t="s">
        <v>384</v>
      </c>
      <c r="H56" s="43" t="s">
        <v>417</v>
      </c>
      <c r="I56" s="42">
        <v>120</v>
      </c>
      <c r="J56" s="42" t="s">
        <v>218</v>
      </c>
      <c r="K56" s="42" t="s">
        <v>211</v>
      </c>
      <c r="L56" s="42" t="s">
        <v>211</v>
      </c>
      <c r="M56" s="42" t="s">
        <v>212</v>
      </c>
      <c r="N56" s="43" t="s">
        <v>212</v>
      </c>
      <c r="O56" s="42" t="s">
        <v>218</v>
      </c>
      <c r="P56" s="27">
        <v>10.88821779963382</v>
      </c>
      <c r="Q56" s="91">
        <f>IF(Tableau14[[#This Row],[F crashes2015]] &lt;&gt; 0, Tableau14[[#This Row],[F &amp; S crashes2015]]/Tableau14[[#This Row],[F crashes2015]], 1)</f>
        <v>2</v>
      </c>
      <c r="R56" s="91" t="str">
        <f>IF( AND(P56&gt;=SCORE!B$2*'DATASET 102018'!Q56, P56&lt;SCORE!C$2*'DATASET 102018'!Q56),SCORE!A$2,(IF(AND(P56&gt;=SCORE!B$3*'DATASET 102018'!Q56,P56&lt;SCORE!C$3*'DATASET 102018'!Q56),SCORE!A$3,(IF(AND(P56&gt;=SCORE!B$4*'DATASET 102018'!Q56,P56&lt;SCORE!C$4*'DATASET 102018'!Q56),SCORE!A$4,(IF(AND(P56&gt;=SCORE!B$5*'DATASET 102018'!Q56,P56&lt;SCORE!C$5*'DATASET 102018'!Q56),SCORE!A$5,(IF(SCORE!B$6*'DATASET 102018'!Q56&lt;=P56,SCORE!A$6,0)))))))))</f>
        <v>Medium</v>
      </c>
      <c r="S56" s="68">
        <f>Tableau14[[#This Row],[F &amp; S crashes2015]]/4</f>
        <v>1</v>
      </c>
      <c r="T56" s="66" t="str">
        <f>IF( AND(S56&gt;=SCORE!G$2*'DATASET 102018'!Q56, S56&lt;SCORE!H$2*'DATASET 102018'!Q56),SCORE!F$2,(IF(AND(S56&gt;=SCORE!G$3*'DATASET 102018'!Q56, S56&lt;SCORE!H$3*'DATASET 102018'!Q56),SCORE!A$3,(IF(AND(S56&gt;=SCORE!G$4*'DATASET 102018'!Q56, S56&lt;SCORE!H$4*'DATASET 102018'!Q56),SCORE!A$4,(IF(AND(S56&gt;=SCORE!G$5*'DATASET 102018'!Q56, S56&lt;SCORE!H$5*'DATASET 102018'!Q56),SCORE!A$5,(IF(SCORE!G$6*'DATASET 102018'!Q56&lt;=S56,SCORE!A$6,0)))))))))</f>
        <v>High</v>
      </c>
      <c r="U56" s="8">
        <f>(Tableau14[[#This Row],[F &amp; S crashes2016]]/Tableau14[[#This Row],[BILLION VEH KM TRAVELLED2016]])</f>
        <v>5.0748730273112157</v>
      </c>
      <c r="V56" s="91">
        <f>IF(Tableau14[[#This Row],[F crashes2016]] &lt;&gt; 0, Tableau14[[#This Row],[F &amp; S crashes2016]]/Tableau14[[#This Row],[F crashes2016]], 1)</f>
        <v>2</v>
      </c>
      <c r="W56" s="91" t="str">
        <f>IF(AND(U56&gt;=SCORE!B$2*'DATASET 102018'!V56, U56&lt;SCORE!C$2*'DATASET 102018'!V56),SCORE!A$2,(IF(AND(U56&gt;=SCORE!B$3*'DATASET 102018'!V56, U56&lt;SCORE!C$3*'DATASET 102018'!V56),SCORE!A$3,(IF(AND(U56&gt;=SCORE!B$4*'DATASET 102018'!V56, U56&lt;SCORE!C$4*'DATASET 102018'!V56),SCORE!A$4,(IF(AND(U56&gt;=SCORE!B$5*'DATASET 102018'!V56, U56&lt;SCORE!C$5*'DATASET 102018'!V56),SCORE!A$5,(IF(SCORE!B$6*'DATASET 102018'!V56&lt;=U56,SCORE!A$6,0)))))))))</f>
        <v>Low-medium</v>
      </c>
      <c r="X56" s="8">
        <f>Tableau14[[#This Row],[F &amp; S crashes2016]]/4</f>
        <v>0.5</v>
      </c>
      <c r="Y56" s="8" t="str">
        <f>IF( AND(X56&gt;=SCORE!G$2*V56, X56&lt;SCORE!H$2*V56),SCORE!F$2,(IF(AND(X56&gt;=SCORE!G$3*V56, X56&lt;SCORE!H$3*V56),SCORE!A$3,(IF(AND(X56&gt;=SCORE!G$4*V56, X56&lt;SCORE!H$4*V56),SCORE!A$4,(IF(AND(X56&gt;=SCORE!G$5*V56, X56&lt;SCORE!H$5*V56),SCORE!A$5,(IF(SCORE!G$6*'DATASET 102018'!V56&lt;=X56,SCORE!A$6,0)))))))))</f>
        <v>High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</row>
    <row r="57" spans="1:31" x14ac:dyDescent="0.3">
      <c r="A57">
        <f t="shared" si="1"/>
        <v>56</v>
      </c>
      <c r="B57" s="85" t="s">
        <v>187</v>
      </c>
      <c r="C57" s="43">
        <v>55874</v>
      </c>
      <c r="D57" s="43">
        <v>58966</v>
      </c>
      <c r="E57" s="42">
        <f t="shared" si="0"/>
        <v>57420</v>
      </c>
      <c r="F57" s="43" t="s">
        <v>218</v>
      </c>
      <c r="G57" s="43" t="s">
        <v>384</v>
      </c>
      <c r="H57" s="43" t="s">
        <v>417</v>
      </c>
      <c r="I57" s="43">
        <v>120</v>
      </c>
      <c r="J57" s="43" t="s">
        <v>218</v>
      </c>
      <c r="K57" s="43" t="s">
        <v>211</v>
      </c>
      <c r="L57" s="43" t="s">
        <v>212</v>
      </c>
      <c r="M57" s="43" t="s">
        <v>212</v>
      </c>
      <c r="N57" s="43" t="s">
        <v>212</v>
      </c>
      <c r="O57" s="43" t="s">
        <v>218</v>
      </c>
      <c r="P57" s="27">
        <v>7.5437554791239014</v>
      </c>
      <c r="Q57" s="91">
        <f>IF(Tableau14[[#This Row],[F crashes2015]] &lt;&gt; 0, Tableau14[[#This Row],[F &amp; S crashes2015]]/Tableau14[[#This Row],[F crashes2015]], 1)</f>
        <v>2</v>
      </c>
      <c r="R57" s="91" t="str">
        <f>IF( AND(P57&gt;=SCORE!B$2*'DATASET 102018'!Q57, P57&lt;SCORE!C$2*'DATASET 102018'!Q57),SCORE!A$2,(IF(AND(P57&gt;=SCORE!B$3*'DATASET 102018'!Q57,P57&lt;SCORE!C$3*'DATASET 102018'!Q57),SCORE!A$3,(IF(AND(P57&gt;=SCORE!B$4*'DATASET 102018'!Q57,P57&lt;SCORE!C$4*'DATASET 102018'!Q57),SCORE!A$4,(IF(AND(P57&gt;=SCORE!B$5*'DATASET 102018'!Q57,P57&lt;SCORE!C$5*'DATASET 102018'!Q57),SCORE!A$5,(IF(SCORE!B$6*'DATASET 102018'!Q57&lt;=P57,SCORE!A$6,0)))))))))</f>
        <v>Low-medium</v>
      </c>
      <c r="S57" s="71">
        <f>Tableau14[[#This Row],[F &amp; S crashes2015]]/4</f>
        <v>0.5</v>
      </c>
      <c r="T57" s="66" t="str">
        <f>IF( AND(S57&gt;=SCORE!G$2*'DATASET 102018'!Q57, S57&lt;SCORE!H$2*'DATASET 102018'!Q57),SCORE!F$2,(IF(AND(S57&gt;=SCORE!G$3*'DATASET 102018'!Q57, S57&lt;SCORE!H$3*'DATASET 102018'!Q57),SCORE!A$3,(IF(AND(S57&gt;=SCORE!G$4*'DATASET 102018'!Q57, S57&lt;SCORE!H$4*'DATASET 102018'!Q57),SCORE!A$4,(IF(AND(S57&gt;=SCORE!G$5*'DATASET 102018'!Q57, S57&lt;SCORE!H$5*'DATASET 102018'!Q57),SCORE!A$5,(IF(SCORE!G$6*'DATASET 102018'!Q57&lt;=S57,SCORE!A$6,0)))))))))</f>
        <v>High</v>
      </c>
      <c r="U57" s="8">
        <f>(Tableau14[[#This Row],[F &amp; S crashes2016]]/Tableau14[[#This Row],[BILLION VEH KM TRAVELLED2016]])</f>
        <v>7.1480872451210997</v>
      </c>
      <c r="V57" s="91">
        <f>IF(Tableau14[[#This Row],[F crashes2016]] &lt;&gt; 0, Tableau14[[#This Row],[F &amp; S crashes2016]]/Tableau14[[#This Row],[F crashes2016]], 1)</f>
        <v>2</v>
      </c>
      <c r="W57" s="91" t="str">
        <f>IF(AND(U57&gt;=SCORE!B$2*'DATASET 102018'!V57, U57&lt;SCORE!C$2*'DATASET 102018'!V57),SCORE!A$2,(IF(AND(U57&gt;=SCORE!B$3*'DATASET 102018'!V57, U57&lt;SCORE!C$3*'DATASET 102018'!V57),SCORE!A$3,(IF(AND(U57&gt;=SCORE!B$4*'DATASET 102018'!V57, U57&lt;SCORE!C$4*'DATASET 102018'!V57),SCORE!A$4,(IF(AND(U57&gt;=SCORE!B$5*'DATASET 102018'!V57, U57&lt;SCORE!C$5*'DATASET 102018'!V57),SCORE!A$5,(IF(SCORE!B$6*'DATASET 102018'!V57&lt;=U57,SCORE!A$6,0)))))))))</f>
        <v>Low-medium</v>
      </c>
      <c r="X57" s="8">
        <f>Tableau14[[#This Row],[F &amp; S crashes2016]]/4</f>
        <v>0.5</v>
      </c>
      <c r="Y57" s="8" t="str">
        <f>IF( AND(X57&gt;=SCORE!G$2*V57, X57&lt;SCORE!H$2*V57),SCORE!F$2,(IF(AND(X57&gt;=SCORE!G$3*V57, X57&lt;SCORE!H$3*V57),SCORE!A$3,(IF(AND(X57&gt;=SCORE!G$4*V57, X57&lt;SCORE!H$4*V57),SCORE!A$4,(IF(AND(X57&gt;=SCORE!G$5*V57, X57&lt;SCORE!H$5*V57),SCORE!A$5,(IF(SCORE!G$6*'DATASET 102018'!V57&lt;=X57,SCORE!A$6,0)))))))))</f>
        <v>High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</row>
    <row r="58" spans="1:31" x14ac:dyDescent="0.3">
      <c r="A58">
        <f t="shared" si="1"/>
        <v>57</v>
      </c>
      <c r="B58" s="85" t="s">
        <v>188</v>
      </c>
      <c r="C58" s="42">
        <v>55874</v>
      </c>
      <c r="D58" s="42">
        <v>58966</v>
      </c>
      <c r="E58" s="42">
        <f t="shared" si="0"/>
        <v>57420</v>
      </c>
      <c r="F58" s="42" t="s">
        <v>218</v>
      </c>
      <c r="G58" s="43" t="s">
        <v>384</v>
      </c>
      <c r="H58" s="43" t="s">
        <v>417</v>
      </c>
      <c r="I58" s="42">
        <v>120</v>
      </c>
      <c r="J58" s="42" t="s">
        <v>218</v>
      </c>
      <c r="K58" s="42" t="s">
        <v>211</v>
      </c>
      <c r="L58" s="42" t="s">
        <v>212</v>
      </c>
      <c r="M58" s="42" t="s">
        <v>212</v>
      </c>
      <c r="N58" s="43" t="s">
        <v>212</v>
      </c>
      <c r="O58" s="42" t="s">
        <v>218</v>
      </c>
      <c r="P58" s="27">
        <v>11.315633218685852</v>
      </c>
      <c r="Q58" s="91">
        <f>IF(Tableau14[[#This Row],[F crashes2015]] &lt;&gt; 0, Tableau14[[#This Row],[F &amp; S crashes2015]]/Tableau14[[#This Row],[F crashes2015]], 1)</f>
        <v>1.5</v>
      </c>
      <c r="R58" s="91" t="str">
        <f>IF( AND(P58&gt;=SCORE!B$2*'DATASET 102018'!Q58, P58&lt;SCORE!C$2*'DATASET 102018'!Q58),SCORE!A$2,(IF(AND(P58&gt;=SCORE!B$3*'DATASET 102018'!Q58,P58&lt;SCORE!C$3*'DATASET 102018'!Q58),SCORE!A$3,(IF(AND(P58&gt;=SCORE!B$4*'DATASET 102018'!Q58,P58&lt;SCORE!C$4*'DATASET 102018'!Q58),SCORE!A$4,(IF(AND(P58&gt;=SCORE!B$5*'DATASET 102018'!Q58,P58&lt;SCORE!C$5*'DATASET 102018'!Q58),SCORE!A$5,(IF(SCORE!B$6*'DATASET 102018'!Q58&lt;=P58,SCORE!A$6,0)))))))))</f>
        <v>Medium</v>
      </c>
      <c r="S58" s="68">
        <f>Tableau14[[#This Row],[F &amp; S crashes2015]]/4</f>
        <v>0.75</v>
      </c>
      <c r="T58" s="66" t="str">
        <f>IF( AND(S58&gt;=SCORE!G$2*'DATASET 102018'!Q58, S58&lt;SCORE!H$2*'DATASET 102018'!Q58),SCORE!F$2,(IF(AND(S58&gt;=SCORE!G$3*'DATASET 102018'!Q58, S58&lt;SCORE!H$3*'DATASET 102018'!Q58),SCORE!A$3,(IF(AND(S58&gt;=SCORE!G$4*'DATASET 102018'!Q58, S58&lt;SCORE!H$4*'DATASET 102018'!Q58),SCORE!A$4,(IF(AND(S58&gt;=SCORE!G$5*'DATASET 102018'!Q58, S58&lt;SCORE!H$5*'DATASET 102018'!Q58),SCORE!A$5,(IF(SCORE!G$6*'DATASET 102018'!Q58&lt;=S58,SCORE!A$6,0)))))))))</f>
        <v>High</v>
      </c>
      <c r="U58" s="8">
        <f>(Tableau14[[#This Row],[F &amp; S crashes2016]]/Tableau14[[#This Row],[BILLION VEH KM TRAVELLED2016]])</f>
        <v>7.1480872451210997</v>
      </c>
      <c r="V58" s="91">
        <f>IF(Tableau14[[#This Row],[F crashes2016]] &lt;&gt; 0, Tableau14[[#This Row],[F &amp; S crashes2016]]/Tableau14[[#This Row],[F crashes2016]], 1)</f>
        <v>2</v>
      </c>
      <c r="W58" s="91" t="str">
        <f>IF(AND(U58&gt;=SCORE!B$2*'DATASET 102018'!V58, U58&lt;SCORE!C$2*'DATASET 102018'!V58),SCORE!A$2,(IF(AND(U58&gt;=SCORE!B$3*'DATASET 102018'!V58, U58&lt;SCORE!C$3*'DATASET 102018'!V58),SCORE!A$3,(IF(AND(U58&gt;=SCORE!B$4*'DATASET 102018'!V58, U58&lt;SCORE!C$4*'DATASET 102018'!V58),SCORE!A$4,(IF(AND(U58&gt;=SCORE!B$5*'DATASET 102018'!V58, U58&lt;SCORE!C$5*'DATASET 102018'!V58),SCORE!A$5,(IF(SCORE!B$6*'DATASET 102018'!V58&lt;=U58,SCORE!A$6,0)))))))))</f>
        <v>Low-medium</v>
      </c>
      <c r="X58" s="8">
        <f>Tableau14[[#This Row],[F &amp; S crashes2016]]/4</f>
        <v>0.5</v>
      </c>
      <c r="Y58" s="8" t="str">
        <f>IF( AND(X58&gt;=SCORE!G$2*V58, X58&lt;SCORE!H$2*V58),SCORE!F$2,(IF(AND(X58&gt;=SCORE!G$3*V58, X58&lt;SCORE!H$3*V58),SCORE!A$3,(IF(AND(X58&gt;=SCORE!G$4*V58, X58&lt;SCORE!H$4*V58),SCORE!A$4,(IF(AND(X58&gt;=SCORE!G$5*V58, X58&lt;SCORE!H$5*V58),SCORE!A$5,(IF(SCORE!G$6*'DATASET 102018'!V58&lt;=X58,SCORE!A$6,0)))))))))</f>
        <v>High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</row>
    <row r="59" spans="1:31" x14ac:dyDescent="0.3">
      <c r="A59">
        <f t="shared" si="1"/>
        <v>58</v>
      </c>
      <c r="B59" s="43" t="s">
        <v>312</v>
      </c>
      <c r="C59" s="43">
        <v>13694</v>
      </c>
      <c r="D59" s="43">
        <v>14646</v>
      </c>
      <c r="E59" s="42">
        <f t="shared" si="0"/>
        <v>14170</v>
      </c>
      <c r="F59" s="43">
        <v>2</v>
      </c>
      <c r="G59" s="43" t="s">
        <v>384</v>
      </c>
      <c r="H59" s="43" t="s">
        <v>417</v>
      </c>
      <c r="I59" s="42">
        <v>120</v>
      </c>
      <c r="J59" s="43" t="s">
        <v>218</v>
      </c>
      <c r="K59" s="43" t="s">
        <v>211</v>
      </c>
      <c r="L59" s="43" t="s">
        <v>212</v>
      </c>
      <c r="M59" s="43" t="s">
        <v>212</v>
      </c>
      <c r="N59" s="43" t="s">
        <v>212</v>
      </c>
      <c r="O59" s="43"/>
      <c r="P59" s="27">
        <v>3.1757538560836958</v>
      </c>
      <c r="Q59" s="91">
        <f>IF(Tableau14[[#This Row],[F crashes2015]] &lt;&gt; 0, Tableau14[[#This Row],[F &amp; S crashes2015]]/Tableau14[[#This Row],[F crashes2015]], 1)</f>
        <v>1</v>
      </c>
      <c r="R59" s="91" t="str">
        <f>IF( AND(P59&gt;=SCORE!B$2*'DATASET 102018'!Q59, P59&lt;SCORE!C$2*'DATASET 102018'!Q59),SCORE!A$2,(IF(AND(P59&gt;=SCORE!B$3*'DATASET 102018'!Q59,P59&lt;SCORE!C$3*'DATASET 102018'!Q59),SCORE!A$3,(IF(AND(P59&gt;=SCORE!B$4*'DATASET 102018'!Q59,P59&lt;SCORE!C$4*'DATASET 102018'!Q59),SCORE!A$4,(IF(AND(P59&gt;=SCORE!B$5*'DATASET 102018'!Q59,P59&lt;SCORE!C$5*'DATASET 102018'!Q59),SCORE!A$5,(IF(SCORE!B$6*'DATASET 102018'!Q59&lt;=P59,SCORE!A$6,0)))))))))</f>
        <v>Low-medium</v>
      </c>
      <c r="S59" s="71">
        <f>Tableau14[[#This Row],[F &amp; S crashes2015]]/4</f>
        <v>0.25</v>
      </c>
      <c r="T59" s="66" t="str">
        <f>IF( AND(S59&gt;=SCORE!G$2*'DATASET 102018'!Q59, S59&lt;SCORE!H$2*'DATASET 102018'!Q59),SCORE!F$2,(IF(AND(S59&gt;=SCORE!G$3*'DATASET 102018'!Q59, S59&lt;SCORE!H$3*'DATASET 102018'!Q59),SCORE!A$3,(IF(AND(S59&gt;=SCORE!G$4*'DATASET 102018'!Q59, S59&lt;SCORE!H$4*'DATASET 102018'!Q59),SCORE!A$4,(IF(AND(S59&gt;=SCORE!G$5*'DATASET 102018'!Q59, S59&lt;SCORE!H$5*'DATASET 102018'!Q59),SCORE!A$5,(IF(SCORE!G$6*'DATASET 102018'!Q59&lt;=S59,SCORE!A$6,0)))))))))</f>
        <v>High</v>
      </c>
      <c r="U59" s="8">
        <f>(Tableau14[[#This Row],[F &amp; S crashes2016]]/Tableau14[[#This Row],[BILLION VEH KM TRAVELLED2016]])</f>
        <v>0</v>
      </c>
      <c r="V59" s="91">
        <f>IF(Tableau14[[#This Row],[F crashes2016]] &lt;&gt; 0, Tableau14[[#This Row],[F &amp; S crashes2016]]/Tableau14[[#This Row],[F crashes2016]], 1)</f>
        <v>1</v>
      </c>
      <c r="W59" s="91" t="str">
        <f>IF(AND(U59&gt;=SCORE!B$2*'DATASET 102018'!V59, U59&lt;SCORE!C$2*'DATASET 102018'!V59),SCORE!A$2,(IF(AND(U59&gt;=SCORE!B$3*'DATASET 102018'!V59, U59&lt;SCORE!C$3*'DATASET 102018'!V59),SCORE!A$3,(IF(AND(U59&gt;=SCORE!B$4*'DATASET 102018'!V59, U59&lt;SCORE!C$4*'DATASET 102018'!V59),SCORE!A$4,(IF(AND(U59&gt;=SCORE!B$5*'DATASET 102018'!V59, U59&lt;SCORE!C$5*'DATASET 102018'!V59),SCORE!A$5,(IF(SCORE!B$6*'DATASET 102018'!V59&lt;=U59,SCORE!A$6,0)))))))))</f>
        <v>Low</v>
      </c>
      <c r="X59" s="8">
        <f>Tableau14[[#This Row],[F &amp; S crashes2016]]/4</f>
        <v>0</v>
      </c>
      <c r="Y59" s="8" t="str">
        <f>IF( AND(X59&gt;=SCORE!G$2*V59, X59&lt;SCORE!H$2*V59),SCORE!F$2,(IF(AND(X59&gt;=SCORE!G$3*V59, X59&lt;SCORE!H$3*V59),SCORE!A$3,(IF(AND(X59&gt;=SCORE!G$4*V59, X59&lt;SCORE!H$4*V59),SCORE!A$4,(IF(AND(X59&gt;=SCORE!G$5*V59, X59&lt;SCORE!H$5*V59),SCORE!A$5,(IF(SCORE!G$6*'DATASET 102018'!V59&lt;=X59,SCORE!A$6,0)))))))))</f>
        <v>Low</v>
      </c>
      <c r="Z59" s="43">
        <v>224</v>
      </c>
      <c r="AA59" s="43">
        <v>168</v>
      </c>
      <c r="AB59" s="43">
        <v>230</v>
      </c>
      <c r="AC59" s="43">
        <v>291</v>
      </c>
      <c r="AD59" s="43">
        <v>0</v>
      </c>
      <c r="AE59" s="43">
        <v>0</v>
      </c>
    </row>
    <row r="60" spans="1:31" x14ac:dyDescent="0.3">
      <c r="A60">
        <f t="shared" si="1"/>
        <v>59</v>
      </c>
      <c r="B60" s="87" t="s">
        <v>235</v>
      </c>
      <c r="C60" s="42">
        <v>13177</v>
      </c>
      <c r="D60" s="42">
        <v>14075</v>
      </c>
      <c r="E60" s="42">
        <f t="shared" si="0"/>
        <v>13626</v>
      </c>
      <c r="F60" s="42">
        <v>2</v>
      </c>
      <c r="G60" s="43" t="s">
        <v>384</v>
      </c>
      <c r="H60" s="43" t="s">
        <v>417</v>
      </c>
      <c r="I60" s="42">
        <v>120</v>
      </c>
      <c r="J60" s="42" t="s">
        <v>218</v>
      </c>
      <c r="K60" s="42" t="s">
        <v>212</v>
      </c>
      <c r="L60" s="42" t="s">
        <v>212</v>
      </c>
      <c r="M60" s="42" t="s">
        <v>211</v>
      </c>
      <c r="N60" s="43" t="s">
        <v>212</v>
      </c>
      <c r="O60" s="42" t="s">
        <v>218</v>
      </c>
      <c r="P60" s="27">
        <v>0</v>
      </c>
      <c r="Q60" s="91">
        <f>IF(Tableau14[[#This Row],[F crashes2015]] &lt;&gt; 0, Tableau14[[#This Row],[F &amp; S crashes2015]]/Tableau14[[#This Row],[F crashes2015]], 1)</f>
        <v>1</v>
      </c>
      <c r="R60" s="91" t="str">
        <f>IF( AND(P60&gt;=SCORE!B$2*'DATASET 102018'!Q60, P60&lt;SCORE!C$2*'DATASET 102018'!Q60),SCORE!A$2,(IF(AND(P60&gt;=SCORE!B$3*'DATASET 102018'!Q60,P60&lt;SCORE!C$3*'DATASET 102018'!Q60),SCORE!A$3,(IF(AND(P60&gt;=SCORE!B$4*'DATASET 102018'!Q60,P60&lt;SCORE!C$4*'DATASET 102018'!Q60),SCORE!A$4,(IF(AND(P60&gt;=SCORE!B$5*'DATASET 102018'!Q60,P60&lt;SCORE!C$5*'DATASET 102018'!Q60),SCORE!A$5,(IF(SCORE!B$6*'DATASET 102018'!Q60&lt;=P60,SCORE!A$6,0)))))))))</f>
        <v>Low</v>
      </c>
      <c r="S60" s="68">
        <f>Tableau14[[#This Row],[F &amp; S crashes2015]]/4</f>
        <v>0</v>
      </c>
      <c r="T60" s="66" t="str">
        <f>IF( AND(S60&gt;=SCORE!G$2*'DATASET 102018'!Q60, S60&lt;SCORE!H$2*'DATASET 102018'!Q60),SCORE!F$2,(IF(AND(S60&gt;=SCORE!G$3*'DATASET 102018'!Q60, S60&lt;SCORE!H$3*'DATASET 102018'!Q60),SCORE!A$3,(IF(AND(S60&gt;=SCORE!G$4*'DATASET 102018'!Q60, S60&lt;SCORE!H$4*'DATASET 102018'!Q60),SCORE!A$4,(IF(AND(S60&gt;=SCORE!G$5*'DATASET 102018'!Q60, S60&lt;SCORE!H$5*'DATASET 102018'!Q60),SCORE!A$5,(IF(SCORE!G$6*'DATASET 102018'!Q60&lt;=S60,SCORE!A$6,0)))))))))</f>
        <v>Low</v>
      </c>
      <c r="U60" s="8">
        <f>(Tableau14[[#This Row],[F &amp; S crashes2016]]/Tableau14[[#This Row],[BILLION VEH KM TRAVELLED2016]])</f>
        <v>0</v>
      </c>
      <c r="V60" s="91">
        <f>IF(Tableau14[[#This Row],[F crashes2016]] &lt;&gt; 0, Tableau14[[#This Row],[F &amp; S crashes2016]]/Tableau14[[#This Row],[F crashes2016]], 1)</f>
        <v>1</v>
      </c>
      <c r="W60" s="91" t="str">
        <f>IF(AND(U60&gt;=SCORE!B$2*'DATASET 102018'!V60, U60&lt;SCORE!C$2*'DATASET 102018'!V60),SCORE!A$2,(IF(AND(U60&gt;=SCORE!B$3*'DATASET 102018'!V60, U60&lt;SCORE!C$3*'DATASET 102018'!V60),SCORE!A$3,(IF(AND(U60&gt;=SCORE!B$4*'DATASET 102018'!V60, U60&lt;SCORE!C$4*'DATASET 102018'!V60),SCORE!A$4,(IF(AND(U60&gt;=SCORE!B$5*'DATASET 102018'!V60, U60&lt;SCORE!C$5*'DATASET 102018'!V60),SCORE!A$5,(IF(SCORE!B$6*'DATASET 102018'!V60&lt;=U60,SCORE!A$6,0)))))))))</f>
        <v>Low</v>
      </c>
      <c r="X60" s="8">
        <f>Tableau14[[#This Row],[F &amp; S crashes2016]]/4</f>
        <v>0</v>
      </c>
      <c r="Y60" s="8" t="str">
        <f>IF( AND(X60&gt;=SCORE!G$2*V60, X60&lt;SCORE!H$2*V60),SCORE!F$2,(IF(AND(X60&gt;=SCORE!G$3*V60, X60&lt;SCORE!H$3*V60),SCORE!A$3,(IF(AND(X60&gt;=SCORE!G$4*V60, X60&lt;SCORE!H$4*V60),SCORE!A$4,(IF(AND(X60&gt;=SCORE!G$5*V60, X60&lt;SCORE!H$5*V60),SCORE!A$5,(IF(SCORE!G$6*'DATASET 102018'!V60&lt;=X60,SCORE!A$6,0)))))))))</f>
        <v>Low</v>
      </c>
      <c r="Z60" s="42">
        <v>0</v>
      </c>
      <c r="AA60" s="42">
        <v>0</v>
      </c>
      <c r="AB60" s="42">
        <v>170</v>
      </c>
      <c r="AC60" s="42">
        <v>227</v>
      </c>
      <c r="AD60" s="42">
        <v>140</v>
      </c>
      <c r="AE60" s="42">
        <v>348</v>
      </c>
    </row>
    <row r="61" spans="1:31" x14ac:dyDescent="0.3">
      <c r="A61">
        <f t="shared" si="1"/>
        <v>60</v>
      </c>
      <c r="B61" s="87" t="s">
        <v>236</v>
      </c>
      <c r="C61" s="43">
        <v>13054</v>
      </c>
      <c r="D61" s="43">
        <v>13922</v>
      </c>
      <c r="E61" s="42">
        <f t="shared" si="0"/>
        <v>13488</v>
      </c>
      <c r="F61" s="43">
        <v>2</v>
      </c>
      <c r="G61" s="43" t="s">
        <v>384</v>
      </c>
      <c r="H61" s="43" t="s">
        <v>417</v>
      </c>
      <c r="I61" s="42">
        <v>120</v>
      </c>
      <c r="J61" s="43" t="s">
        <v>218</v>
      </c>
      <c r="K61" s="43" t="s">
        <v>211</v>
      </c>
      <c r="L61" s="43" t="s">
        <v>211</v>
      </c>
      <c r="M61" s="43" t="s">
        <v>211</v>
      </c>
      <c r="N61" s="43" t="s">
        <v>212</v>
      </c>
      <c r="O61" s="43" t="s">
        <v>218</v>
      </c>
      <c r="P61" s="27">
        <v>5.5229953501349849</v>
      </c>
      <c r="Q61" s="91">
        <f>IF(Tableau14[[#This Row],[F crashes2015]] &lt;&gt; 0, Tableau14[[#This Row],[F &amp; S crashes2015]]/Tableau14[[#This Row],[F crashes2015]], 1)</f>
        <v>1</v>
      </c>
      <c r="R61" s="91" t="str">
        <f>IF( AND(P61&gt;=SCORE!B$2*'DATASET 102018'!Q61, P61&lt;SCORE!C$2*'DATASET 102018'!Q61),SCORE!A$2,(IF(AND(P61&gt;=SCORE!B$3*'DATASET 102018'!Q61,P61&lt;SCORE!C$3*'DATASET 102018'!Q61),SCORE!A$3,(IF(AND(P61&gt;=SCORE!B$4*'DATASET 102018'!Q61,P61&lt;SCORE!C$4*'DATASET 102018'!Q61),SCORE!A$4,(IF(AND(P61&gt;=SCORE!B$5*'DATASET 102018'!Q61,P61&lt;SCORE!C$5*'DATASET 102018'!Q61),SCORE!A$5,(IF(SCORE!B$6*'DATASET 102018'!Q61&lt;=P61,SCORE!A$6,0)))))))))</f>
        <v>Medium</v>
      </c>
      <c r="S61" s="71">
        <f>Tableau14[[#This Row],[F &amp; S crashes2015]]/4</f>
        <v>0.25</v>
      </c>
      <c r="T61" s="66" t="str">
        <f>IF( AND(S61&gt;=SCORE!G$2*'DATASET 102018'!Q61, S61&lt;SCORE!H$2*'DATASET 102018'!Q61),SCORE!F$2,(IF(AND(S61&gt;=SCORE!G$3*'DATASET 102018'!Q61, S61&lt;SCORE!H$3*'DATASET 102018'!Q61),SCORE!A$3,(IF(AND(S61&gt;=SCORE!G$4*'DATASET 102018'!Q61, S61&lt;SCORE!H$4*'DATASET 102018'!Q61),SCORE!A$4,(IF(AND(S61&gt;=SCORE!G$5*'DATASET 102018'!Q61, S61&lt;SCORE!H$5*'DATASET 102018'!Q61),SCORE!A$5,(IF(SCORE!G$6*'DATASET 102018'!Q61&lt;=S61,SCORE!A$6,0)))))))))</f>
        <v>High</v>
      </c>
      <c r="U61" s="8">
        <f>(Tableau14[[#This Row],[F &amp; S crashes2016]]/Tableau14[[#This Row],[BILLION VEH KM TRAVELLED2016]])</f>
        <v>0</v>
      </c>
      <c r="V61" s="91">
        <f>IF(Tableau14[[#This Row],[F crashes2016]] &lt;&gt; 0, Tableau14[[#This Row],[F &amp; S crashes2016]]/Tableau14[[#This Row],[F crashes2016]], 1)</f>
        <v>1</v>
      </c>
      <c r="W61" s="91" t="str">
        <f>IF(AND(U61&gt;=SCORE!B$2*'DATASET 102018'!V61, U61&lt;SCORE!C$2*'DATASET 102018'!V61),SCORE!A$2,(IF(AND(U61&gt;=SCORE!B$3*'DATASET 102018'!V61, U61&lt;SCORE!C$3*'DATASET 102018'!V61),SCORE!A$3,(IF(AND(U61&gt;=SCORE!B$4*'DATASET 102018'!V61, U61&lt;SCORE!C$4*'DATASET 102018'!V61),SCORE!A$4,(IF(AND(U61&gt;=SCORE!B$5*'DATASET 102018'!V61, U61&lt;SCORE!C$5*'DATASET 102018'!V61),SCORE!A$5,(IF(SCORE!B$6*'DATASET 102018'!V61&lt;=U61,SCORE!A$6,0)))))))))</f>
        <v>Low</v>
      </c>
      <c r="X61" s="8">
        <f>Tableau14[[#This Row],[F &amp; S crashes2016]]/4</f>
        <v>0</v>
      </c>
      <c r="Y61" s="8" t="str">
        <f>IF( AND(X61&gt;=SCORE!G$2*V61, X61&lt;SCORE!H$2*V61),SCORE!F$2,(IF(AND(X61&gt;=SCORE!G$3*V61, X61&lt;SCORE!H$3*V61),SCORE!A$3,(IF(AND(X61&gt;=SCORE!G$4*V61, X61&lt;SCORE!H$4*V61),SCORE!A$4,(IF(AND(X61&gt;=SCORE!G$5*V61, X61&lt;SCORE!H$5*V61),SCORE!A$5,(IF(SCORE!G$6*'DATASET 102018'!V61&lt;=X61,SCORE!A$6,0)))))))))</f>
        <v>Low</v>
      </c>
      <c r="Z61" s="43">
        <v>217</v>
      </c>
      <c r="AA61" s="43">
        <v>12</v>
      </c>
      <c r="AB61" s="43">
        <v>176</v>
      </c>
      <c r="AC61" s="43">
        <v>329</v>
      </c>
      <c r="AD61" s="43">
        <v>125</v>
      </c>
      <c r="AE61" s="43">
        <v>354</v>
      </c>
    </row>
    <row r="62" spans="1:31" x14ac:dyDescent="0.3">
      <c r="A62">
        <f t="shared" si="1"/>
        <v>61</v>
      </c>
      <c r="B62" s="87" t="s">
        <v>237</v>
      </c>
      <c r="C62" s="42">
        <v>6885</v>
      </c>
      <c r="D62" s="42">
        <v>7252</v>
      </c>
      <c r="E62" s="42">
        <f t="shared" si="0"/>
        <v>7068.5</v>
      </c>
      <c r="F62" s="42">
        <v>2</v>
      </c>
      <c r="G62" s="43" t="s">
        <v>384</v>
      </c>
      <c r="H62" s="43" t="s">
        <v>417</v>
      </c>
      <c r="I62" s="42">
        <v>120</v>
      </c>
      <c r="J62" s="42" t="s">
        <v>218</v>
      </c>
      <c r="K62" s="42" t="s">
        <v>212</v>
      </c>
      <c r="L62" s="42" t="s">
        <v>212</v>
      </c>
      <c r="M62" s="42" t="s">
        <v>211</v>
      </c>
      <c r="N62" s="43" t="s">
        <v>212</v>
      </c>
      <c r="O62" s="42" t="s">
        <v>218</v>
      </c>
      <c r="P62" s="27">
        <v>0</v>
      </c>
      <c r="Q62" s="91">
        <f>IF(Tableau14[[#This Row],[F crashes2015]] &lt;&gt; 0, Tableau14[[#This Row],[F &amp; S crashes2015]]/Tableau14[[#This Row],[F crashes2015]], 1)</f>
        <v>1</v>
      </c>
      <c r="R62" s="91" t="str">
        <f>IF( AND(P62&gt;=SCORE!B$2*'DATASET 102018'!Q62, P62&lt;SCORE!C$2*'DATASET 102018'!Q62),SCORE!A$2,(IF(AND(P62&gt;=SCORE!B$3*'DATASET 102018'!Q62,P62&lt;SCORE!C$3*'DATASET 102018'!Q62),SCORE!A$3,(IF(AND(P62&gt;=SCORE!B$4*'DATASET 102018'!Q62,P62&lt;SCORE!C$4*'DATASET 102018'!Q62),SCORE!A$4,(IF(AND(P62&gt;=SCORE!B$5*'DATASET 102018'!Q62,P62&lt;SCORE!C$5*'DATASET 102018'!Q62),SCORE!A$5,(IF(SCORE!B$6*'DATASET 102018'!Q62&lt;=P62,SCORE!A$6,0)))))))))</f>
        <v>Low</v>
      </c>
      <c r="S62" s="68">
        <f>Tableau14[[#This Row],[F &amp; S crashes2015]]/4</f>
        <v>0</v>
      </c>
      <c r="T62" s="66" t="str">
        <f>IF( AND(S62&gt;=SCORE!G$2*'DATASET 102018'!Q62, S62&lt;SCORE!H$2*'DATASET 102018'!Q62),SCORE!F$2,(IF(AND(S62&gt;=SCORE!G$3*'DATASET 102018'!Q62, S62&lt;SCORE!H$3*'DATASET 102018'!Q62),SCORE!A$3,(IF(AND(S62&gt;=SCORE!G$4*'DATASET 102018'!Q62, S62&lt;SCORE!H$4*'DATASET 102018'!Q62),SCORE!A$4,(IF(AND(S62&gt;=SCORE!G$5*'DATASET 102018'!Q62, S62&lt;SCORE!H$5*'DATASET 102018'!Q62),SCORE!A$5,(IF(SCORE!G$6*'DATASET 102018'!Q62&lt;=S62,SCORE!A$6,0)))))))))</f>
        <v>Low</v>
      </c>
      <c r="U62" s="8">
        <f>(Tableau14[[#This Row],[F &amp; S crashes2016]]/Tableau14[[#This Row],[BILLION VEH KM TRAVELLED2016]])</f>
        <v>0</v>
      </c>
      <c r="V62" s="91">
        <f>IF(Tableau14[[#This Row],[F crashes2016]] &lt;&gt; 0, Tableau14[[#This Row],[F &amp; S crashes2016]]/Tableau14[[#This Row],[F crashes2016]], 1)</f>
        <v>1</v>
      </c>
      <c r="W62" s="91" t="str">
        <f>IF(AND(U62&gt;=SCORE!B$2*'DATASET 102018'!V62, U62&lt;SCORE!C$2*'DATASET 102018'!V62),SCORE!A$2,(IF(AND(U62&gt;=SCORE!B$3*'DATASET 102018'!V62, U62&lt;SCORE!C$3*'DATASET 102018'!V62),SCORE!A$3,(IF(AND(U62&gt;=SCORE!B$4*'DATASET 102018'!V62, U62&lt;SCORE!C$4*'DATASET 102018'!V62),SCORE!A$4,(IF(AND(U62&gt;=SCORE!B$5*'DATASET 102018'!V62, U62&lt;SCORE!C$5*'DATASET 102018'!V62),SCORE!A$5,(IF(SCORE!B$6*'DATASET 102018'!V62&lt;=U62,SCORE!A$6,0)))))))))</f>
        <v>Low</v>
      </c>
      <c r="X62" s="8">
        <f>Tableau14[[#This Row],[F &amp; S crashes2016]]/4</f>
        <v>0</v>
      </c>
      <c r="Y62" s="8" t="str">
        <f>IF( AND(X62&gt;=SCORE!G$2*V62, X62&lt;SCORE!H$2*V62),SCORE!F$2,(IF(AND(X62&gt;=SCORE!G$3*V62, X62&lt;SCORE!H$3*V62),SCORE!A$3,(IF(AND(X62&gt;=SCORE!G$4*V62, X62&lt;SCORE!H$4*V62),SCORE!A$4,(IF(AND(X62&gt;=SCORE!G$5*V62, X62&lt;SCORE!H$5*V62),SCORE!A$5,(IF(SCORE!G$6*'DATASET 102018'!V62&lt;=X62,SCORE!A$6,0)))))))))</f>
        <v>Low</v>
      </c>
      <c r="Z62" s="42">
        <v>76</v>
      </c>
      <c r="AA62" s="42">
        <v>48</v>
      </c>
      <c r="AB62" s="42">
        <v>96</v>
      </c>
      <c r="AC62" s="42">
        <v>246</v>
      </c>
      <c r="AD62" s="42">
        <v>93</v>
      </c>
      <c r="AE62" s="42">
        <v>287</v>
      </c>
    </row>
    <row r="63" spans="1:31" x14ac:dyDescent="0.3">
      <c r="A63">
        <f t="shared" si="1"/>
        <v>62</v>
      </c>
      <c r="B63" s="87" t="s">
        <v>238</v>
      </c>
      <c r="C63" s="43">
        <v>6885</v>
      </c>
      <c r="D63" s="43">
        <v>7252</v>
      </c>
      <c r="E63" s="42">
        <f t="shared" si="0"/>
        <v>7068.5</v>
      </c>
      <c r="F63" s="43">
        <v>2</v>
      </c>
      <c r="G63" s="43" t="s">
        <v>384</v>
      </c>
      <c r="H63" s="43" t="s">
        <v>417</v>
      </c>
      <c r="I63" s="42">
        <v>120</v>
      </c>
      <c r="J63" s="43" t="s">
        <v>218</v>
      </c>
      <c r="K63" s="43" t="s">
        <v>212</v>
      </c>
      <c r="L63" s="43" t="s">
        <v>212</v>
      </c>
      <c r="M63" s="43" t="s">
        <v>211</v>
      </c>
      <c r="N63" s="43" t="s">
        <v>212</v>
      </c>
      <c r="O63" s="43" t="s">
        <v>218</v>
      </c>
      <c r="P63" s="27">
        <v>0</v>
      </c>
      <c r="Q63" s="91">
        <f>IF(Tableau14[[#This Row],[F crashes2015]] &lt;&gt; 0, Tableau14[[#This Row],[F &amp; S crashes2015]]/Tableau14[[#This Row],[F crashes2015]], 1)</f>
        <v>1</v>
      </c>
      <c r="R63" s="91" t="str">
        <f>IF( AND(P63&gt;=SCORE!B$2*'DATASET 102018'!Q63, P63&lt;SCORE!C$2*'DATASET 102018'!Q63),SCORE!A$2,(IF(AND(P63&gt;=SCORE!B$3*'DATASET 102018'!Q63,P63&lt;SCORE!C$3*'DATASET 102018'!Q63),SCORE!A$3,(IF(AND(P63&gt;=SCORE!B$4*'DATASET 102018'!Q63,P63&lt;SCORE!C$4*'DATASET 102018'!Q63),SCORE!A$4,(IF(AND(P63&gt;=SCORE!B$5*'DATASET 102018'!Q63,P63&lt;SCORE!C$5*'DATASET 102018'!Q63),SCORE!A$5,(IF(SCORE!B$6*'DATASET 102018'!Q63&lt;=P63,SCORE!A$6,0)))))))))</f>
        <v>Low</v>
      </c>
      <c r="S63" s="71">
        <f>Tableau14[[#This Row],[F &amp; S crashes2015]]/4</f>
        <v>0</v>
      </c>
      <c r="T63" s="66" t="str">
        <f>IF( AND(S63&gt;=SCORE!G$2*'DATASET 102018'!Q63, S63&lt;SCORE!H$2*'DATASET 102018'!Q63),SCORE!F$2,(IF(AND(S63&gt;=SCORE!G$3*'DATASET 102018'!Q63, S63&lt;SCORE!H$3*'DATASET 102018'!Q63),SCORE!A$3,(IF(AND(S63&gt;=SCORE!G$4*'DATASET 102018'!Q63, S63&lt;SCORE!H$4*'DATASET 102018'!Q63),SCORE!A$4,(IF(AND(S63&gt;=SCORE!G$5*'DATASET 102018'!Q63, S63&lt;SCORE!H$5*'DATASET 102018'!Q63),SCORE!A$5,(IF(SCORE!G$6*'DATASET 102018'!Q63&lt;=S63,SCORE!A$6,0)))))))))</f>
        <v>Low</v>
      </c>
      <c r="U63" s="8">
        <f>(Tableau14[[#This Row],[F &amp; S crashes2016]]/Tableau14[[#This Row],[BILLION VEH KM TRAVELLED2016]])</f>
        <v>0</v>
      </c>
      <c r="V63" s="91">
        <f>IF(Tableau14[[#This Row],[F crashes2016]] &lt;&gt; 0, Tableau14[[#This Row],[F &amp; S crashes2016]]/Tableau14[[#This Row],[F crashes2016]], 1)</f>
        <v>1</v>
      </c>
      <c r="W63" s="91" t="str">
        <f>IF(AND(U63&gt;=SCORE!B$2*'DATASET 102018'!V63, U63&lt;SCORE!C$2*'DATASET 102018'!V63),SCORE!A$2,(IF(AND(U63&gt;=SCORE!B$3*'DATASET 102018'!V63, U63&lt;SCORE!C$3*'DATASET 102018'!V63),SCORE!A$3,(IF(AND(U63&gt;=SCORE!B$4*'DATASET 102018'!V63, U63&lt;SCORE!C$4*'DATASET 102018'!V63),SCORE!A$4,(IF(AND(U63&gt;=SCORE!B$5*'DATASET 102018'!V63, U63&lt;SCORE!C$5*'DATASET 102018'!V63),SCORE!A$5,(IF(SCORE!B$6*'DATASET 102018'!V63&lt;=U63,SCORE!A$6,0)))))))))</f>
        <v>Low</v>
      </c>
      <c r="X63" s="8">
        <f>Tableau14[[#This Row],[F &amp; S crashes2016]]/4</f>
        <v>0</v>
      </c>
      <c r="Y63" s="8" t="str">
        <f>IF( AND(X63&gt;=SCORE!G$2*V63, X63&lt;SCORE!H$2*V63),SCORE!F$2,(IF(AND(X63&gt;=SCORE!G$3*V63, X63&lt;SCORE!H$3*V63),SCORE!A$3,(IF(AND(X63&gt;=SCORE!G$4*V63, X63&lt;SCORE!H$4*V63),SCORE!A$4,(IF(AND(X63&gt;=SCORE!G$5*V63, X63&lt;SCORE!H$5*V63),SCORE!A$5,(IF(SCORE!G$6*'DATASET 102018'!V63&lt;=X63,SCORE!A$6,0)))))))))</f>
        <v>Low</v>
      </c>
      <c r="Z63" s="43">
        <v>56</v>
      </c>
      <c r="AA63" s="43">
        <v>87</v>
      </c>
      <c r="AB63" s="43">
        <v>69</v>
      </c>
      <c r="AC63" s="43">
        <v>324</v>
      </c>
      <c r="AD63" s="43">
        <v>61</v>
      </c>
      <c r="AE63" s="43">
        <v>364</v>
      </c>
    </row>
    <row r="64" spans="1:31" x14ac:dyDescent="0.3">
      <c r="A64">
        <f t="shared" si="1"/>
        <v>63</v>
      </c>
      <c r="B64" s="87" t="s">
        <v>239</v>
      </c>
      <c r="C64" s="42">
        <v>7005</v>
      </c>
      <c r="D64" s="42">
        <v>7397</v>
      </c>
      <c r="E64" s="42">
        <f t="shared" si="0"/>
        <v>7201</v>
      </c>
      <c r="F64" s="42">
        <v>2</v>
      </c>
      <c r="G64" s="43" t="s">
        <v>384</v>
      </c>
      <c r="H64" s="43" t="s">
        <v>417</v>
      </c>
      <c r="I64" s="42">
        <v>120</v>
      </c>
      <c r="J64" s="42" t="s">
        <v>218</v>
      </c>
      <c r="K64" s="42" t="s">
        <v>212</v>
      </c>
      <c r="L64" s="42" t="s">
        <v>212</v>
      </c>
      <c r="M64" s="42" t="s">
        <v>212</v>
      </c>
      <c r="N64" s="43" t="s">
        <v>212</v>
      </c>
      <c r="O64" s="42" t="s">
        <v>218</v>
      </c>
      <c r="P64" s="27">
        <v>7.6686102120198179</v>
      </c>
      <c r="Q64" s="91">
        <f>IF(Tableau14[[#This Row],[F crashes2015]] &lt;&gt; 0, Tableau14[[#This Row],[F &amp; S crashes2015]]/Tableau14[[#This Row],[F crashes2015]], 1)</f>
        <v>1</v>
      </c>
      <c r="R64" s="91" t="str">
        <f>IF( AND(P64&gt;=SCORE!B$2*'DATASET 102018'!Q64, P64&lt;SCORE!C$2*'DATASET 102018'!Q64),SCORE!A$2,(IF(AND(P64&gt;=SCORE!B$3*'DATASET 102018'!Q64,P64&lt;SCORE!C$3*'DATASET 102018'!Q64),SCORE!A$3,(IF(AND(P64&gt;=SCORE!B$4*'DATASET 102018'!Q64,P64&lt;SCORE!C$4*'DATASET 102018'!Q64),SCORE!A$4,(IF(AND(P64&gt;=SCORE!B$5*'DATASET 102018'!Q64,P64&lt;SCORE!C$5*'DATASET 102018'!Q64),SCORE!A$5,(IF(SCORE!B$6*'DATASET 102018'!Q64&lt;=P64,SCORE!A$6,0)))))))))</f>
        <v>Medium</v>
      </c>
      <c r="S64" s="68">
        <f>Tableau14[[#This Row],[F &amp; S crashes2015]]/4</f>
        <v>0.25</v>
      </c>
      <c r="T64" s="66" t="str">
        <f>IF( AND(S64&gt;=SCORE!G$2*'DATASET 102018'!Q64, S64&lt;SCORE!H$2*'DATASET 102018'!Q64),SCORE!F$2,(IF(AND(S64&gt;=SCORE!G$3*'DATASET 102018'!Q64, S64&lt;SCORE!H$3*'DATASET 102018'!Q64),SCORE!A$3,(IF(AND(S64&gt;=SCORE!G$4*'DATASET 102018'!Q64, S64&lt;SCORE!H$4*'DATASET 102018'!Q64),SCORE!A$4,(IF(AND(S64&gt;=SCORE!G$5*'DATASET 102018'!Q64, S64&lt;SCORE!H$5*'DATASET 102018'!Q64),SCORE!A$5,(IF(SCORE!G$6*'DATASET 102018'!Q64&lt;=S64,SCORE!A$6,0)))))))))</f>
        <v>High</v>
      </c>
      <c r="U64" s="8">
        <f>(Tableau14[[#This Row],[F &amp; S crashes2016]]/Tableau14[[#This Row],[BILLION VEH KM TRAVELLED2016]])</f>
        <v>7.2625351629257162</v>
      </c>
      <c r="V64" s="91">
        <f>IF(Tableau14[[#This Row],[F crashes2016]] &lt;&gt; 0, Tableau14[[#This Row],[F &amp; S crashes2016]]/Tableau14[[#This Row],[F crashes2016]], 1)</f>
        <v>1</v>
      </c>
      <c r="W64" s="91" t="str">
        <f>IF(AND(U64&gt;=SCORE!B$2*'DATASET 102018'!V64, U64&lt;SCORE!C$2*'DATASET 102018'!V64),SCORE!A$2,(IF(AND(U64&gt;=SCORE!B$3*'DATASET 102018'!V64, U64&lt;SCORE!C$3*'DATASET 102018'!V64),SCORE!A$3,(IF(AND(U64&gt;=SCORE!B$4*'DATASET 102018'!V64, U64&lt;SCORE!C$4*'DATASET 102018'!V64),SCORE!A$4,(IF(AND(U64&gt;=SCORE!B$5*'DATASET 102018'!V64, U64&lt;SCORE!C$5*'DATASET 102018'!V64),SCORE!A$5,(IF(SCORE!B$6*'DATASET 102018'!V64&lt;=U64,SCORE!A$6,0)))))))))</f>
        <v>Medium</v>
      </c>
      <c r="X64" s="8">
        <f>Tableau14[[#This Row],[F &amp; S crashes2016]]/4</f>
        <v>0.25</v>
      </c>
      <c r="Y64" s="8" t="str">
        <f>IF( AND(X64&gt;=SCORE!G$2*V64, X64&lt;SCORE!H$2*V64),SCORE!F$2,(IF(AND(X64&gt;=SCORE!G$3*V64, X64&lt;SCORE!H$3*V64),SCORE!A$3,(IF(AND(X64&gt;=SCORE!G$4*V64, X64&lt;SCORE!H$4*V64),SCORE!A$4,(IF(AND(X64&gt;=SCORE!G$5*V64, X64&lt;SCORE!H$5*V64),SCORE!A$5,(IF(SCORE!G$6*'DATASET 102018'!V64&lt;=X64,SCORE!A$6,0)))))))))</f>
        <v>High</v>
      </c>
      <c r="Z64" s="42">
        <v>0</v>
      </c>
      <c r="AA64" s="42">
        <v>0</v>
      </c>
      <c r="AB64" s="42">
        <v>120</v>
      </c>
      <c r="AC64" s="42">
        <v>15</v>
      </c>
      <c r="AD64" s="42">
        <v>97</v>
      </c>
      <c r="AE64" s="42">
        <v>220</v>
      </c>
    </row>
    <row r="65" spans="1:31" x14ac:dyDescent="0.3">
      <c r="A65">
        <f t="shared" si="1"/>
        <v>64</v>
      </c>
      <c r="B65" s="87" t="s">
        <v>240</v>
      </c>
      <c r="C65" s="43">
        <v>7005</v>
      </c>
      <c r="D65" s="43">
        <v>7397</v>
      </c>
      <c r="E65" s="42">
        <f t="shared" si="0"/>
        <v>7201</v>
      </c>
      <c r="F65" s="43">
        <v>4</v>
      </c>
      <c r="G65" s="42" t="s">
        <v>384</v>
      </c>
      <c r="H65" s="43" t="s">
        <v>417</v>
      </c>
      <c r="I65" s="42">
        <v>120</v>
      </c>
      <c r="J65" s="43" t="s">
        <v>218</v>
      </c>
      <c r="K65" s="43" t="s">
        <v>212</v>
      </c>
      <c r="L65" s="43" t="s">
        <v>212</v>
      </c>
      <c r="M65" s="43" t="s">
        <v>212</v>
      </c>
      <c r="N65" s="43" t="s">
        <v>212</v>
      </c>
      <c r="O65" s="43" t="s">
        <v>218</v>
      </c>
      <c r="P65" s="27">
        <v>53.680271484138729</v>
      </c>
      <c r="Q65" s="91">
        <f>IF(Tableau14[[#This Row],[F crashes2015]] &lt;&gt; 0, Tableau14[[#This Row],[F &amp; S crashes2015]]/Tableau14[[#This Row],[F crashes2015]], 1)</f>
        <v>1.75</v>
      </c>
      <c r="R65" s="91" t="str">
        <f>IF( AND(P65&gt;=SCORE!B$2*'DATASET 102018'!Q65, P65&lt;SCORE!C$2*'DATASET 102018'!Q65),SCORE!A$2,(IF(AND(P65&gt;=SCORE!B$3*'DATASET 102018'!Q65,P65&lt;SCORE!C$3*'DATASET 102018'!Q65),SCORE!A$3,(IF(AND(P65&gt;=SCORE!B$4*'DATASET 102018'!Q65,P65&lt;SCORE!C$4*'DATASET 102018'!Q65),SCORE!A$4,(IF(AND(P65&gt;=SCORE!B$5*'DATASET 102018'!Q65,P65&lt;SCORE!C$5*'DATASET 102018'!Q65),SCORE!A$5,(IF(SCORE!B$6*'DATASET 102018'!Q65&lt;=P65,SCORE!A$6,0)))))))))</f>
        <v>High</v>
      </c>
      <c r="S65" s="71">
        <f>Tableau14[[#This Row],[F &amp; S crashes2015]]/4</f>
        <v>1.75</v>
      </c>
      <c r="T65" s="66" t="str">
        <f>IF( AND(S65&gt;=SCORE!G$2*'DATASET 102018'!Q65, S65&lt;SCORE!H$2*'DATASET 102018'!Q65),SCORE!F$2,(IF(AND(S65&gt;=SCORE!G$3*'DATASET 102018'!Q65, S65&lt;SCORE!H$3*'DATASET 102018'!Q65),SCORE!A$3,(IF(AND(S65&gt;=SCORE!G$4*'DATASET 102018'!Q65, S65&lt;SCORE!H$4*'DATASET 102018'!Q65),SCORE!A$4,(IF(AND(S65&gt;=SCORE!G$5*'DATASET 102018'!Q65, S65&lt;SCORE!H$5*'DATASET 102018'!Q65),SCORE!A$5,(IF(SCORE!G$6*'DATASET 102018'!Q65&lt;=S65,SCORE!A$6,0)))))))))</f>
        <v>High</v>
      </c>
      <c r="U65" s="8">
        <f>(Tableau14[[#This Row],[F &amp; S crashes2016]]/Tableau14[[#This Row],[BILLION VEH KM TRAVELLED2016]])</f>
        <v>14.525070325851432</v>
      </c>
      <c r="V65" s="91">
        <f>IF(Tableau14[[#This Row],[F crashes2016]] &lt;&gt; 0, Tableau14[[#This Row],[F &amp; S crashes2016]]/Tableau14[[#This Row],[F crashes2016]], 1)</f>
        <v>2</v>
      </c>
      <c r="W65" s="91" t="str">
        <f>IF(AND(U65&gt;=SCORE!B$2*'DATASET 102018'!V65, U65&lt;SCORE!C$2*'DATASET 102018'!V65),SCORE!A$2,(IF(AND(U65&gt;=SCORE!B$3*'DATASET 102018'!V65, U65&lt;SCORE!C$3*'DATASET 102018'!V65),SCORE!A$3,(IF(AND(U65&gt;=SCORE!B$4*'DATASET 102018'!V65, U65&lt;SCORE!C$4*'DATASET 102018'!V65),SCORE!A$4,(IF(AND(U65&gt;=SCORE!B$5*'DATASET 102018'!V65, U65&lt;SCORE!C$5*'DATASET 102018'!V65),SCORE!A$5,(IF(SCORE!B$6*'DATASET 102018'!V65&lt;=U65,SCORE!A$6,0)))))))))</f>
        <v>Medium</v>
      </c>
      <c r="X65" s="8">
        <f>Tableau14[[#This Row],[F &amp; S crashes2016]]/4</f>
        <v>0.5</v>
      </c>
      <c r="Y65" s="8" t="str">
        <f>IF( AND(X65&gt;=SCORE!G$2*V65, X65&lt;SCORE!H$2*V65),SCORE!F$2,(IF(AND(X65&gt;=SCORE!G$3*V65, X65&lt;SCORE!H$3*V65),SCORE!A$3,(IF(AND(X65&gt;=SCORE!G$4*V65, X65&lt;SCORE!H$4*V65),SCORE!A$4,(IF(AND(X65&gt;=SCORE!G$5*V65, X65&lt;SCORE!H$5*V65),SCORE!A$5,(IF(SCORE!G$6*'DATASET 102018'!V65&lt;=X65,SCORE!A$6,0)))))))))</f>
        <v>High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</row>
    <row r="66" spans="1:31" x14ac:dyDescent="0.3">
      <c r="A66">
        <f t="shared" si="1"/>
        <v>65</v>
      </c>
      <c r="B66" s="87" t="s">
        <v>241</v>
      </c>
      <c r="C66" s="42">
        <v>7005</v>
      </c>
      <c r="D66" s="42">
        <v>7397</v>
      </c>
      <c r="E66" s="42">
        <f t="shared" si="0"/>
        <v>7201</v>
      </c>
      <c r="F66" s="42">
        <v>2</v>
      </c>
      <c r="G66" s="43" t="s">
        <v>384</v>
      </c>
      <c r="H66" s="43" t="s">
        <v>417</v>
      </c>
      <c r="I66" s="42">
        <v>120</v>
      </c>
      <c r="J66" s="42" t="s">
        <v>218</v>
      </c>
      <c r="K66" s="42" t="s">
        <v>211</v>
      </c>
      <c r="L66" s="42" t="s">
        <v>212</v>
      </c>
      <c r="M66" s="42" t="s">
        <v>212</v>
      </c>
      <c r="N66" s="43" t="s">
        <v>212</v>
      </c>
      <c r="O66" s="42" t="s">
        <v>218</v>
      </c>
      <c r="P66" s="27">
        <v>0</v>
      </c>
      <c r="Q66" s="91">
        <f>IF(Tableau14[[#This Row],[F crashes2015]] &lt;&gt; 0, Tableau14[[#This Row],[F &amp; S crashes2015]]/Tableau14[[#This Row],[F crashes2015]], 1)</f>
        <v>1</v>
      </c>
      <c r="R66" s="91" t="str">
        <f>IF( AND(P66&gt;=SCORE!B$2*'DATASET 102018'!Q66, P66&lt;SCORE!C$2*'DATASET 102018'!Q66),SCORE!A$2,(IF(AND(P66&gt;=SCORE!B$3*'DATASET 102018'!Q66,P66&lt;SCORE!C$3*'DATASET 102018'!Q66),SCORE!A$3,(IF(AND(P66&gt;=SCORE!B$4*'DATASET 102018'!Q66,P66&lt;SCORE!C$4*'DATASET 102018'!Q66),SCORE!A$4,(IF(AND(P66&gt;=SCORE!B$5*'DATASET 102018'!Q66,P66&lt;SCORE!C$5*'DATASET 102018'!Q66),SCORE!A$5,(IF(SCORE!B$6*'DATASET 102018'!Q66&lt;=P66,SCORE!A$6,0)))))))))</f>
        <v>Low</v>
      </c>
      <c r="S66" s="68">
        <f>Tableau14[[#This Row],[F &amp; S crashes2015]]/4</f>
        <v>0</v>
      </c>
      <c r="T66" s="66" t="str">
        <f>IF( AND(S66&gt;=SCORE!G$2*'DATASET 102018'!Q66, S66&lt;SCORE!H$2*'DATASET 102018'!Q66),SCORE!F$2,(IF(AND(S66&gt;=SCORE!G$3*'DATASET 102018'!Q66, S66&lt;SCORE!H$3*'DATASET 102018'!Q66),SCORE!A$3,(IF(AND(S66&gt;=SCORE!G$4*'DATASET 102018'!Q66, S66&lt;SCORE!H$4*'DATASET 102018'!Q66),SCORE!A$4,(IF(AND(S66&gt;=SCORE!G$5*'DATASET 102018'!Q66, S66&lt;SCORE!H$5*'DATASET 102018'!Q66),SCORE!A$5,(IF(SCORE!G$6*'DATASET 102018'!Q66&lt;=S66,SCORE!A$6,0)))))))))</f>
        <v>Low</v>
      </c>
      <c r="U66" s="8">
        <f>(Tableau14[[#This Row],[F &amp; S crashes2016]]/Tableau14[[#This Row],[BILLION VEH KM TRAVELLED2016]])</f>
        <v>7.2625351629257162</v>
      </c>
      <c r="V66" s="91">
        <f>IF(Tableau14[[#This Row],[F crashes2016]] &lt;&gt; 0, Tableau14[[#This Row],[F &amp; S crashes2016]]/Tableau14[[#This Row],[F crashes2016]], 1)</f>
        <v>1</v>
      </c>
      <c r="W66" s="91" t="str">
        <f>IF(AND(U66&gt;=SCORE!B$2*'DATASET 102018'!V66, U66&lt;SCORE!C$2*'DATASET 102018'!V66),SCORE!A$2,(IF(AND(U66&gt;=SCORE!B$3*'DATASET 102018'!V66, U66&lt;SCORE!C$3*'DATASET 102018'!V66),SCORE!A$3,(IF(AND(U66&gt;=SCORE!B$4*'DATASET 102018'!V66, U66&lt;SCORE!C$4*'DATASET 102018'!V66),SCORE!A$4,(IF(AND(U66&gt;=SCORE!B$5*'DATASET 102018'!V66, U66&lt;SCORE!C$5*'DATASET 102018'!V66),SCORE!A$5,(IF(SCORE!B$6*'DATASET 102018'!V66&lt;=U66,SCORE!A$6,0)))))))))</f>
        <v>Medium</v>
      </c>
      <c r="X66" s="8">
        <f>Tableau14[[#This Row],[F &amp; S crashes2016]]/4</f>
        <v>0.25</v>
      </c>
      <c r="Y66" s="8" t="str">
        <f>IF( AND(X66&gt;=SCORE!G$2*V66, X66&lt;SCORE!H$2*V66),SCORE!F$2,(IF(AND(X66&gt;=SCORE!G$3*V66, X66&lt;SCORE!H$3*V66),SCORE!A$3,(IF(AND(X66&gt;=SCORE!G$4*V66, X66&lt;SCORE!H$4*V66),SCORE!A$4,(IF(AND(X66&gt;=SCORE!G$5*V66, X66&lt;SCORE!H$5*V66),SCORE!A$5,(IF(SCORE!G$6*'DATASET 102018'!V66&lt;=X66,SCORE!A$6,0)))))))))</f>
        <v>High</v>
      </c>
      <c r="Z66" s="42">
        <v>0</v>
      </c>
      <c r="AA66" s="42">
        <v>0</v>
      </c>
      <c r="AB66" s="42">
        <v>30</v>
      </c>
      <c r="AC66" s="42">
        <v>132</v>
      </c>
      <c r="AD66" s="42">
        <v>21</v>
      </c>
      <c r="AE66" s="42">
        <v>291</v>
      </c>
    </row>
    <row r="67" spans="1:31" x14ac:dyDescent="0.3">
      <c r="A67">
        <f t="shared" si="1"/>
        <v>66</v>
      </c>
      <c r="B67" s="87" t="s">
        <v>242</v>
      </c>
      <c r="C67" s="43">
        <v>6947</v>
      </c>
      <c r="D67" s="43">
        <v>7262</v>
      </c>
      <c r="E67" s="42">
        <f t="shared" ref="E67:E75" si="2">AVERAGE(C67:D67)</f>
        <v>7104.5</v>
      </c>
      <c r="F67" s="43">
        <v>2</v>
      </c>
      <c r="G67" s="43" t="s">
        <v>384</v>
      </c>
      <c r="H67" s="43" t="s">
        <v>417</v>
      </c>
      <c r="I67" s="42">
        <v>120</v>
      </c>
      <c r="J67" s="43" t="s">
        <v>218</v>
      </c>
      <c r="K67" s="43" t="s">
        <v>211</v>
      </c>
      <c r="L67" s="43" t="s">
        <v>211</v>
      </c>
      <c r="M67" s="43" t="s">
        <v>211</v>
      </c>
      <c r="N67" s="43" t="s">
        <v>212</v>
      </c>
      <c r="O67" s="43" t="s">
        <v>218</v>
      </c>
      <c r="P67" s="27">
        <v>34.798125633760861</v>
      </c>
      <c r="Q67" s="91">
        <f>IF(Tableau14[[#This Row],[F crashes2015]] &lt;&gt; 0, Tableau14[[#This Row],[F &amp; S crashes2015]]/Tableau14[[#This Row],[F crashes2015]], 1)</f>
        <v>1.5</v>
      </c>
      <c r="R67" s="91" t="str">
        <f>IF( AND(P67&gt;=SCORE!B$2*'DATASET 102018'!Q67, P67&lt;SCORE!C$2*'DATASET 102018'!Q67),SCORE!A$2,(IF(AND(P67&gt;=SCORE!B$3*'DATASET 102018'!Q67,P67&lt;SCORE!C$3*'DATASET 102018'!Q67),SCORE!A$3,(IF(AND(P67&gt;=SCORE!B$4*'DATASET 102018'!Q67,P67&lt;SCORE!C$4*'DATASET 102018'!Q67),SCORE!A$4,(IF(AND(P67&gt;=SCORE!B$5*'DATASET 102018'!Q67,P67&lt;SCORE!C$5*'DATASET 102018'!Q67),SCORE!A$5,(IF(SCORE!B$6*'DATASET 102018'!Q67&lt;=P67,SCORE!A$6,0)))))))))</f>
        <v>High</v>
      </c>
      <c r="S67" s="71">
        <f>Tableau14[[#This Row],[F &amp; S crashes2015]]/4</f>
        <v>0.75</v>
      </c>
      <c r="T67" s="66" t="str">
        <f>IF( AND(S67&gt;=SCORE!G$2*'DATASET 102018'!Q67, S67&lt;SCORE!H$2*'DATASET 102018'!Q67),SCORE!F$2,(IF(AND(S67&gt;=SCORE!G$3*'DATASET 102018'!Q67, S67&lt;SCORE!H$3*'DATASET 102018'!Q67),SCORE!A$3,(IF(AND(S67&gt;=SCORE!G$4*'DATASET 102018'!Q67, S67&lt;SCORE!H$4*'DATASET 102018'!Q67),SCORE!A$4,(IF(AND(S67&gt;=SCORE!G$5*'DATASET 102018'!Q67, S67&lt;SCORE!H$5*'DATASET 102018'!Q67),SCORE!A$5,(IF(SCORE!G$6*'DATASET 102018'!Q67&lt;=S67,SCORE!A$6,0)))))))))</f>
        <v>High</v>
      </c>
      <c r="U67" s="8">
        <f>(Tableau14[[#This Row],[F &amp; S crashes2016]]/Tableau14[[#This Row],[BILLION VEH KM TRAVELLED2016]])</f>
        <v>11.095646861510293</v>
      </c>
      <c r="V67" s="91">
        <f>IF(Tableau14[[#This Row],[F crashes2016]] &lt;&gt; 0, Tableau14[[#This Row],[F &amp; S crashes2016]]/Tableau14[[#This Row],[F crashes2016]], 1)</f>
        <v>1</v>
      </c>
      <c r="W67" s="91" t="str">
        <f>IF(AND(U67&gt;=SCORE!B$2*'DATASET 102018'!V67, U67&lt;SCORE!C$2*'DATASET 102018'!V67),SCORE!A$2,(IF(AND(U67&gt;=SCORE!B$3*'DATASET 102018'!V67, U67&lt;SCORE!C$3*'DATASET 102018'!V67),SCORE!A$3,(IF(AND(U67&gt;=SCORE!B$4*'DATASET 102018'!V67, U67&lt;SCORE!C$4*'DATASET 102018'!V67),SCORE!A$4,(IF(AND(U67&gt;=SCORE!B$5*'DATASET 102018'!V67, U67&lt;SCORE!C$5*'DATASET 102018'!V67),SCORE!A$5,(IF(SCORE!B$6*'DATASET 102018'!V67&lt;=U67,SCORE!A$6,0)))))))))</f>
        <v>Medium-high</v>
      </c>
      <c r="X67" s="8">
        <f>Tableau14[[#This Row],[F &amp; S crashes2016]]/4</f>
        <v>0.25</v>
      </c>
      <c r="Y67" s="8" t="str">
        <f>IF( AND(X67&gt;=SCORE!G$2*V67, X67&lt;SCORE!H$2*V67),SCORE!F$2,(IF(AND(X67&gt;=SCORE!G$3*V67, X67&lt;SCORE!H$3*V67),SCORE!A$3,(IF(AND(X67&gt;=SCORE!G$4*V67, X67&lt;SCORE!H$4*V67),SCORE!A$4,(IF(AND(X67&gt;=SCORE!G$5*V67, X67&lt;SCORE!H$5*V67),SCORE!A$5,(IF(SCORE!G$6*'DATASET 102018'!V67&lt;=X67,SCORE!A$6,0)))))))))</f>
        <v>High</v>
      </c>
      <c r="Z67" s="43">
        <v>0</v>
      </c>
      <c r="AA67" s="43">
        <v>0</v>
      </c>
      <c r="AB67" s="43">
        <v>117</v>
      </c>
      <c r="AC67" s="43">
        <v>231</v>
      </c>
      <c r="AD67" s="43">
        <v>95</v>
      </c>
      <c r="AE67" s="43">
        <v>261</v>
      </c>
    </row>
    <row r="68" spans="1:31" x14ac:dyDescent="0.3">
      <c r="A68">
        <f t="shared" ref="A68:A75" si="3">A67+1</f>
        <v>67</v>
      </c>
      <c r="B68" s="42" t="s">
        <v>313</v>
      </c>
      <c r="C68" s="42">
        <v>12653</v>
      </c>
      <c r="D68" s="42">
        <v>13922</v>
      </c>
      <c r="E68" s="42">
        <f t="shared" si="2"/>
        <v>13287.5</v>
      </c>
      <c r="F68" s="42">
        <v>2</v>
      </c>
      <c r="G68" s="43" t="s">
        <v>384</v>
      </c>
      <c r="H68" s="43" t="s">
        <v>417</v>
      </c>
      <c r="I68" s="42">
        <v>120</v>
      </c>
      <c r="J68" s="42" t="s">
        <v>218</v>
      </c>
      <c r="K68" s="42" t="s">
        <v>211</v>
      </c>
      <c r="L68" s="42" t="s">
        <v>212</v>
      </c>
      <c r="M68" s="42" t="s">
        <v>211</v>
      </c>
      <c r="N68" s="43" t="s">
        <v>212</v>
      </c>
      <c r="O68" s="42"/>
      <c r="P68" s="27">
        <v>0</v>
      </c>
      <c r="Q68" s="91">
        <f>IF(Tableau14[[#This Row],[F crashes2015]] &lt;&gt; 0, Tableau14[[#This Row],[F &amp; S crashes2015]]/Tableau14[[#This Row],[F crashes2015]], 1)</f>
        <v>1</v>
      </c>
      <c r="R68" s="91" t="str">
        <f>IF( AND(P68&gt;=SCORE!B$2*'DATASET 102018'!Q68, P68&lt;SCORE!C$2*'DATASET 102018'!Q68),SCORE!A$2,(IF(AND(P68&gt;=SCORE!B$3*'DATASET 102018'!Q68,P68&lt;SCORE!C$3*'DATASET 102018'!Q68),SCORE!A$3,(IF(AND(P68&gt;=SCORE!B$4*'DATASET 102018'!Q68,P68&lt;SCORE!C$4*'DATASET 102018'!Q68),SCORE!A$4,(IF(AND(P68&gt;=SCORE!B$5*'DATASET 102018'!Q68,P68&lt;SCORE!C$5*'DATASET 102018'!Q68),SCORE!A$5,(IF(SCORE!B$6*'DATASET 102018'!Q68&lt;=P68,SCORE!A$6,0)))))))))</f>
        <v>Low</v>
      </c>
      <c r="S68" s="68">
        <f>Tableau14[[#This Row],[F &amp; S crashes2015]]/4</f>
        <v>0</v>
      </c>
      <c r="T68" s="66" t="str">
        <f>IF( AND(S68&gt;=SCORE!G$2*'DATASET 102018'!Q68, S68&lt;SCORE!H$2*'DATASET 102018'!Q68),SCORE!F$2,(IF(AND(S68&gt;=SCORE!G$3*'DATASET 102018'!Q68, S68&lt;SCORE!H$3*'DATASET 102018'!Q68),SCORE!A$3,(IF(AND(S68&gt;=SCORE!G$4*'DATASET 102018'!Q68, S68&lt;SCORE!H$4*'DATASET 102018'!Q68),SCORE!A$4,(IF(AND(S68&gt;=SCORE!G$5*'DATASET 102018'!Q68, S68&lt;SCORE!H$5*'DATASET 102018'!Q68),SCORE!A$5,(IF(SCORE!G$6*'DATASET 102018'!Q68&lt;=S68,SCORE!A$6,0)))))))))</f>
        <v>Low</v>
      </c>
      <c r="U68" s="8">
        <f>(Tableau14[[#This Row],[F &amp; S crashes2016]]/Tableau14[[#This Row],[BILLION VEH KM TRAVELLED2016]])</f>
        <v>0</v>
      </c>
      <c r="V68" s="91">
        <f>IF(Tableau14[[#This Row],[F crashes2016]] &lt;&gt; 0, Tableau14[[#This Row],[F &amp; S crashes2016]]/Tableau14[[#This Row],[F crashes2016]], 1)</f>
        <v>1</v>
      </c>
      <c r="W68" s="91" t="str">
        <f>IF(AND(U68&gt;=SCORE!B$2*'DATASET 102018'!V68, U68&lt;SCORE!C$2*'DATASET 102018'!V68),SCORE!A$2,(IF(AND(U68&gt;=SCORE!B$3*'DATASET 102018'!V68, U68&lt;SCORE!C$3*'DATASET 102018'!V68),SCORE!A$3,(IF(AND(U68&gt;=SCORE!B$4*'DATASET 102018'!V68, U68&lt;SCORE!C$4*'DATASET 102018'!V68),SCORE!A$4,(IF(AND(U68&gt;=SCORE!B$5*'DATASET 102018'!V68, U68&lt;SCORE!C$5*'DATASET 102018'!V68),SCORE!A$5,(IF(SCORE!B$6*'DATASET 102018'!V68&lt;=U68,SCORE!A$6,0)))))))))</f>
        <v>Low</v>
      </c>
      <c r="X68" s="8">
        <f>Tableau14[[#This Row],[F &amp; S crashes2016]]/4</f>
        <v>0</v>
      </c>
      <c r="Y68" s="8" t="str">
        <f>IF( AND(X68&gt;=SCORE!G$2*V68, X68&lt;SCORE!H$2*V68),SCORE!F$2,(IF(AND(X68&gt;=SCORE!G$3*V68, X68&lt;SCORE!H$3*V68),SCORE!A$3,(IF(AND(X68&gt;=SCORE!G$4*V68, X68&lt;SCORE!H$4*V68),SCORE!A$4,(IF(AND(X68&gt;=SCORE!G$5*V68, X68&lt;SCORE!H$5*V68),SCORE!A$5,(IF(SCORE!G$6*'DATASET 102018'!V68&lt;=X68,SCORE!A$6,0)))))))))</f>
        <v>Low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</row>
    <row r="69" spans="1:31" x14ac:dyDescent="0.3">
      <c r="A69">
        <f t="shared" si="3"/>
        <v>68</v>
      </c>
      <c r="B69" s="43" t="s">
        <v>314</v>
      </c>
      <c r="C69" s="43">
        <v>12653</v>
      </c>
      <c r="D69" s="43">
        <v>13922</v>
      </c>
      <c r="E69" s="42">
        <f t="shared" si="2"/>
        <v>13287.5</v>
      </c>
      <c r="F69" s="43">
        <v>2</v>
      </c>
      <c r="G69" s="43" t="s">
        <v>384</v>
      </c>
      <c r="H69" s="43" t="s">
        <v>417</v>
      </c>
      <c r="I69" s="42">
        <v>120</v>
      </c>
      <c r="J69" s="43" t="s">
        <v>218</v>
      </c>
      <c r="K69" s="43" t="s">
        <v>211</v>
      </c>
      <c r="L69" s="43" t="s">
        <v>212</v>
      </c>
      <c r="M69" s="43" t="s">
        <v>211</v>
      </c>
      <c r="N69" s="43" t="s">
        <v>212</v>
      </c>
      <c r="O69" s="43"/>
      <c r="P69" s="27">
        <v>0</v>
      </c>
      <c r="Q69" s="91">
        <f>IF(Tableau14[[#This Row],[F crashes2015]] &lt;&gt; 0, Tableau14[[#This Row],[F &amp; S crashes2015]]/Tableau14[[#This Row],[F crashes2015]], 1)</f>
        <v>1</v>
      </c>
      <c r="R69" s="91" t="str">
        <f>IF( AND(P69&gt;=SCORE!B$2*'DATASET 102018'!Q69, P69&lt;SCORE!C$2*'DATASET 102018'!Q69),SCORE!A$2,(IF(AND(P69&gt;=SCORE!B$3*'DATASET 102018'!Q69,P69&lt;SCORE!C$3*'DATASET 102018'!Q69),SCORE!A$3,(IF(AND(P69&gt;=SCORE!B$4*'DATASET 102018'!Q69,P69&lt;SCORE!C$4*'DATASET 102018'!Q69),SCORE!A$4,(IF(AND(P69&gt;=SCORE!B$5*'DATASET 102018'!Q69,P69&lt;SCORE!C$5*'DATASET 102018'!Q69),SCORE!A$5,(IF(SCORE!B$6*'DATASET 102018'!Q69&lt;=P69,SCORE!A$6,0)))))))))</f>
        <v>Low</v>
      </c>
      <c r="S69" s="71">
        <f>Tableau14[[#This Row],[F &amp; S crashes2015]]/4</f>
        <v>0</v>
      </c>
      <c r="T69" s="66" t="str">
        <f>IF( AND(S69&gt;=SCORE!G$2*'DATASET 102018'!Q69, S69&lt;SCORE!H$2*'DATASET 102018'!Q69),SCORE!F$2,(IF(AND(S69&gt;=SCORE!G$3*'DATASET 102018'!Q69, S69&lt;SCORE!H$3*'DATASET 102018'!Q69),SCORE!A$3,(IF(AND(S69&gt;=SCORE!G$4*'DATASET 102018'!Q69, S69&lt;SCORE!H$4*'DATASET 102018'!Q69),SCORE!A$4,(IF(AND(S69&gt;=SCORE!G$5*'DATASET 102018'!Q69, S69&lt;SCORE!H$5*'DATASET 102018'!Q69),SCORE!A$5,(IF(SCORE!G$6*'DATASET 102018'!Q69&lt;=S69,SCORE!A$6,0)))))))))</f>
        <v>Low</v>
      </c>
      <c r="U69" s="8">
        <f>(Tableau14[[#This Row],[F &amp; S crashes2016]]/Tableau14[[#This Row],[BILLION VEH KM TRAVELLED2016]])</f>
        <v>0</v>
      </c>
      <c r="V69" s="91">
        <f>IF(Tableau14[[#This Row],[F crashes2016]] &lt;&gt; 0, Tableau14[[#This Row],[F &amp; S crashes2016]]/Tableau14[[#This Row],[F crashes2016]], 1)</f>
        <v>1</v>
      </c>
      <c r="W69" s="91" t="str">
        <f>IF(AND(U69&gt;=SCORE!B$2*'DATASET 102018'!V69, U69&lt;SCORE!C$2*'DATASET 102018'!V69),SCORE!A$2,(IF(AND(U69&gt;=SCORE!B$3*'DATASET 102018'!V69, U69&lt;SCORE!C$3*'DATASET 102018'!V69),SCORE!A$3,(IF(AND(U69&gt;=SCORE!B$4*'DATASET 102018'!V69, U69&lt;SCORE!C$4*'DATASET 102018'!V69),SCORE!A$4,(IF(AND(U69&gt;=SCORE!B$5*'DATASET 102018'!V69, U69&lt;SCORE!C$5*'DATASET 102018'!V69),SCORE!A$5,(IF(SCORE!B$6*'DATASET 102018'!V69&lt;=U69,SCORE!A$6,0)))))))))</f>
        <v>Low</v>
      </c>
      <c r="X69" s="8">
        <f>Tableau14[[#This Row],[F &amp; S crashes2016]]/4</f>
        <v>0</v>
      </c>
      <c r="Y69" s="8" t="str">
        <f>IF( AND(X69&gt;=SCORE!G$2*V69, X69&lt;SCORE!H$2*V69),SCORE!F$2,(IF(AND(X69&gt;=SCORE!G$3*V69, X69&lt;SCORE!H$3*V69),SCORE!A$3,(IF(AND(X69&gt;=SCORE!G$4*V69, X69&lt;SCORE!H$4*V69),SCORE!A$4,(IF(AND(X69&gt;=SCORE!G$5*V69, X69&lt;SCORE!H$5*V69),SCORE!A$5,(IF(SCORE!G$6*'DATASET 102018'!V69&lt;=X69,SCORE!A$6,0)))))))))</f>
        <v>Low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</row>
    <row r="70" spans="1:31" x14ac:dyDescent="0.3">
      <c r="A70">
        <f t="shared" si="3"/>
        <v>69</v>
      </c>
      <c r="B70" s="87" t="s">
        <v>243</v>
      </c>
      <c r="C70" s="42">
        <v>13087</v>
      </c>
      <c r="D70" s="42">
        <v>14526</v>
      </c>
      <c r="E70" s="42">
        <f t="shared" si="2"/>
        <v>13806.5</v>
      </c>
      <c r="F70" s="42">
        <v>2</v>
      </c>
      <c r="G70" s="43" t="s">
        <v>384</v>
      </c>
      <c r="H70" s="43" t="s">
        <v>417</v>
      </c>
      <c r="I70" s="42">
        <v>120</v>
      </c>
      <c r="J70" s="42" t="s">
        <v>218</v>
      </c>
      <c r="K70" s="42" t="s">
        <v>212</v>
      </c>
      <c r="L70" s="42" t="s">
        <v>212</v>
      </c>
      <c r="M70" s="42" t="s">
        <v>211</v>
      </c>
      <c r="N70" s="43" t="s">
        <v>212</v>
      </c>
      <c r="O70" s="42" t="s">
        <v>218</v>
      </c>
      <c r="P70" s="27">
        <v>25.121887209760555</v>
      </c>
      <c r="Q70" s="91">
        <f>IF(Tableau14[[#This Row],[F crashes2015]] &lt;&gt; 0, Tableau14[[#This Row],[F &amp; S crashes2015]]/Tableau14[[#This Row],[F crashes2015]], 1)</f>
        <v>1</v>
      </c>
      <c r="R70" s="91" t="str">
        <f>IF( AND(P70&gt;=SCORE!B$2*'DATASET 102018'!Q70, P70&lt;SCORE!C$2*'DATASET 102018'!Q70),SCORE!A$2,(IF(AND(P70&gt;=SCORE!B$3*'DATASET 102018'!Q70,P70&lt;SCORE!C$3*'DATASET 102018'!Q70),SCORE!A$3,(IF(AND(P70&gt;=SCORE!B$4*'DATASET 102018'!Q70,P70&lt;SCORE!C$4*'DATASET 102018'!Q70),SCORE!A$4,(IF(AND(P70&gt;=SCORE!B$5*'DATASET 102018'!Q70,P70&lt;SCORE!C$5*'DATASET 102018'!Q70),SCORE!A$5,(IF(SCORE!B$6*'DATASET 102018'!Q70&lt;=P70,SCORE!A$6,0)))))))))</f>
        <v>High</v>
      </c>
      <c r="S70" s="68">
        <f>Tableau14[[#This Row],[F &amp; S crashes2015]]/4</f>
        <v>0.75</v>
      </c>
      <c r="T70" s="66" t="str">
        <f>IF( AND(S70&gt;=SCORE!G$2*'DATASET 102018'!Q70, S70&lt;SCORE!H$2*'DATASET 102018'!Q70),SCORE!F$2,(IF(AND(S70&gt;=SCORE!G$3*'DATASET 102018'!Q70, S70&lt;SCORE!H$3*'DATASET 102018'!Q70),SCORE!A$3,(IF(AND(S70&gt;=SCORE!G$4*'DATASET 102018'!Q70, S70&lt;SCORE!H$4*'DATASET 102018'!Q70),SCORE!A$4,(IF(AND(S70&gt;=SCORE!G$5*'DATASET 102018'!Q70, S70&lt;SCORE!H$5*'DATASET 102018'!Q70),SCORE!A$5,(IF(SCORE!G$6*'DATASET 102018'!Q70&lt;=S70,SCORE!A$6,0)))))))))</f>
        <v>High</v>
      </c>
      <c r="U70" s="8">
        <f>(Tableau14[[#This Row],[F &amp; S crashes2016]]/Tableau14[[#This Row],[BILLION VEH KM TRAVELLED2016]])</f>
        <v>0</v>
      </c>
      <c r="V70" s="91">
        <f>IF(Tableau14[[#This Row],[F crashes2016]] &lt;&gt; 0, Tableau14[[#This Row],[F &amp; S crashes2016]]/Tableau14[[#This Row],[F crashes2016]], 1)</f>
        <v>1</v>
      </c>
      <c r="W70" s="91" t="str">
        <f>IF(AND(U70&gt;=SCORE!B$2*'DATASET 102018'!V70, U70&lt;SCORE!C$2*'DATASET 102018'!V70),SCORE!A$2,(IF(AND(U70&gt;=SCORE!B$3*'DATASET 102018'!V70, U70&lt;SCORE!C$3*'DATASET 102018'!V70),SCORE!A$3,(IF(AND(U70&gt;=SCORE!B$4*'DATASET 102018'!V70, U70&lt;SCORE!C$4*'DATASET 102018'!V70),SCORE!A$4,(IF(AND(U70&gt;=SCORE!B$5*'DATASET 102018'!V70, U70&lt;SCORE!C$5*'DATASET 102018'!V70),SCORE!A$5,(IF(SCORE!B$6*'DATASET 102018'!V70&lt;=U70,SCORE!A$6,0)))))))))</f>
        <v>Low</v>
      </c>
      <c r="X70" s="8">
        <f>Tableau14[[#This Row],[F &amp; S crashes2016]]/4</f>
        <v>0</v>
      </c>
      <c r="Y70" s="8" t="str">
        <f>IF( AND(X70&gt;=SCORE!G$2*V70, X70&lt;SCORE!H$2*V70),SCORE!F$2,(IF(AND(X70&gt;=SCORE!G$3*V70, X70&lt;SCORE!H$3*V70),SCORE!A$3,(IF(AND(X70&gt;=SCORE!G$4*V70, X70&lt;SCORE!H$4*V70),SCORE!A$4,(IF(AND(X70&gt;=SCORE!G$5*V70, X70&lt;SCORE!H$5*V70),SCORE!A$5,(IF(SCORE!G$6*'DATASET 102018'!V70&lt;=X70,SCORE!A$6,0)))))))))</f>
        <v>Low</v>
      </c>
      <c r="Z70" s="42">
        <v>0</v>
      </c>
      <c r="AA70" s="42">
        <v>0</v>
      </c>
      <c r="AB70" s="42">
        <v>139</v>
      </c>
      <c r="AC70" s="42">
        <v>244</v>
      </c>
      <c r="AD70" s="42">
        <v>100</v>
      </c>
      <c r="AE70" s="42">
        <v>112</v>
      </c>
    </row>
    <row r="71" spans="1:31" x14ac:dyDescent="0.3">
      <c r="A71">
        <f t="shared" si="3"/>
        <v>70</v>
      </c>
      <c r="B71" s="87" t="s">
        <v>244</v>
      </c>
      <c r="C71" s="43">
        <v>3462</v>
      </c>
      <c r="D71" s="43">
        <v>3742</v>
      </c>
      <c r="E71" s="42">
        <f t="shared" si="2"/>
        <v>3602</v>
      </c>
      <c r="F71" s="43">
        <v>2</v>
      </c>
      <c r="G71" s="43" t="s">
        <v>384</v>
      </c>
      <c r="H71" s="43" t="s">
        <v>417</v>
      </c>
      <c r="I71" s="42">
        <v>120</v>
      </c>
      <c r="J71" s="43" t="s">
        <v>218</v>
      </c>
      <c r="K71" s="43" t="s">
        <v>211</v>
      </c>
      <c r="L71" s="43" t="s">
        <v>212</v>
      </c>
      <c r="M71" s="43" t="s">
        <v>212</v>
      </c>
      <c r="N71" s="43" t="s">
        <v>212</v>
      </c>
      <c r="O71" s="43" t="s">
        <v>218</v>
      </c>
      <c r="P71" s="27">
        <v>0</v>
      </c>
      <c r="Q71" s="91">
        <f>IF(Tableau14[[#This Row],[F crashes2015]] &lt;&gt; 0, Tableau14[[#This Row],[F &amp; S crashes2015]]/Tableau14[[#This Row],[F crashes2015]], 1)</f>
        <v>1</v>
      </c>
      <c r="R71" s="91" t="str">
        <f>IF( AND(P71&gt;=SCORE!B$2*'DATASET 102018'!Q71, P71&lt;SCORE!C$2*'DATASET 102018'!Q71),SCORE!A$2,(IF(AND(P71&gt;=SCORE!B$3*'DATASET 102018'!Q71,P71&lt;SCORE!C$3*'DATASET 102018'!Q71),SCORE!A$3,(IF(AND(P71&gt;=SCORE!B$4*'DATASET 102018'!Q71,P71&lt;SCORE!C$4*'DATASET 102018'!Q71),SCORE!A$4,(IF(AND(P71&gt;=SCORE!B$5*'DATASET 102018'!Q71,P71&lt;SCORE!C$5*'DATASET 102018'!Q71),SCORE!A$5,(IF(SCORE!B$6*'DATASET 102018'!Q71&lt;=P71,SCORE!A$6,0)))))))))</f>
        <v>Low</v>
      </c>
      <c r="S71" s="71">
        <f>Tableau14[[#This Row],[F &amp; S crashes2015]]/4</f>
        <v>0</v>
      </c>
      <c r="T71" s="66" t="str">
        <f>IF( AND(S71&gt;=SCORE!G$2*'DATASET 102018'!Q71, S71&lt;SCORE!H$2*'DATASET 102018'!Q71),SCORE!F$2,(IF(AND(S71&gt;=SCORE!G$3*'DATASET 102018'!Q71, S71&lt;SCORE!H$3*'DATASET 102018'!Q71),SCORE!A$3,(IF(AND(S71&gt;=SCORE!G$4*'DATASET 102018'!Q71, S71&lt;SCORE!H$4*'DATASET 102018'!Q71),SCORE!A$4,(IF(AND(S71&gt;=SCORE!G$5*'DATASET 102018'!Q71, S71&lt;SCORE!H$5*'DATASET 102018'!Q71),SCORE!A$5,(IF(SCORE!G$6*'DATASET 102018'!Q71&lt;=S71,SCORE!A$6,0)))))))))</f>
        <v>Low</v>
      </c>
      <c r="U71" s="8">
        <f>(Tableau14[[#This Row],[F &amp; S crashes2016]]/Tableau14[[#This Row],[BILLION VEH KM TRAVELLED2016]])</f>
        <v>0</v>
      </c>
      <c r="V71" s="91">
        <f>IF(Tableau14[[#This Row],[F crashes2016]] &lt;&gt; 0, Tableau14[[#This Row],[F &amp; S crashes2016]]/Tableau14[[#This Row],[F crashes2016]], 1)</f>
        <v>1</v>
      </c>
      <c r="W71" s="91" t="str">
        <f>IF(AND(U71&gt;=SCORE!B$2*'DATASET 102018'!V71, U71&lt;SCORE!C$2*'DATASET 102018'!V71),SCORE!A$2,(IF(AND(U71&gt;=SCORE!B$3*'DATASET 102018'!V71, U71&lt;SCORE!C$3*'DATASET 102018'!V71),SCORE!A$3,(IF(AND(U71&gt;=SCORE!B$4*'DATASET 102018'!V71, U71&lt;SCORE!C$4*'DATASET 102018'!V71),SCORE!A$4,(IF(AND(U71&gt;=SCORE!B$5*'DATASET 102018'!V71, U71&lt;SCORE!C$5*'DATASET 102018'!V71),SCORE!A$5,(IF(SCORE!B$6*'DATASET 102018'!V71&lt;=U71,SCORE!A$6,0)))))))))</f>
        <v>Low</v>
      </c>
      <c r="X71" s="8">
        <f>Tableau14[[#This Row],[F &amp; S crashes2016]]/4</f>
        <v>0</v>
      </c>
      <c r="Y71" s="8" t="str">
        <f>IF( AND(X71&gt;=SCORE!G$2*V71, X71&lt;SCORE!H$2*V71),SCORE!F$2,(IF(AND(X71&gt;=SCORE!G$3*V71, X71&lt;SCORE!H$3*V71),SCORE!A$3,(IF(AND(X71&gt;=SCORE!G$4*V71, X71&lt;SCORE!H$4*V71),SCORE!A$4,(IF(AND(X71&gt;=SCORE!G$5*V71, X71&lt;SCORE!H$5*V71),SCORE!A$5,(IF(SCORE!G$6*'DATASET 102018'!V71&lt;=X71,SCORE!A$6,0)))))))))</f>
        <v>Low</v>
      </c>
      <c r="Z71" s="43">
        <v>8</v>
      </c>
      <c r="AA71" s="43">
        <v>5</v>
      </c>
      <c r="AB71" s="43">
        <v>9</v>
      </c>
      <c r="AC71" s="43">
        <v>16</v>
      </c>
      <c r="AD71" s="43">
        <v>37</v>
      </c>
      <c r="AE71" s="43">
        <v>203</v>
      </c>
    </row>
    <row r="72" spans="1:31" x14ac:dyDescent="0.3">
      <c r="A72">
        <f t="shared" si="3"/>
        <v>71</v>
      </c>
      <c r="B72" s="87" t="s">
        <v>245</v>
      </c>
      <c r="C72" s="42">
        <v>3462</v>
      </c>
      <c r="D72" s="42">
        <v>3742</v>
      </c>
      <c r="E72" s="42">
        <f t="shared" si="2"/>
        <v>3602</v>
      </c>
      <c r="F72" s="42">
        <v>2</v>
      </c>
      <c r="G72" s="43" t="s">
        <v>384</v>
      </c>
      <c r="H72" s="43" t="s">
        <v>417</v>
      </c>
      <c r="I72" s="42">
        <v>120</v>
      </c>
      <c r="J72" s="42" t="s">
        <v>218</v>
      </c>
      <c r="K72" s="42" t="s">
        <v>211</v>
      </c>
      <c r="L72" s="42" t="s">
        <v>212</v>
      </c>
      <c r="M72" s="42" t="s">
        <v>212</v>
      </c>
      <c r="N72" s="43" t="s">
        <v>212</v>
      </c>
      <c r="O72" s="42" t="s">
        <v>218</v>
      </c>
      <c r="P72" s="27">
        <v>0</v>
      </c>
      <c r="Q72" s="91">
        <f>IF(Tableau14[[#This Row],[F crashes2015]] &lt;&gt; 0, Tableau14[[#This Row],[F &amp; S crashes2015]]/Tableau14[[#This Row],[F crashes2015]], 1)</f>
        <v>1</v>
      </c>
      <c r="R72" s="91" t="str">
        <f>IF( AND(P72&gt;=SCORE!B$2*'DATASET 102018'!Q72, P72&lt;SCORE!C$2*'DATASET 102018'!Q72),SCORE!A$2,(IF(AND(P72&gt;=SCORE!B$3*'DATASET 102018'!Q72,P72&lt;SCORE!C$3*'DATASET 102018'!Q72),SCORE!A$3,(IF(AND(P72&gt;=SCORE!B$4*'DATASET 102018'!Q72,P72&lt;SCORE!C$4*'DATASET 102018'!Q72),SCORE!A$4,(IF(AND(P72&gt;=SCORE!B$5*'DATASET 102018'!Q72,P72&lt;SCORE!C$5*'DATASET 102018'!Q72),SCORE!A$5,(IF(SCORE!B$6*'DATASET 102018'!Q72&lt;=P72,SCORE!A$6,0)))))))))</f>
        <v>Low</v>
      </c>
      <c r="S72" s="68">
        <f>Tableau14[[#This Row],[F &amp; S crashes2015]]/4</f>
        <v>0</v>
      </c>
      <c r="T72" s="66" t="str">
        <f>IF( AND(S72&gt;=SCORE!G$2*'DATASET 102018'!Q72, S72&lt;SCORE!H$2*'DATASET 102018'!Q72),SCORE!F$2,(IF(AND(S72&gt;=SCORE!G$3*'DATASET 102018'!Q72, S72&lt;SCORE!H$3*'DATASET 102018'!Q72),SCORE!A$3,(IF(AND(S72&gt;=SCORE!G$4*'DATASET 102018'!Q72, S72&lt;SCORE!H$4*'DATASET 102018'!Q72),SCORE!A$4,(IF(AND(S72&gt;=SCORE!G$5*'DATASET 102018'!Q72, S72&lt;SCORE!H$5*'DATASET 102018'!Q72),SCORE!A$5,(IF(SCORE!G$6*'DATASET 102018'!Q72&lt;=S72,SCORE!A$6,0)))))))))</f>
        <v>Low</v>
      </c>
      <c r="U72" s="8">
        <f>(Tableau14[[#This Row],[F &amp; S crashes2016]]/Tableau14[[#This Row],[BILLION VEH KM TRAVELLED2016]])</f>
        <v>0</v>
      </c>
      <c r="V72" s="91">
        <f>IF(Tableau14[[#This Row],[F crashes2016]] &lt;&gt; 0, Tableau14[[#This Row],[F &amp; S crashes2016]]/Tableau14[[#This Row],[F crashes2016]], 1)</f>
        <v>1</v>
      </c>
      <c r="W72" s="91" t="str">
        <f>IF(AND(U72&gt;=SCORE!B$2*'DATASET 102018'!V72, U72&lt;SCORE!C$2*'DATASET 102018'!V72),SCORE!A$2,(IF(AND(U72&gt;=SCORE!B$3*'DATASET 102018'!V72, U72&lt;SCORE!C$3*'DATASET 102018'!V72),SCORE!A$3,(IF(AND(U72&gt;=SCORE!B$4*'DATASET 102018'!V72, U72&lt;SCORE!C$4*'DATASET 102018'!V72),SCORE!A$4,(IF(AND(U72&gt;=SCORE!B$5*'DATASET 102018'!V72, U72&lt;SCORE!C$5*'DATASET 102018'!V72),SCORE!A$5,(IF(SCORE!B$6*'DATASET 102018'!V72&lt;=U72,SCORE!A$6,0)))))))))</f>
        <v>Low</v>
      </c>
      <c r="X72" s="8">
        <f>Tableau14[[#This Row],[F &amp; S crashes2016]]/4</f>
        <v>0</v>
      </c>
      <c r="Y72" s="8" t="str">
        <f>IF( AND(X72&gt;=SCORE!G$2*V72, X72&lt;SCORE!H$2*V72),SCORE!F$2,(IF(AND(X72&gt;=SCORE!G$3*V72, X72&lt;SCORE!H$3*V72),SCORE!A$3,(IF(AND(X72&gt;=SCORE!G$4*V72, X72&lt;SCORE!H$4*V72),SCORE!A$4,(IF(AND(X72&gt;=SCORE!G$5*V72, X72&lt;SCORE!H$5*V72),SCORE!A$5,(IF(SCORE!G$6*'DATASET 102018'!V72&lt;=X72,SCORE!A$6,0)))))))))</f>
        <v>Low</v>
      </c>
      <c r="Z72" s="42">
        <v>0</v>
      </c>
      <c r="AA72" s="42">
        <v>0</v>
      </c>
      <c r="AB72" s="42">
        <v>26</v>
      </c>
      <c r="AC72" s="42">
        <v>125</v>
      </c>
      <c r="AD72" s="42">
        <v>34</v>
      </c>
      <c r="AE72" s="42">
        <v>328</v>
      </c>
    </row>
    <row r="73" spans="1:31" x14ac:dyDescent="0.3">
      <c r="A73">
        <f t="shared" si="3"/>
        <v>72</v>
      </c>
      <c r="B73" s="88" t="s">
        <v>189</v>
      </c>
      <c r="C73" s="43">
        <v>11566</v>
      </c>
      <c r="D73" s="43">
        <v>12280</v>
      </c>
      <c r="E73" s="42">
        <f t="shared" si="2"/>
        <v>11923</v>
      </c>
      <c r="F73" s="43">
        <v>2</v>
      </c>
      <c r="G73" s="43" t="s">
        <v>384</v>
      </c>
      <c r="H73" s="43" t="s">
        <v>417</v>
      </c>
      <c r="I73" s="42">
        <v>120</v>
      </c>
      <c r="J73" s="43" t="s">
        <v>218</v>
      </c>
      <c r="K73" s="43" t="s">
        <v>211</v>
      </c>
      <c r="L73" s="43" t="s">
        <v>212</v>
      </c>
      <c r="M73" s="43" t="s">
        <v>211</v>
      </c>
      <c r="N73" s="43" t="s">
        <v>212</v>
      </c>
      <c r="O73" s="43" t="s">
        <v>218</v>
      </c>
      <c r="P73" s="27">
        <v>29.60873682762815</v>
      </c>
      <c r="Q73" s="91">
        <f>IF(Tableau14[[#This Row],[F crashes2015]] &lt;&gt; 0, Tableau14[[#This Row],[F &amp; S crashes2015]]/Tableau14[[#This Row],[F crashes2015]], 1)</f>
        <v>1</v>
      </c>
      <c r="R73" s="91" t="str">
        <f>IF( AND(P73&gt;=SCORE!B$2*'DATASET 102018'!Q73, P73&lt;SCORE!C$2*'DATASET 102018'!Q73),SCORE!A$2,(IF(AND(P73&gt;=SCORE!B$3*'DATASET 102018'!Q73,P73&lt;SCORE!C$3*'DATASET 102018'!Q73),SCORE!A$3,(IF(AND(P73&gt;=SCORE!B$4*'DATASET 102018'!Q73,P73&lt;SCORE!C$4*'DATASET 102018'!Q73),SCORE!A$4,(IF(AND(P73&gt;=SCORE!B$5*'DATASET 102018'!Q73,P73&lt;SCORE!C$5*'DATASET 102018'!Q73),SCORE!A$5,(IF(SCORE!B$6*'DATASET 102018'!Q73&lt;=P73,SCORE!A$6,0)))))))))</f>
        <v>High</v>
      </c>
      <c r="S73" s="71">
        <f>Tableau14[[#This Row],[F &amp; S crashes2015]]/4</f>
        <v>0.25</v>
      </c>
      <c r="T73" s="66" t="str">
        <f>IF( AND(S73&gt;=SCORE!G$2*'DATASET 102018'!Q73, S73&lt;SCORE!H$2*'DATASET 102018'!Q73),SCORE!F$2,(IF(AND(S73&gt;=SCORE!G$3*'DATASET 102018'!Q73, S73&lt;SCORE!H$3*'DATASET 102018'!Q73),SCORE!A$3,(IF(AND(S73&gt;=SCORE!G$4*'DATASET 102018'!Q73, S73&lt;SCORE!H$4*'DATASET 102018'!Q73),SCORE!A$4,(IF(AND(S73&gt;=SCORE!G$5*'DATASET 102018'!Q73, S73&lt;SCORE!H$5*'DATASET 102018'!Q73),SCORE!A$5,(IF(SCORE!G$6*'DATASET 102018'!Q73&lt;=S73,SCORE!A$6,0)))))))))</f>
        <v>High</v>
      </c>
      <c r="U73" s="8">
        <f>(Tableau14[[#This Row],[F &amp; S crashes2016]]/Tableau14[[#This Row],[BILLION VEH KM TRAVELLED2016]])</f>
        <v>27.888090669760384</v>
      </c>
      <c r="V73" s="91">
        <f>IF(Tableau14[[#This Row],[F crashes2016]] &lt;&gt; 0, Tableau14[[#This Row],[F &amp; S crashes2016]]/Tableau14[[#This Row],[F crashes2016]], 1)</f>
        <v>1</v>
      </c>
      <c r="W73" s="91" t="str">
        <f>IF(AND(U73&gt;=SCORE!B$2*'DATASET 102018'!V73, U73&lt;SCORE!C$2*'DATASET 102018'!V73),SCORE!A$2,(IF(AND(U73&gt;=SCORE!B$3*'DATASET 102018'!V73, U73&lt;SCORE!C$3*'DATASET 102018'!V73),SCORE!A$3,(IF(AND(U73&gt;=SCORE!B$4*'DATASET 102018'!V73, U73&lt;SCORE!C$4*'DATASET 102018'!V73),SCORE!A$4,(IF(AND(U73&gt;=SCORE!B$5*'DATASET 102018'!V73, U73&lt;SCORE!C$5*'DATASET 102018'!V73),SCORE!A$5,(IF(SCORE!B$6*'DATASET 102018'!V73&lt;=U73,SCORE!A$6,0)))))))))</f>
        <v>High</v>
      </c>
      <c r="X73" s="8">
        <f>Tableau14[[#This Row],[F &amp; S crashes2016]]/4</f>
        <v>0.25</v>
      </c>
      <c r="Y73" s="8" t="str">
        <f>IF( AND(X73&gt;=SCORE!G$2*V73, X73&lt;SCORE!H$2*V73),SCORE!F$2,(IF(AND(X73&gt;=SCORE!G$3*V73, X73&lt;SCORE!H$3*V73),SCORE!A$3,(IF(AND(X73&gt;=SCORE!G$4*V73, X73&lt;SCORE!H$4*V73),SCORE!A$4,(IF(AND(X73&gt;=SCORE!G$5*V73, X73&lt;SCORE!H$5*V73),SCORE!A$5,(IF(SCORE!G$6*'DATASET 102018'!V73&lt;=X73,SCORE!A$6,0)))))))))</f>
        <v>High</v>
      </c>
      <c r="Z73" s="43">
        <v>0</v>
      </c>
      <c r="AA73" s="43">
        <v>0</v>
      </c>
      <c r="AB73" s="43">
        <v>113</v>
      </c>
      <c r="AC73" s="43">
        <v>222</v>
      </c>
      <c r="AD73" s="43">
        <v>109</v>
      </c>
      <c r="AE73" s="43">
        <v>217</v>
      </c>
    </row>
    <row r="74" spans="1:31" x14ac:dyDescent="0.3">
      <c r="A74">
        <f t="shared" si="3"/>
        <v>73</v>
      </c>
      <c r="B74" s="85" t="s">
        <v>190</v>
      </c>
      <c r="C74" s="42">
        <v>15327</v>
      </c>
      <c r="D74" s="42">
        <v>16299</v>
      </c>
      <c r="E74" s="42">
        <f t="shared" si="2"/>
        <v>15813</v>
      </c>
      <c r="F74" s="42">
        <v>2</v>
      </c>
      <c r="G74" s="43" t="s">
        <v>384</v>
      </c>
      <c r="H74" s="43" t="s">
        <v>417</v>
      </c>
      <c r="I74" s="42">
        <v>120</v>
      </c>
      <c r="J74" s="42" t="s">
        <v>218</v>
      </c>
      <c r="K74" s="42" t="s">
        <v>211</v>
      </c>
      <c r="L74" s="42" t="s">
        <v>212</v>
      </c>
      <c r="M74" s="42" t="s">
        <v>211</v>
      </c>
      <c r="N74" s="43" t="s">
        <v>212</v>
      </c>
      <c r="O74" s="42" t="s">
        <v>218</v>
      </c>
      <c r="P74" s="27">
        <v>0</v>
      </c>
      <c r="Q74" s="91">
        <f>IF(Tableau14[[#This Row],[F crashes2015]] &lt;&gt; 0, Tableau14[[#This Row],[F &amp; S crashes2015]]/Tableau14[[#This Row],[F crashes2015]], 1)</f>
        <v>1</v>
      </c>
      <c r="R74" s="91" t="str">
        <f>IF( AND(P74&gt;=SCORE!B$2*'DATASET 102018'!Q74, P74&lt;SCORE!C$2*'DATASET 102018'!Q74),SCORE!A$2,(IF(AND(P74&gt;=SCORE!B$3*'DATASET 102018'!Q74,P74&lt;SCORE!C$3*'DATASET 102018'!Q74),SCORE!A$3,(IF(AND(P74&gt;=SCORE!B$4*'DATASET 102018'!Q74,P74&lt;SCORE!C$4*'DATASET 102018'!Q74),SCORE!A$4,(IF(AND(P74&gt;=SCORE!B$5*'DATASET 102018'!Q74,P74&lt;SCORE!C$5*'DATASET 102018'!Q74),SCORE!A$5,(IF(SCORE!B$6*'DATASET 102018'!Q74&lt;=P74,SCORE!A$6,0)))))))))</f>
        <v>Low</v>
      </c>
      <c r="S74" s="68">
        <f>Tableau14[[#This Row],[F &amp; S crashes2015]]/4</f>
        <v>0</v>
      </c>
      <c r="T74" s="66" t="str">
        <f>IF( AND(S74&gt;=SCORE!G$2*'DATASET 102018'!Q74, S74&lt;SCORE!H$2*'DATASET 102018'!Q74),SCORE!F$2,(IF(AND(S74&gt;=SCORE!G$3*'DATASET 102018'!Q74, S74&lt;SCORE!H$3*'DATASET 102018'!Q74),SCORE!A$3,(IF(AND(S74&gt;=SCORE!G$4*'DATASET 102018'!Q74, S74&lt;SCORE!H$4*'DATASET 102018'!Q74),SCORE!A$4,(IF(AND(S74&gt;=SCORE!G$5*'DATASET 102018'!Q74, S74&lt;SCORE!H$5*'DATASET 102018'!Q74),SCORE!A$5,(IF(SCORE!G$6*'DATASET 102018'!Q74&lt;=S74,SCORE!A$6,0)))))))))</f>
        <v>Low</v>
      </c>
      <c r="U74" s="8">
        <f>(Tableau14[[#This Row],[F &amp; S crashes2016]]/Tableau14[[#This Row],[BILLION VEH KM TRAVELLED2016]])</f>
        <v>6.7238150603909537</v>
      </c>
      <c r="V74" s="91">
        <f>IF(Tableau14[[#This Row],[F crashes2016]] &lt;&gt; 0, Tableau14[[#This Row],[F &amp; S crashes2016]]/Tableau14[[#This Row],[F crashes2016]], 1)</f>
        <v>1</v>
      </c>
      <c r="W74" s="91" t="str">
        <f>IF(AND(U74&gt;=SCORE!B$2*'DATASET 102018'!V74, U74&lt;SCORE!C$2*'DATASET 102018'!V74),SCORE!A$2,(IF(AND(U74&gt;=SCORE!B$3*'DATASET 102018'!V74, U74&lt;SCORE!C$3*'DATASET 102018'!V74),SCORE!A$3,(IF(AND(U74&gt;=SCORE!B$4*'DATASET 102018'!V74, U74&lt;SCORE!C$4*'DATASET 102018'!V74),SCORE!A$4,(IF(AND(U74&gt;=SCORE!B$5*'DATASET 102018'!V74, U74&lt;SCORE!C$5*'DATASET 102018'!V74),SCORE!A$5,(IF(SCORE!B$6*'DATASET 102018'!V74&lt;=U74,SCORE!A$6,0)))))))))</f>
        <v>Medium</v>
      </c>
      <c r="X74" s="8">
        <f>Tableau14[[#This Row],[F &amp; S crashes2016]]/4</f>
        <v>0.25</v>
      </c>
      <c r="Y74" s="8" t="str">
        <f>IF( AND(X74&gt;=SCORE!G$2*V74, X74&lt;SCORE!H$2*V74),SCORE!F$2,(IF(AND(X74&gt;=SCORE!G$3*V74, X74&lt;SCORE!H$3*V74),SCORE!A$3,(IF(AND(X74&gt;=SCORE!G$4*V74, X74&lt;SCORE!H$4*V74),SCORE!A$4,(IF(AND(X74&gt;=SCORE!G$5*V74, X74&lt;SCORE!H$5*V74),SCORE!A$5,(IF(SCORE!G$6*'DATASET 102018'!V74&lt;=X74,SCORE!A$6,0)))))))))</f>
        <v>High</v>
      </c>
      <c r="Z74" s="42">
        <v>0</v>
      </c>
      <c r="AA74" s="42">
        <v>0</v>
      </c>
      <c r="AB74" s="42">
        <v>26</v>
      </c>
      <c r="AC74" s="42">
        <v>301</v>
      </c>
      <c r="AD74" s="42">
        <v>34</v>
      </c>
      <c r="AE74" s="42">
        <v>252</v>
      </c>
    </row>
    <row r="75" spans="1:31" x14ac:dyDescent="0.3">
      <c r="A75">
        <f t="shared" si="3"/>
        <v>74</v>
      </c>
      <c r="B75" s="43" t="s">
        <v>315</v>
      </c>
      <c r="C75" s="43">
        <v>13949</v>
      </c>
      <c r="D75" s="43">
        <v>14738</v>
      </c>
      <c r="E75" s="42">
        <f t="shared" si="2"/>
        <v>14343.5</v>
      </c>
      <c r="F75" s="43">
        <v>2</v>
      </c>
      <c r="G75" s="43" t="s">
        <v>384</v>
      </c>
      <c r="H75" s="43" t="s">
        <v>417</v>
      </c>
      <c r="I75" s="42">
        <v>120</v>
      </c>
      <c r="J75" s="43" t="s">
        <v>218</v>
      </c>
      <c r="K75" s="43" t="s">
        <v>212</v>
      </c>
      <c r="L75" s="43" t="s">
        <v>212</v>
      </c>
      <c r="M75" s="43" t="s">
        <v>211</v>
      </c>
      <c r="N75" s="43" t="s">
        <v>212</v>
      </c>
      <c r="O75" s="43"/>
      <c r="P75" s="27">
        <v>21.822661415406909</v>
      </c>
      <c r="Q75" s="91">
        <f>IF(Tableau14[[#This Row],[F crashes2015]] &lt;&gt; 0, Tableau14[[#This Row],[F &amp; S crashes2015]]/Tableau14[[#This Row],[F crashes2015]], 1)</f>
        <v>1</v>
      </c>
      <c r="R75" s="91" t="str">
        <f>IF( AND(P75&gt;=SCORE!B$2*'DATASET 102018'!Q75, P75&lt;SCORE!C$2*'DATASET 102018'!Q75),SCORE!A$2,(IF(AND(P75&gt;=SCORE!B$3*'DATASET 102018'!Q75,P75&lt;SCORE!C$3*'DATASET 102018'!Q75),SCORE!A$3,(IF(AND(P75&gt;=SCORE!B$4*'DATASET 102018'!Q75,P75&lt;SCORE!C$4*'DATASET 102018'!Q75),SCORE!A$4,(IF(AND(P75&gt;=SCORE!B$5*'DATASET 102018'!Q75,P75&lt;SCORE!C$5*'DATASET 102018'!Q75),SCORE!A$5,(IF(SCORE!B$6*'DATASET 102018'!Q75&lt;=P75,SCORE!A$6,0)))))))))</f>
        <v>High</v>
      </c>
      <c r="S75" s="71">
        <f>Tableau14[[#This Row],[F &amp; S crashes2015]]/4</f>
        <v>0.5</v>
      </c>
      <c r="T75" s="66" t="str">
        <f>IF( AND(S75&gt;=SCORE!G$2*'DATASET 102018'!Q75, S75&lt;SCORE!H$2*'DATASET 102018'!Q75),SCORE!F$2,(IF(AND(S75&gt;=SCORE!G$3*'DATASET 102018'!Q75, S75&lt;SCORE!H$3*'DATASET 102018'!Q75),SCORE!A$3,(IF(AND(S75&gt;=SCORE!G$4*'DATASET 102018'!Q75, S75&lt;SCORE!H$4*'DATASET 102018'!Q75),SCORE!A$4,(IF(AND(S75&gt;=SCORE!G$5*'DATASET 102018'!Q75, S75&lt;SCORE!H$5*'DATASET 102018'!Q75),SCORE!A$5,(IF(SCORE!G$6*'DATASET 102018'!Q75&lt;=S75,SCORE!A$6,0)))))))))</f>
        <v>High</v>
      </c>
      <c r="U75" s="8">
        <f>(Tableau14[[#This Row],[F &amp; S crashes2016]]/Tableau14[[#This Row],[BILLION VEH KM TRAVELLED2016]])</f>
        <v>30.981511318398077</v>
      </c>
      <c r="V75" s="91">
        <f>IF(Tableau14[[#This Row],[F crashes2016]] &lt;&gt; 0, Tableau14[[#This Row],[F &amp; S crashes2016]]/Tableau14[[#This Row],[F crashes2016]], 1)</f>
        <v>1</v>
      </c>
      <c r="W75" s="91" t="str">
        <f>IF(AND(U75&gt;=SCORE!B$2*'DATASET 102018'!V75, U75&lt;SCORE!C$2*'DATASET 102018'!V75),SCORE!A$2,(IF(AND(U75&gt;=SCORE!B$3*'DATASET 102018'!V75, U75&lt;SCORE!C$3*'DATASET 102018'!V75),SCORE!A$3,(IF(AND(U75&gt;=SCORE!B$4*'DATASET 102018'!V75, U75&lt;SCORE!C$4*'DATASET 102018'!V75),SCORE!A$4,(IF(AND(U75&gt;=SCORE!B$5*'DATASET 102018'!V75, U75&lt;SCORE!C$5*'DATASET 102018'!V75),SCORE!A$5,(IF(SCORE!B$6*'DATASET 102018'!V75&lt;=U75,SCORE!A$6,0)))))))))</f>
        <v>High</v>
      </c>
      <c r="X75" s="8">
        <f>Tableau14[[#This Row],[F &amp; S crashes2016]]/4</f>
        <v>0.75</v>
      </c>
      <c r="Y75" s="8" t="str">
        <f>IF( AND(X75&gt;=SCORE!G$2*V75, X75&lt;SCORE!H$2*V75),SCORE!F$2,(IF(AND(X75&gt;=SCORE!G$3*V75, X75&lt;SCORE!H$3*V75),SCORE!A$3,(IF(AND(X75&gt;=SCORE!G$4*V75, X75&lt;SCORE!H$4*V75),SCORE!A$4,(IF(AND(X75&gt;=SCORE!G$5*V75, X75&lt;SCORE!H$5*V75),SCORE!A$5,(IF(SCORE!G$6*'DATASET 102018'!V75&lt;=X75,SCORE!A$6,0)))))))))</f>
        <v>High</v>
      </c>
      <c r="Z75" s="43">
        <v>0</v>
      </c>
      <c r="AA75" s="43">
        <v>0</v>
      </c>
      <c r="AB75" s="43">
        <v>85</v>
      </c>
      <c r="AC75" s="43">
        <v>9</v>
      </c>
      <c r="AD75" s="43">
        <v>67</v>
      </c>
      <c r="AE75" s="43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I1" zoomScale="103" workbookViewId="0">
      <selection activeCell="V75" sqref="V1:V75"/>
    </sheetView>
  </sheetViews>
  <sheetFormatPr baseColWidth="10" defaultRowHeight="14.4" x14ac:dyDescent="0.3"/>
  <cols>
    <col min="1" max="1" width="18.21875" customWidth="1"/>
    <col min="11" max="12" width="11.88671875" customWidth="1"/>
    <col min="13" max="13" width="25.5546875" customWidth="1"/>
    <col min="14" max="14" width="13.5546875" bestFit="1" customWidth="1"/>
    <col min="15" max="16" width="13.6640625" bestFit="1" customWidth="1"/>
    <col min="17" max="19" width="11.88671875" customWidth="1"/>
    <col min="20" max="20" width="13.44140625" customWidth="1"/>
    <col min="21" max="21" width="16.88671875" customWidth="1"/>
    <col min="22" max="22" width="14.21875" bestFit="1" customWidth="1"/>
  </cols>
  <sheetData>
    <row r="1" spans="1:22" ht="57.6" x14ac:dyDescent="0.3">
      <c r="A1" t="s">
        <v>483</v>
      </c>
      <c r="B1" s="2" t="s">
        <v>482</v>
      </c>
      <c r="C1" s="2" t="s">
        <v>366</v>
      </c>
      <c r="D1" s="2" t="s">
        <v>367</v>
      </c>
      <c r="E1" s="2" t="s">
        <v>437</v>
      </c>
      <c r="F1" s="2" t="s">
        <v>5</v>
      </c>
      <c r="G1" s="2" t="s">
        <v>210</v>
      </c>
      <c r="H1" s="2" t="s">
        <v>214</v>
      </c>
      <c r="I1" s="2" t="s">
        <v>213</v>
      </c>
      <c r="J1" s="2" t="s">
        <v>225</v>
      </c>
      <c r="K1" s="2" t="s">
        <v>215</v>
      </c>
      <c r="L1" s="2" t="s">
        <v>216</v>
      </c>
      <c r="M1" t="s">
        <v>477</v>
      </c>
      <c r="N1" t="s">
        <v>478</v>
      </c>
      <c r="O1" t="s">
        <v>480</v>
      </c>
      <c r="P1" t="s">
        <v>481</v>
      </c>
      <c r="Q1" s="2" t="s">
        <v>290</v>
      </c>
      <c r="R1" s="2" t="s">
        <v>292</v>
      </c>
      <c r="S1" s="2" t="s">
        <v>294</v>
      </c>
      <c r="T1" s="2" t="s">
        <v>439</v>
      </c>
      <c r="U1" s="2" t="s">
        <v>484</v>
      </c>
      <c r="V1" t="s">
        <v>485</v>
      </c>
    </row>
    <row r="2" spans="1:22" x14ac:dyDescent="0.3">
      <c r="A2">
        <v>1</v>
      </c>
      <c r="B2">
        <v>10588</v>
      </c>
      <c r="C2">
        <v>6</v>
      </c>
      <c r="D2" t="s">
        <v>384</v>
      </c>
      <c r="E2" t="s">
        <v>371</v>
      </c>
      <c r="F2">
        <v>60</v>
      </c>
      <c r="G2">
        <v>0.34</v>
      </c>
      <c r="H2" t="s">
        <v>212</v>
      </c>
      <c r="I2" t="s">
        <v>212</v>
      </c>
      <c r="J2" t="s">
        <v>212</v>
      </c>
      <c r="K2" t="s">
        <v>212</v>
      </c>
      <c r="L2">
        <v>13.8</v>
      </c>
      <c r="M2" t="s">
        <v>144</v>
      </c>
      <c r="N2" t="s">
        <v>144</v>
      </c>
      <c r="O2" t="s">
        <v>144</v>
      </c>
      <c r="P2" t="s">
        <v>144</v>
      </c>
      <c r="Q2">
        <v>0</v>
      </c>
      <c r="R2">
        <v>1605</v>
      </c>
      <c r="S2">
        <v>399</v>
      </c>
      <c r="T2" s="82">
        <f>IF(AND(S2&gt;10,R2&gt;10), R2-S2,IF(AND(Q2&gt;10,R2&gt;10),Q2-R2, -1))</f>
        <v>1206</v>
      </c>
      <c r="U2">
        <v>0</v>
      </c>
      <c r="V2" t="str">
        <f>IF(AND(Tableau5[[#This Row],[GAIN ACCIDENTOLOGIE]]&gt;U76,Tableau5[[#This Row],[GAIN INFRACTIONS]]&gt;T76), SCORE!K$2,IF(OR(Tableau5[[#This Row],[GAIN ACCIDENTOLOGIE]]&gt;= U76, Tableau5[[#This Row],[GAIN INFRACTIONS]]&gt;=T76), SCORE!K$3,SCORE!K$4))</f>
        <v>MOYEN</v>
      </c>
    </row>
    <row r="3" spans="1:22" x14ac:dyDescent="0.3">
      <c r="A3">
        <f>A2+1</f>
        <v>2</v>
      </c>
      <c r="B3">
        <v>10588</v>
      </c>
      <c r="C3">
        <v>6</v>
      </c>
      <c r="D3" t="s">
        <v>384</v>
      </c>
      <c r="E3" t="s">
        <v>371</v>
      </c>
      <c r="F3">
        <v>60</v>
      </c>
      <c r="G3">
        <v>0.34</v>
      </c>
      <c r="H3" t="s">
        <v>212</v>
      </c>
      <c r="I3" t="s">
        <v>212</v>
      </c>
      <c r="J3" t="s">
        <v>212</v>
      </c>
      <c r="K3" t="s">
        <v>212</v>
      </c>
      <c r="L3">
        <v>13.8</v>
      </c>
      <c r="M3" t="s">
        <v>144</v>
      </c>
      <c r="N3" t="s">
        <v>144</v>
      </c>
      <c r="O3" t="s">
        <v>144</v>
      </c>
      <c r="P3" t="s">
        <v>144</v>
      </c>
      <c r="Q3">
        <v>0</v>
      </c>
      <c r="R3">
        <v>818</v>
      </c>
      <c r="S3">
        <v>169</v>
      </c>
      <c r="T3" s="82">
        <f t="shared" ref="T3:T66" si="0">IF(AND(S3&gt;10,R3&gt;10), R3-S3,IF(AND(Q3&gt;10,R3&gt;10),Q3-R3, -1))</f>
        <v>649</v>
      </c>
      <c r="U3">
        <v>0</v>
      </c>
      <c r="V3" t="str">
        <f>IF(AND(Tableau5[[#This Row],[GAIN ACCIDENTOLOGIE]]&gt;U77,Tableau5[[#This Row],[GAIN INFRACTIONS]]&gt;T77), SCORE!K$2,IF(OR(Tableau5[[#This Row],[GAIN ACCIDENTOLOGIE]]&gt;= U77, Tableau5[[#This Row],[GAIN INFRACTIONS]]&gt;=T77), SCORE!K$3,SCORE!K$4))</f>
        <v>MOYEN</v>
      </c>
    </row>
    <row r="4" spans="1:22" x14ac:dyDescent="0.3">
      <c r="A4">
        <f t="shared" ref="A4:A67" si="1">A3+1</f>
        <v>3</v>
      </c>
      <c r="B4">
        <v>11002.5</v>
      </c>
      <c r="C4">
        <v>3</v>
      </c>
      <c r="D4" t="s">
        <v>385</v>
      </c>
      <c r="E4" t="s">
        <v>371</v>
      </c>
      <c r="F4">
        <v>80</v>
      </c>
      <c r="G4">
        <v>1.55</v>
      </c>
      <c r="H4" t="s">
        <v>212</v>
      </c>
      <c r="I4" t="s">
        <v>212</v>
      </c>
      <c r="J4" t="s">
        <v>212</v>
      </c>
      <c r="K4" t="s">
        <v>211</v>
      </c>
      <c r="L4">
        <v>2</v>
      </c>
      <c r="M4" t="s">
        <v>143</v>
      </c>
      <c r="N4" t="s">
        <v>146</v>
      </c>
      <c r="O4" t="s">
        <v>143</v>
      </c>
      <c r="P4" t="s">
        <v>144</v>
      </c>
      <c r="Q4">
        <v>0</v>
      </c>
      <c r="R4">
        <v>44</v>
      </c>
      <c r="S4">
        <v>18</v>
      </c>
      <c r="T4" s="82">
        <f t="shared" si="0"/>
        <v>26</v>
      </c>
      <c r="U4">
        <v>-7</v>
      </c>
      <c r="V4" t="str">
        <f>IF(AND(Tableau5[[#This Row],[GAIN ACCIDENTOLOGIE]]&gt;U78,Tableau5[[#This Row],[GAIN INFRACTIONS]]&gt;T78), SCORE!K$2,IF(OR(Tableau5[[#This Row],[GAIN ACCIDENTOLOGIE]]&gt;= U78, Tableau5[[#This Row],[GAIN INFRACTIONS]]&gt;=T78), SCORE!K$3,SCORE!K$4))</f>
        <v>MOYEN</v>
      </c>
    </row>
    <row r="5" spans="1:22" x14ac:dyDescent="0.3">
      <c r="A5">
        <f t="shared" si="1"/>
        <v>4</v>
      </c>
      <c r="B5">
        <v>11002.5</v>
      </c>
      <c r="C5">
        <v>2</v>
      </c>
      <c r="D5" t="s">
        <v>385</v>
      </c>
      <c r="E5" t="s">
        <v>371</v>
      </c>
      <c r="F5">
        <v>80</v>
      </c>
      <c r="G5">
        <v>1.55</v>
      </c>
      <c r="H5" t="s">
        <v>212</v>
      </c>
      <c r="I5" t="s">
        <v>212</v>
      </c>
      <c r="J5" t="s">
        <v>212</v>
      </c>
      <c r="K5" t="s">
        <v>211</v>
      </c>
      <c r="L5">
        <v>2</v>
      </c>
      <c r="M5" t="s">
        <v>143</v>
      </c>
      <c r="N5" t="s">
        <v>146</v>
      </c>
      <c r="O5" t="s">
        <v>143</v>
      </c>
      <c r="P5" t="s">
        <v>144</v>
      </c>
      <c r="Q5">
        <v>0</v>
      </c>
      <c r="R5">
        <v>26</v>
      </c>
      <c r="S5">
        <v>25</v>
      </c>
      <c r="T5" s="82">
        <f t="shared" si="0"/>
        <v>1</v>
      </c>
      <c r="U5">
        <v>-7</v>
      </c>
      <c r="V5" t="str">
        <f>IF(AND(Tableau5[[#This Row],[GAIN ACCIDENTOLOGIE]]&gt;U79,Tableau5[[#This Row],[GAIN INFRACTIONS]]&gt;T79), SCORE!K$2,IF(OR(Tableau5[[#This Row],[GAIN ACCIDENTOLOGIE]]&gt;= U79, Tableau5[[#This Row],[GAIN INFRACTIONS]]&gt;=T79), SCORE!K$3,SCORE!K$4))</f>
        <v>MOYEN</v>
      </c>
    </row>
    <row r="6" spans="1:22" x14ac:dyDescent="0.3">
      <c r="A6">
        <f t="shared" si="1"/>
        <v>5</v>
      </c>
      <c r="B6">
        <v>4785.5</v>
      </c>
      <c r="C6">
        <v>2</v>
      </c>
      <c r="D6" t="s">
        <v>385</v>
      </c>
      <c r="E6" t="s">
        <v>371</v>
      </c>
      <c r="F6">
        <v>60</v>
      </c>
      <c r="G6">
        <v>1.56</v>
      </c>
      <c r="H6" t="s">
        <v>212</v>
      </c>
      <c r="I6" t="s">
        <v>212</v>
      </c>
      <c r="J6" t="s">
        <v>212</v>
      </c>
      <c r="K6" t="s">
        <v>211</v>
      </c>
      <c r="L6">
        <v>1</v>
      </c>
      <c r="M6" t="s">
        <v>144</v>
      </c>
      <c r="N6" t="s">
        <v>144</v>
      </c>
      <c r="O6" t="s">
        <v>144</v>
      </c>
      <c r="P6" t="s">
        <v>144</v>
      </c>
      <c r="Q6">
        <v>327</v>
      </c>
      <c r="R6">
        <v>181</v>
      </c>
      <c r="S6">
        <v>113</v>
      </c>
      <c r="T6" s="82">
        <f t="shared" si="0"/>
        <v>68</v>
      </c>
      <c r="U6">
        <v>0</v>
      </c>
      <c r="V6" t="str">
        <f>IF(AND(Tableau5[[#This Row],[GAIN ACCIDENTOLOGIE]]&gt;U80,Tableau5[[#This Row],[GAIN INFRACTIONS]]&gt;T80), SCORE!K$2,IF(OR(Tableau5[[#This Row],[GAIN ACCIDENTOLOGIE]]&gt;= U80, Tableau5[[#This Row],[GAIN INFRACTIONS]]&gt;=T80), SCORE!K$3,SCORE!K$4))</f>
        <v>MOYEN</v>
      </c>
    </row>
    <row r="7" spans="1:22" x14ac:dyDescent="0.3">
      <c r="A7">
        <f t="shared" si="1"/>
        <v>6</v>
      </c>
      <c r="B7">
        <v>3727</v>
      </c>
      <c r="C7">
        <v>2</v>
      </c>
      <c r="D7" t="s">
        <v>384</v>
      </c>
      <c r="E7" t="s">
        <v>371</v>
      </c>
      <c r="F7">
        <v>60</v>
      </c>
      <c r="G7">
        <v>0.44</v>
      </c>
      <c r="H7" t="s">
        <v>212</v>
      </c>
      <c r="I7" t="s">
        <v>212</v>
      </c>
      <c r="J7" t="s">
        <v>212</v>
      </c>
      <c r="K7" t="s">
        <v>212</v>
      </c>
      <c r="L7">
        <v>5.68</v>
      </c>
      <c r="M7" t="s">
        <v>143</v>
      </c>
      <c r="N7" t="s">
        <v>143</v>
      </c>
      <c r="O7" t="s">
        <v>143</v>
      </c>
      <c r="P7" t="s">
        <v>143</v>
      </c>
      <c r="Q7">
        <v>342</v>
      </c>
      <c r="R7">
        <v>130</v>
      </c>
      <c r="S7">
        <v>61</v>
      </c>
      <c r="T7" s="82">
        <f t="shared" si="0"/>
        <v>69</v>
      </c>
      <c r="U7">
        <v>0</v>
      </c>
      <c r="V7" t="str">
        <f>IF(AND(Tableau5[[#This Row],[GAIN ACCIDENTOLOGIE]]&gt;U81,Tableau5[[#This Row],[GAIN INFRACTIONS]]&gt;T81), SCORE!K$2,IF(OR(Tableau5[[#This Row],[GAIN ACCIDENTOLOGIE]]&gt;= U81, Tableau5[[#This Row],[GAIN INFRACTIONS]]&gt;=T81), SCORE!K$3,SCORE!K$4))</f>
        <v>MOYEN</v>
      </c>
    </row>
    <row r="8" spans="1:22" x14ac:dyDescent="0.3">
      <c r="A8">
        <f t="shared" si="1"/>
        <v>7</v>
      </c>
      <c r="B8">
        <v>10032.5</v>
      </c>
      <c r="C8">
        <v>2</v>
      </c>
      <c r="D8" t="s">
        <v>385</v>
      </c>
      <c r="E8" t="s">
        <v>371</v>
      </c>
      <c r="F8">
        <v>60</v>
      </c>
      <c r="G8">
        <v>1.56</v>
      </c>
      <c r="H8" t="s">
        <v>212</v>
      </c>
      <c r="I8" t="s">
        <v>212</v>
      </c>
      <c r="J8" t="s">
        <v>212</v>
      </c>
      <c r="K8" t="s">
        <v>211</v>
      </c>
      <c r="L8">
        <v>1</v>
      </c>
      <c r="M8" t="s">
        <v>144</v>
      </c>
      <c r="N8" t="s">
        <v>146</v>
      </c>
      <c r="O8" t="s">
        <v>144</v>
      </c>
      <c r="P8" t="s">
        <v>144</v>
      </c>
      <c r="Q8">
        <v>0</v>
      </c>
      <c r="R8">
        <v>125</v>
      </c>
      <c r="S8">
        <v>39</v>
      </c>
      <c r="T8" s="82">
        <f t="shared" si="0"/>
        <v>86</v>
      </c>
      <c r="U8">
        <v>1</v>
      </c>
      <c r="V8" t="str">
        <f>IF(AND(Tableau5[[#This Row],[GAIN ACCIDENTOLOGIE]]&gt;U82,Tableau5[[#This Row],[GAIN INFRACTIONS]]&gt;T82), SCORE!K$2,IF(OR(Tableau5[[#This Row],[GAIN ACCIDENTOLOGIE]]&gt;= U82, Tableau5[[#This Row],[GAIN INFRACTIONS]]&gt;=T82), SCORE!K$3,SCORE!K$4))</f>
        <v>BON</v>
      </c>
    </row>
    <row r="9" spans="1:22" x14ac:dyDescent="0.3">
      <c r="A9">
        <f t="shared" si="1"/>
        <v>8</v>
      </c>
      <c r="B9">
        <v>10032.5</v>
      </c>
      <c r="C9">
        <v>2</v>
      </c>
      <c r="D9" t="s">
        <v>385</v>
      </c>
      <c r="E9" t="s">
        <v>371</v>
      </c>
      <c r="F9">
        <v>60</v>
      </c>
      <c r="G9">
        <v>1.56</v>
      </c>
      <c r="H9" t="s">
        <v>212</v>
      </c>
      <c r="I9" t="s">
        <v>212</v>
      </c>
      <c r="J9" t="s">
        <v>212</v>
      </c>
      <c r="K9" t="s">
        <v>211</v>
      </c>
      <c r="L9">
        <v>1</v>
      </c>
      <c r="M9" t="s">
        <v>144</v>
      </c>
      <c r="N9" t="s">
        <v>146</v>
      </c>
      <c r="O9" t="s">
        <v>144</v>
      </c>
      <c r="P9" t="s">
        <v>144</v>
      </c>
      <c r="Q9">
        <v>135</v>
      </c>
      <c r="R9">
        <v>174</v>
      </c>
      <c r="S9">
        <v>96</v>
      </c>
      <c r="T9" s="82">
        <f t="shared" si="0"/>
        <v>78</v>
      </c>
      <c r="U9">
        <v>1</v>
      </c>
      <c r="V9" t="str">
        <f>IF(AND(Tableau5[[#This Row],[GAIN ACCIDENTOLOGIE]]&gt;U83,Tableau5[[#This Row],[GAIN INFRACTIONS]]&gt;T83), SCORE!K$2,IF(OR(Tableau5[[#This Row],[GAIN ACCIDENTOLOGIE]]&gt;= U83, Tableau5[[#This Row],[GAIN INFRACTIONS]]&gt;=T83), SCORE!K$3,SCORE!K$4))</f>
        <v>BON</v>
      </c>
    </row>
    <row r="10" spans="1:22" x14ac:dyDescent="0.3">
      <c r="A10">
        <f t="shared" si="1"/>
        <v>9</v>
      </c>
      <c r="B10">
        <v>10032.5</v>
      </c>
      <c r="C10">
        <v>4</v>
      </c>
      <c r="D10" t="s">
        <v>384</v>
      </c>
      <c r="E10" t="s">
        <v>417</v>
      </c>
      <c r="F10">
        <v>60</v>
      </c>
      <c r="G10">
        <v>14</v>
      </c>
      <c r="H10" t="s">
        <v>212</v>
      </c>
      <c r="I10" t="s">
        <v>212</v>
      </c>
      <c r="J10" t="s">
        <v>212</v>
      </c>
      <c r="K10" t="s">
        <v>212</v>
      </c>
      <c r="L10">
        <v>12.2</v>
      </c>
      <c r="M10" t="s">
        <v>144</v>
      </c>
      <c r="N10" t="s">
        <v>146</v>
      </c>
      <c r="O10" t="s">
        <v>144</v>
      </c>
      <c r="P10" t="s">
        <v>144</v>
      </c>
      <c r="Q10">
        <v>0</v>
      </c>
      <c r="R10">
        <v>0</v>
      </c>
      <c r="S10">
        <v>0</v>
      </c>
      <c r="T10" s="97">
        <v>82.085106382978722</v>
      </c>
      <c r="U10">
        <v>1</v>
      </c>
      <c r="V10" t="str">
        <f>IF(AND(Tableau5[[#This Row],[GAIN ACCIDENTOLOGIE]]&gt;U84,Tableau5[[#This Row],[GAIN INFRACTIONS]]&gt;T84), SCORE!K$2,IF(OR(Tableau5[[#This Row],[GAIN ACCIDENTOLOGIE]]&gt;= U84, Tableau5[[#This Row],[GAIN INFRACTIONS]]&gt;=T84), SCORE!K$3,SCORE!K$4))</f>
        <v>BON</v>
      </c>
    </row>
    <row r="11" spans="1:22" x14ac:dyDescent="0.3">
      <c r="A11">
        <f t="shared" si="1"/>
        <v>10</v>
      </c>
      <c r="B11">
        <v>19536</v>
      </c>
      <c r="C11" t="s">
        <v>218</v>
      </c>
      <c r="D11" t="s">
        <v>218</v>
      </c>
      <c r="E11" t="s">
        <v>218</v>
      </c>
      <c r="F11">
        <v>60</v>
      </c>
      <c r="G11">
        <v>24</v>
      </c>
      <c r="H11" t="s">
        <v>212</v>
      </c>
      <c r="I11" t="s">
        <v>212</v>
      </c>
      <c r="J11" t="s">
        <v>212</v>
      </c>
      <c r="K11" t="s">
        <v>211</v>
      </c>
      <c r="L11">
        <v>1</v>
      </c>
      <c r="M11" t="s">
        <v>144</v>
      </c>
      <c r="N11" t="s">
        <v>144</v>
      </c>
      <c r="O11" t="s">
        <v>144</v>
      </c>
      <c r="P11" t="s">
        <v>144</v>
      </c>
      <c r="Q11">
        <v>0</v>
      </c>
      <c r="R11">
        <v>0</v>
      </c>
      <c r="S11">
        <v>0</v>
      </c>
      <c r="T11" s="97">
        <v>82.085106382978722</v>
      </c>
      <c r="U11">
        <v>0</v>
      </c>
      <c r="V11" t="str">
        <f>IF(AND(Tableau5[[#This Row],[GAIN ACCIDENTOLOGIE]]&gt;U85,Tableau5[[#This Row],[GAIN INFRACTIONS]]&gt;T85), SCORE!K$2,IF(OR(Tableau5[[#This Row],[GAIN ACCIDENTOLOGIE]]&gt;= U85, Tableau5[[#This Row],[GAIN INFRACTIONS]]&gt;=T85), SCORE!K$3,SCORE!K$4))</f>
        <v>MOYEN</v>
      </c>
    </row>
    <row r="12" spans="1:22" x14ac:dyDescent="0.3">
      <c r="A12">
        <f t="shared" si="1"/>
        <v>11</v>
      </c>
      <c r="B12">
        <v>15627.5</v>
      </c>
      <c r="C12">
        <v>2</v>
      </c>
      <c r="D12" t="s">
        <v>385</v>
      </c>
      <c r="E12" t="s">
        <v>371</v>
      </c>
      <c r="F12">
        <v>60</v>
      </c>
      <c r="H12" t="s">
        <v>212</v>
      </c>
      <c r="I12" t="s">
        <v>212</v>
      </c>
      <c r="J12" t="s">
        <v>212</v>
      </c>
      <c r="K12" s="95" t="s">
        <v>212</v>
      </c>
      <c r="L12" s="95">
        <v>9.443287671232877</v>
      </c>
      <c r="M12" t="s">
        <v>144</v>
      </c>
      <c r="N12" t="s">
        <v>144</v>
      </c>
      <c r="O12" t="s">
        <v>144</v>
      </c>
      <c r="P12" t="s">
        <v>144</v>
      </c>
      <c r="Q12">
        <v>0</v>
      </c>
      <c r="R12">
        <v>0</v>
      </c>
      <c r="S12">
        <v>277</v>
      </c>
      <c r="T12" s="97">
        <v>82.085106382978722</v>
      </c>
      <c r="U12">
        <v>0</v>
      </c>
      <c r="V12" t="str">
        <f>IF(AND(Tableau5[[#This Row],[GAIN ACCIDENTOLOGIE]]&gt;U86,Tableau5[[#This Row],[GAIN INFRACTIONS]]&gt;T86), SCORE!K$2,IF(OR(Tableau5[[#This Row],[GAIN ACCIDENTOLOGIE]]&gt;= U86, Tableau5[[#This Row],[GAIN INFRACTIONS]]&gt;=T86), SCORE!K$3,SCORE!K$4))</f>
        <v>MOYEN</v>
      </c>
    </row>
    <row r="13" spans="1:22" x14ac:dyDescent="0.3">
      <c r="A13">
        <f t="shared" si="1"/>
        <v>12</v>
      </c>
      <c r="B13">
        <v>15627.5</v>
      </c>
      <c r="C13" s="95">
        <v>3</v>
      </c>
      <c r="D13" s="95" t="s">
        <v>384</v>
      </c>
      <c r="E13" s="95" t="s">
        <v>371</v>
      </c>
      <c r="F13">
        <v>60</v>
      </c>
      <c r="G13">
        <v>1.23</v>
      </c>
      <c r="H13" t="s">
        <v>212</v>
      </c>
      <c r="I13" t="s">
        <v>212</v>
      </c>
      <c r="J13" t="s">
        <v>212</v>
      </c>
      <c r="K13" t="s">
        <v>211</v>
      </c>
      <c r="L13">
        <v>1</v>
      </c>
      <c r="M13" t="s">
        <v>144</v>
      </c>
      <c r="N13" t="s">
        <v>144</v>
      </c>
      <c r="O13" t="s">
        <v>144</v>
      </c>
      <c r="P13" t="s">
        <v>144</v>
      </c>
      <c r="Q13">
        <v>0</v>
      </c>
      <c r="R13">
        <v>0</v>
      </c>
      <c r="S13">
        <v>0</v>
      </c>
      <c r="T13" s="97">
        <v>82.085106382978722</v>
      </c>
      <c r="U13">
        <v>0</v>
      </c>
      <c r="V13" t="str">
        <f>IF(AND(Tableau5[[#This Row],[GAIN ACCIDENTOLOGIE]]&gt;U87,Tableau5[[#This Row],[GAIN INFRACTIONS]]&gt;T87), SCORE!K$2,IF(OR(Tableau5[[#This Row],[GAIN ACCIDENTOLOGIE]]&gt;= U87, Tableau5[[#This Row],[GAIN INFRACTIONS]]&gt;=T87), SCORE!K$3,SCORE!K$4))</f>
        <v>MOYEN</v>
      </c>
    </row>
    <row r="14" spans="1:22" x14ac:dyDescent="0.3">
      <c r="A14">
        <f t="shared" si="1"/>
        <v>13</v>
      </c>
      <c r="B14">
        <v>7155</v>
      </c>
      <c r="C14">
        <v>2</v>
      </c>
      <c r="D14" t="s">
        <v>384</v>
      </c>
      <c r="E14" t="s">
        <v>371</v>
      </c>
      <c r="F14">
        <v>80</v>
      </c>
      <c r="G14">
        <v>3.5</v>
      </c>
      <c r="H14" t="s">
        <v>212</v>
      </c>
      <c r="I14" t="s">
        <v>212</v>
      </c>
      <c r="J14" t="s">
        <v>212</v>
      </c>
      <c r="K14" t="s">
        <v>211</v>
      </c>
      <c r="L14">
        <v>1</v>
      </c>
      <c r="M14" t="s">
        <v>144</v>
      </c>
      <c r="N14" t="s">
        <v>146</v>
      </c>
      <c r="O14" t="s">
        <v>144</v>
      </c>
      <c r="P14" t="s">
        <v>144</v>
      </c>
      <c r="Q14">
        <v>0</v>
      </c>
      <c r="R14">
        <v>0</v>
      </c>
      <c r="S14">
        <v>80</v>
      </c>
      <c r="T14" s="97">
        <v>82.085106382978722</v>
      </c>
      <c r="U14">
        <v>1</v>
      </c>
      <c r="V14" t="str">
        <f>IF(AND(Tableau5[[#This Row],[GAIN ACCIDENTOLOGIE]]&gt;U88,Tableau5[[#This Row],[GAIN INFRACTIONS]]&gt;T88), SCORE!K$2,IF(OR(Tableau5[[#This Row],[GAIN ACCIDENTOLOGIE]]&gt;= U88, Tableau5[[#This Row],[GAIN INFRACTIONS]]&gt;=T88), SCORE!K$3,SCORE!K$4))</f>
        <v>BON</v>
      </c>
    </row>
    <row r="15" spans="1:22" x14ac:dyDescent="0.3">
      <c r="A15">
        <f t="shared" si="1"/>
        <v>14</v>
      </c>
      <c r="B15">
        <v>10693</v>
      </c>
      <c r="C15">
        <v>4</v>
      </c>
      <c r="D15" t="s">
        <v>384</v>
      </c>
      <c r="E15" t="s">
        <v>386</v>
      </c>
      <c r="F15">
        <v>60</v>
      </c>
      <c r="G15">
        <v>0.55000000000000004</v>
      </c>
      <c r="H15" t="s">
        <v>212</v>
      </c>
      <c r="I15" t="s">
        <v>212</v>
      </c>
      <c r="J15" t="s">
        <v>212</v>
      </c>
      <c r="K15" t="s">
        <v>211</v>
      </c>
      <c r="L15">
        <v>1</v>
      </c>
      <c r="M15" t="s">
        <v>146</v>
      </c>
      <c r="N15" t="s">
        <v>146</v>
      </c>
      <c r="O15" t="s">
        <v>144</v>
      </c>
      <c r="P15" t="s">
        <v>144</v>
      </c>
      <c r="Q15">
        <v>0</v>
      </c>
      <c r="R15">
        <v>0</v>
      </c>
      <c r="S15">
        <v>211</v>
      </c>
      <c r="T15" s="97">
        <v>82.085106382978722</v>
      </c>
      <c r="U15">
        <v>0</v>
      </c>
      <c r="V15" t="str">
        <f>IF(AND(Tableau5[[#This Row],[GAIN ACCIDENTOLOGIE]]&gt;U89,Tableau5[[#This Row],[GAIN INFRACTIONS]]&gt;T89), SCORE!K$2,IF(OR(Tableau5[[#This Row],[GAIN ACCIDENTOLOGIE]]&gt;= U89, Tableau5[[#This Row],[GAIN INFRACTIONS]]&gt;=T89), SCORE!K$3,SCORE!K$4))</f>
        <v>MOYEN</v>
      </c>
    </row>
    <row r="16" spans="1:22" x14ac:dyDescent="0.3">
      <c r="A16">
        <f t="shared" si="1"/>
        <v>15</v>
      </c>
      <c r="B16">
        <v>10693</v>
      </c>
      <c r="C16">
        <v>4</v>
      </c>
      <c r="D16" t="s">
        <v>384</v>
      </c>
      <c r="E16" t="s">
        <v>386</v>
      </c>
      <c r="F16">
        <v>60</v>
      </c>
      <c r="G16">
        <v>0.55000000000000004</v>
      </c>
      <c r="H16" t="s">
        <v>212</v>
      </c>
      <c r="I16" t="s">
        <v>212</v>
      </c>
      <c r="J16" t="s">
        <v>212</v>
      </c>
      <c r="K16" t="s">
        <v>211</v>
      </c>
      <c r="L16">
        <v>1</v>
      </c>
      <c r="M16" t="s">
        <v>144</v>
      </c>
      <c r="N16" t="s">
        <v>146</v>
      </c>
      <c r="O16" t="s">
        <v>144</v>
      </c>
      <c r="P16" t="s">
        <v>144</v>
      </c>
      <c r="Q16">
        <v>0</v>
      </c>
      <c r="R16">
        <v>0</v>
      </c>
      <c r="S16">
        <v>156</v>
      </c>
      <c r="T16" s="97">
        <v>82.085106382978722</v>
      </c>
      <c r="U16">
        <v>1</v>
      </c>
      <c r="V16" t="str">
        <f>IF(AND(Tableau5[[#This Row],[GAIN ACCIDENTOLOGIE]]&gt;U90,Tableau5[[#This Row],[GAIN INFRACTIONS]]&gt;T90), SCORE!K$2,IF(OR(Tableau5[[#This Row],[GAIN ACCIDENTOLOGIE]]&gt;= U90, Tableau5[[#This Row],[GAIN INFRACTIONS]]&gt;=T90), SCORE!K$3,SCORE!K$4))</f>
        <v>BON</v>
      </c>
    </row>
    <row r="17" spans="1:22" x14ac:dyDescent="0.3">
      <c r="A17">
        <f t="shared" si="1"/>
        <v>16</v>
      </c>
      <c r="B17">
        <v>7499.5</v>
      </c>
      <c r="C17">
        <v>2</v>
      </c>
      <c r="D17" t="s">
        <v>384</v>
      </c>
      <c r="E17" t="s">
        <v>371</v>
      </c>
      <c r="F17">
        <v>80</v>
      </c>
      <c r="G17">
        <v>2.7</v>
      </c>
      <c r="H17" t="s">
        <v>212</v>
      </c>
      <c r="I17" t="s">
        <v>212</v>
      </c>
      <c r="J17" t="s">
        <v>212</v>
      </c>
      <c r="K17" t="s">
        <v>211</v>
      </c>
      <c r="L17">
        <v>2.2000000000000002</v>
      </c>
      <c r="M17" t="s">
        <v>143</v>
      </c>
      <c r="N17" t="s">
        <v>143</v>
      </c>
      <c r="O17" t="s">
        <v>143</v>
      </c>
      <c r="P17" t="s">
        <v>143</v>
      </c>
      <c r="Q17">
        <v>0</v>
      </c>
      <c r="R17">
        <v>72</v>
      </c>
      <c r="S17">
        <v>40</v>
      </c>
      <c r="T17" s="82">
        <f t="shared" si="0"/>
        <v>32</v>
      </c>
      <c r="U17">
        <v>0</v>
      </c>
      <c r="V17" t="str">
        <f>IF(AND(Tableau5[[#This Row],[GAIN ACCIDENTOLOGIE]]&gt;U91,Tableau5[[#This Row],[GAIN INFRACTIONS]]&gt;T91), SCORE!K$2,IF(OR(Tableau5[[#This Row],[GAIN ACCIDENTOLOGIE]]&gt;= U91, Tableau5[[#This Row],[GAIN INFRACTIONS]]&gt;=T91), SCORE!K$3,SCORE!K$4))</f>
        <v>MOYEN</v>
      </c>
    </row>
    <row r="18" spans="1:22" x14ac:dyDescent="0.3">
      <c r="A18">
        <f t="shared" si="1"/>
        <v>17</v>
      </c>
      <c r="B18">
        <v>13840</v>
      </c>
      <c r="C18">
        <v>2</v>
      </c>
      <c r="D18" t="s">
        <v>385</v>
      </c>
      <c r="E18" t="s">
        <v>371</v>
      </c>
      <c r="F18">
        <v>80</v>
      </c>
      <c r="G18">
        <v>0.31</v>
      </c>
      <c r="H18" t="s">
        <v>212</v>
      </c>
      <c r="I18" t="s">
        <v>212</v>
      </c>
      <c r="J18" t="s">
        <v>212</v>
      </c>
      <c r="K18" t="s">
        <v>211</v>
      </c>
      <c r="L18">
        <v>1</v>
      </c>
      <c r="M18" t="s">
        <v>144</v>
      </c>
      <c r="N18" t="s">
        <v>144</v>
      </c>
      <c r="O18" t="s">
        <v>144</v>
      </c>
      <c r="P18" t="s">
        <v>144</v>
      </c>
      <c r="Q18">
        <v>0</v>
      </c>
      <c r="R18">
        <v>210</v>
      </c>
      <c r="S18">
        <v>204</v>
      </c>
      <c r="T18" s="82">
        <f t="shared" si="0"/>
        <v>6</v>
      </c>
      <c r="U18">
        <v>0</v>
      </c>
      <c r="V18" t="str">
        <f>IF(AND(Tableau5[[#This Row],[GAIN ACCIDENTOLOGIE]]&gt;U92,Tableau5[[#This Row],[GAIN INFRACTIONS]]&gt;T92), SCORE!K$2,IF(OR(Tableau5[[#This Row],[GAIN ACCIDENTOLOGIE]]&gt;= U92, Tableau5[[#This Row],[GAIN INFRACTIONS]]&gt;=T92), SCORE!K$3,SCORE!K$4))</f>
        <v>MOYEN</v>
      </c>
    </row>
    <row r="19" spans="1:22" x14ac:dyDescent="0.3">
      <c r="A19">
        <f t="shared" si="1"/>
        <v>18</v>
      </c>
      <c r="B19">
        <v>13840</v>
      </c>
      <c r="C19">
        <v>2</v>
      </c>
      <c r="D19" t="s">
        <v>385</v>
      </c>
      <c r="E19" t="s">
        <v>371</v>
      </c>
      <c r="F19">
        <v>80</v>
      </c>
      <c r="G19">
        <v>0.31</v>
      </c>
      <c r="H19" t="s">
        <v>212</v>
      </c>
      <c r="I19" t="s">
        <v>212</v>
      </c>
      <c r="J19" t="s">
        <v>212</v>
      </c>
      <c r="K19" t="s">
        <v>211</v>
      </c>
      <c r="L19">
        <v>1</v>
      </c>
      <c r="M19" t="s">
        <v>144</v>
      </c>
      <c r="N19" t="s">
        <v>144</v>
      </c>
      <c r="O19" t="s">
        <v>144</v>
      </c>
      <c r="P19" t="s">
        <v>144</v>
      </c>
      <c r="Q19">
        <v>0</v>
      </c>
      <c r="R19">
        <v>53</v>
      </c>
      <c r="S19">
        <v>31</v>
      </c>
      <c r="T19" s="82">
        <f t="shared" si="0"/>
        <v>22</v>
      </c>
      <c r="U19">
        <v>0</v>
      </c>
      <c r="V19" t="str">
        <f>IF(AND(Tableau5[[#This Row],[GAIN ACCIDENTOLOGIE]]&gt;U93,Tableau5[[#This Row],[GAIN INFRACTIONS]]&gt;T93), SCORE!K$2,IF(OR(Tableau5[[#This Row],[GAIN ACCIDENTOLOGIE]]&gt;= U93, Tableau5[[#This Row],[GAIN INFRACTIONS]]&gt;=T93), SCORE!K$3,SCORE!K$4))</f>
        <v>MOYEN</v>
      </c>
    </row>
    <row r="20" spans="1:22" x14ac:dyDescent="0.3">
      <c r="A20">
        <f t="shared" si="1"/>
        <v>19</v>
      </c>
      <c r="B20">
        <v>6067.5</v>
      </c>
      <c r="C20">
        <v>2</v>
      </c>
      <c r="D20" t="s">
        <v>384</v>
      </c>
      <c r="E20" t="s">
        <v>371</v>
      </c>
      <c r="F20">
        <v>80</v>
      </c>
      <c r="G20">
        <v>0.31</v>
      </c>
      <c r="H20" t="s">
        <v>212</v>
      </c>
      <c r="I20" t="s">
        <v>212</v>
      </c>
      <c r="J20" t="s">
        <v>212</v>
      </c>
      <c r="K20" t="s">
        <v>212</v>
      </c>
      <c r="L20">
        <v>6</v>
      </c>
      <c r="M20" t="s">
        <v>144</v>
      </c>
      <c r="N20" t="s">
        <v>144</v>
      </c>
      <c r="O20" t="s">
        <v>144</v>
      </c>
      <c r="P20" t="s">
        <v>144</v>
      </c>
      <c r="Q20">
        <v>0</v>
      </c>
      <c r="R20">
        <v>12</v>
      </c>
      <c r="S20">
        <v>10</v>
      </c>
      <c r="T20" s="97">
        <v>82.085106382978722</v>
      </c>
      <c r="U20">
        <v>0</v>
      </c>
      <c r="V20" t="str">
        <f>IF(AND(Tableau5[[#This Row],[GAIN ACCIDENTOLOGIE]]&gt;U94,Tableau5[[#This Row],[GAIN INFRACTIONS]]&gt;T94), SCORE!K$2,IF(OR(Tableau5[[#This Row],[GAIN ACCIDENTOLOGIE]]&gt;= U94, Tableau5[[#This Row],[GAIN INFRACTIONS]]&gt;=T94), SCORE!K$3,SCORE!K$4))</f>
        <v>MOYEN</v>
      </c>
    </row>
    <row r="21" spans="1:22" x14ac:dyDescent="0.3">
      <c r="A21">
        <f t="shared" si="1"/>
        <v>20</v>
      </c>
      <c r="B21">
        <v>3183.5</v>
      </c>
      <c r="C21">
        <v>2</v>
      </c>
      <c r="D21" t="s">
        <v>384</v>
      </c>
      <c r="E21" t="s">
        <v>371</v>
      </c>
      <c r="F21">
        <v>60</v>
      </c>
      <c r="G21">
        <v>3.62</v>
      </c>
      <c r="H21" t="s">
        <v>212</v>
      </c>
      <c r="I21" t="s">
        <v>212</v>
      </c>
      <c r="J21" t="s">
        <v>212</v>
      </c>
      <c r="K21" t="s">
        <v>211</v>
      </c>
      <c r="L21">
        <v>1</v>
      </c>
      <c r="M21" t="s">
        <v>144</v>
      </c>
      <c r="N21" t="s">
        <v>144</v>
      </c>
      <c r="O21" t="s">
        <v>144</v>
      </c>
      <c r="P21" t="s">
        <v>144</v>
      </c>
      <c r="Q21">
        <v>0</v>
      </c>
      <c r="R21">
        <v>103</v>
      </c>
      <c r="S21">
        <v>1</v>
      </c>
      <c r="T21" s="97">
        <v>82.085106382978722</v>
      </c>
      <c r="U21">
        <v>0</v>
      </c>
      <c r="V21" t="str">
        <f>IF(AND(Tableau5[[#This Row],[GAIN ACCIDENTOLOGIE]]&gt;U95,Tableau5[[#This Row],[GAIN INFRACTIONS]]&gt;T95), SCORE!K$2,IF(OR(Tableau5[[#This Row],[GAIN ACCIDENTOLOGIE]]&gt;= U95, Tableau5[[#This Row],[GAIN INFRACTIONS]]&gt;=T95), SCORE!K$3,SCORE!K$4))</f>
        <v>MOYEN</v>
      </c>
    </row>
    <row r="22" spans="1:22" x14ac:dyDescent="0.3">
      <c r="A22">
        <f t="shared" si="1"/>
        <v>21</v>
      </c>
      <c r="B22">
        <v>2942</v>
      </c>
      <c r="C22">
        <v>2</v>
      </c>
      <c r="D22" t="s">
        <v>384</v>
      </c>
      <c r="E22" t="s">
        <v>371</v>
      </c>
      <c r="F22">
        <v>100</v>
      </c>
      <c r="G22">
        <v>2.77</v>
      </c>
      <c r="H22" t="s">
        <v>212</v>
      </c>
      <c r="I22" t="s">
        <v>212</v>
      </c>
      <c r="J22" t="s">
        <v>212</v>
      </c>
      <c r="K22" t="s">
        <v>212</v>
      </c>
      <c r="L22">
        <v>5.72</v>
      </c>
      <c r="M22" t="s">
        <v>146</v>
      </c>
      <c r="N22" t="s">
        <v>143</v>
      </c>
      <c r="O22" t="s">
        <v>144</v>
      </c>
      <c r="P22" t="s">
        <v>143</v>
      </c>
      <c r="Q22">
        <v>57</v>
      </c>
      <c r="R22">
        <v>13</v>
      </c>
      <c r="S22">
        <v>6</v>
      </c>
      <c r="T22" s="82">
        <f t="shared" si="0"/>
        <v>44</v>
      </c>
      <c r="U22">
        <v>7</v>
      </c>
      <c r="V22" t="str">
        <f>IF(AND(Tableau5[[#This Row],[GAIN ACCIDENTOLOGIE]]&gt;U96,Tableau5[[#This Row],[GAIN INFRACTIONS]]&gt;T96), SCORE!K$2,IF(OR(Tableau5[[#This Row],[GAIN ACCIDENTOLOGIE]]&gt;= U96, Tableau5[[#This Row],[GAIN INFRACTIONS]]&gt;=T96), SCORE!K$3,SCORE!K$4))</f>
        <v>BON</v>
      </c>
    </row>
    <row r="23" spans="1:22" x14ac:dyDescent="0.3">
      <c r="A23">
        <f t="shared" si="1"/>
        <v>22</v>
      </c>
      <c r="B23">
        <v>2942</v>
      </c>
      <c r="C23">
        <v>2</v>
      </c>
      <c r="D23" t="s">
        <v>385</v>
      </c>
      <c r="E23" t="s">
        <v>371</v>
      </c>
      <c r="F23">
        <v>60</v>
      </c>
      <c r="G23">
        <v>1</v>
      </c>
      <c r="H23" t="s">
        <v>212</v>
      </c>
      <c r="I23" t="s">
        <v>212</v>
      </c>
      <c r="J23" t="s">
        <v>212</v>
      </c>
      <c r="K23" t="s">
        <v>211</v>
      </c>
      <c r="L23">
        <v>1</v>
      </c>
      <c r="M23" t="s">
        <v>143</v>
      </c>
      <c r="N23" t="s">
        <v>146</v>
      </c>
      <c r="O23" t="s">
        <v>143</v>
      </c>
      <c r="P23" t="s">
        <v>144</v>
      </c>
      <c r="Q23">
        <v>0</v>
      </c>
      <c r="R23">
        <v>137</v>
      </c>
      <c r="S23">
        <v>34</v>
      </c>
      <c r="T23" s="82">
        <f t="shared" si="0"/>
        <v>103</v>
      </c>
      <c r="U23">
        <v>-7</v>
      </c>
      <c r="V23" t="str">
        <f>IF(AND(Tableau5[[#This Row],[GAIN ACCIDENTOLOGIE]]&gt;U97,Tableau5[[#This Row],[GAIN INFRACTIONS]]&gt;T97), SCORE!K$2,IF(OR(Tableau5[[#This Row],[GAIN ACCIDENTOLOGIE]]&gt;= U97, Tableau5[[#This Row],[GAIN INFRACTIONS]]&gt;=T97), SCORE!K$3,SCORE!K$4))</f>
        <v>MOYEN</v>
      </c>
    </row>
    <row r="24" spans="1:22" x14ac:dyDescent="0.3">
      <c r="A24">
        <f t="shared" si="1"/>
        <v>23</v>
      </c>
      <c r="B24">
        <v>2077</v>
      </c>
      <c r="C24">
        <v>2</v>
      </c>
      <c r="D24" t="s">
        <v>384</v>
      </c>
      <c r="E24" t="s">
        <v>371</v>
      </c>
      <c r="F24">
        <v>60</v>
      </c>
      <c r="G24">
        <v>0.69</v>
      </c>
      <c r="H24" t="s">
        <v>212</v>
      </c>
      <c r="I24" t="s">
        <v>212</v>
      </c>
      <c r="J24" t="s">
        <v>212</v>
      </c>
      <c r="K24" t="s">
        <v>211</v>
      </c>
      <c r="L24">
        <v>1</v>
      </c>
      <c r="M24" t="s">
        <v>144</v>
      </c>
      <c r="N24" t="s">
        <v>144</v>
      </c>
      <c r="O24" t="s">
        <v>144</v>
      </c>
      <c r="P24" t="s">
        <v>144</v>
      </c>
      <c r="Q24">
        <v>0</v>
      </c>
      <c r="R24">
        <v>28</v>
      </c>
      <c r="S24">
        <v>21</v>
      </c>
      <c r="T24" s="82">
        <f t="shared" si="0"/>
        <v>7</v>
      </c>
      <c r="U24">
        <v>0</v>
      </c>
      <c r="V24" t="str">
        <f>IF(AND(Tableau5[[#This Row],[GAIN ACCIDENTOLOGIE]]&gt;U98,Tableau5[[#This Row],[GAIN INFRACTIONS]]&gt;T98), SCORE!K$2,IF(OR(Tableau5[[#This Row],[GAIN ACCIDENTOLOGIE]]&gt;= U98, Tableau5[[#This Row],[GAIN INFRACTIONS]]&gt;=T98), SCORE!K$3,SCORE!K$4))</f>
        <v>MOYEN</v>
      </c>
    </row>
    <row r="25" spans="1:22" x14ac:dyDescent="0.3">
      <c r="A25">
        <f t="shared" si="1"/>
        <v>24</v>
      </c>
      <c r="B25">
        <v>2864</v>
      </c>
      <c r="C25">
        <v>4</v>
      </c>
      <c r="D25" t="s">
        <v>384</v>
      </c>
      <c r="E25" t="s">
        <v>371</v>
      </c>
      <c r="F25">
        <v>60</v>
      </c>
      <c r="G25">
        <v>2.2799999999999998</v>
      </c>
      <c r="H25" t="s">
        <v>212</v>
      </c>
      <c r="I25" t="s">
        <v>212</v>
      </c>
      <c r="J25" t="s">
        <v>212</v>
      </c>
      <c r="K25" t="s">
        <v>211</v>
      </c>
      <c r="L25">
        <v>3</v>
      </c>
      <c r="M25" t="s">
        <v>143</v>
      </c>
      <c r="N25" t="s">
        <v>143</v>
      </c>
      <c r="O25" t="s">
        <v>143</v>
      </c>
      <c r="P25" t="s">
        <v>143</v>
      </c>
      <c r="Q25">
        <v>0</v>
      </c>
      <c r="R25">
        <v>151</v>
      </c>
      <c r="S25">
        <v>35</v>
      </c>
      <c r="T25" s="82">
        <f t="shared" si="0"/>
        <v>116</v>
      </c>
      <c r="U25">
        <v>0</v>
      </c>
      <c r="V25" t="str">
        <f>IF(AND(Tableau5[[#This Row],[GAIN ACCIDENTOLOGIE]]&gt;U99,Tableau5[[#This Row],[GAIN INFRACTIONS]]&gt;T99), SCORE!K$2,IF(OR(Tableau5[[#This Row],[GAIN ACCIDENTOLOGIE]]&gt;= U99, Tableau5[[#This Row],[GAIN INFRACTIONS]]&gt;=T99), SCORE!K$3,SCORE!K$4))</f>
        <v>MOYEN</v>
      </c>
    </row>
    <row r="26" spans="1:22" x14ac:dyDescent="0.3">
      <c r="A26">
        <f t="shared" si="1"/>
        <v>25</v>
      </c>
      <c r="B26">
        <v>2864</v>
      </c>
      <c r="C26">
        <v>3</v>
      </c>
      <c r="D26" t="s">
        <v>384</v>
      </c>
      <c r="E26" t="s">
        <v>371</v>
      </c>
      <c r="F26">
        <v>60</v>
      </c>
      <c r="G26">
        <v>2.2799999999999998</v>
      </c>
      <c r="H26" t="s">
        <v>212</v>
      </c>
      <c r="I26" t="s">
        <v>212</v>
      </c>
      <c r="J26" t="s">
        <v>212</v>
      </c>
      <c r="K26" t="s">
        <v>211</v>
      </c>
      <c r="L26">
        <v>3</v>
      </c>
      <c r="M26" t="s">
        <v>143</v>
      </c>
      <c r="N26" t="s">
        <v>143</v>
      </c>
      <c r="O26" t="s">
        <v>143</v>
      </c>
      <c r="P26" t="s">
        <v>143</v>
      </c>
      <c r="Q26">
        <v>0</v>
      </c>
      <c r="R26">
        <v>106</v>
      </c>
      <c r="S26">
        <v>67</v>
      </c>
      <c r="T26" s="82">
        <f t="shared" si="0"/>
        <v>39</v>
      </c>
      <c r="U26">
        <v>0</v>
      </c>
      <c r="V26" t="str">
        <f>IF(AND(Tableau5[[#This Row],[GAIN ACCIDENTOLOGIE]]&gt;U100,Tableau5[[#This Row],[GAIN INFRACTIONS]]&gt;T100), SCORE!K$2,IF(OR(Tableau5[[#This Row],[GAIN ACCIDENTOLOGIE]]&gt;= U100, Tableau5[[#This Row],[GAIN INFRACTIONS]]&gt;=T100), SCORE!K$3,SCORE!K$4))</f>
        <v>MOYEN</v>
      </c>
    </row>
    <row r="27" spans="1:22" x14ac:dyDescent="0.3">
      <c r="A27">
        <f t="shared" si="1"/>
        <v>26</v>
      </c>
      <c r="B27">
        <v>2842.5</v>
      </c>
      <c r="C27">
        <v>2</v>
      </c>
      <c r="D27" t="s">
        <v>385</v>
      </c>
      <c r="E27" t="s">
        <v>371</v>
      </c>
      <c r="F27">
        <v>60</v>
      </c>
      <c r="G27">
        <v>2.6</v>
      </c>
      <c r="H27" t="s">
        <v>212</v>
      </c>
      <c r="I27" t="s">
        <v>212</v>
      </c>
      <c r="J27" t="s">
        <v>212</v>
      </c>
      <c r="K27" t="s">
        <v>211</v>
      </c>
      <c r="L27">
        <v>1.7</v>
      </c>
      <c r="M27" t="s">
        <v>143</v>
      </c>
      <c r="N27" t="s">
        <v>143</v>
      </c>
      <c r="O27" t="s">
        <v>143</v>
      </c>
      <c r="P27" t="s">
        <v>143</v>
      </c>
      <c r="Q27">
        <v>0</v>
      </c>
      <c r="R27">
        <v>37</v>
      </c>
      <c r="S27">
        <v>20</v>
      </c>
      <c r="T27" s="82">
        <f t="shared" si="0"/>
        <v>17</v>
      </c>
      <c r="U27">
        <v>0</v>
      </c>
      <c r="V27" t="str">
        <f>IF(AND(Tableau5[[#This Row],[GAIN ACCIDENTOLOGIE]]&gt;U101,Tableau5[[#This Row],[GAIN INFRACTIONS]]&gt;T101), SCORE!K$2,IF(OR(Tableau5[[#This Row],[GAIN ACCIDENTOLOGIE]]&gt;= U101, Tableau5[[#This Row],[GAIN INFRACTIONS]]&gt;=T101), SCORE!K$3,SCORE!K$4))</f>
        <v>MOYEN</v>
      </c>
    </row>
    <row r="28" spans="1:22" x14ac:dyDescent="0.3">
      <c r="A28">
        <f t="shared" si="1"/>
        <v>27</v>
      </c>
      <c r="B28">
        <v>2842.5</v>
      </c>
      <c r="C28">
        <v>2</v>
      </c>
      <c r="D28" t="s">
        <v>384</v>
      </c>
      <c r="E28" t="s">
        <v>371</v>
      </c>
      <c r="F28">
        <v>80</v>
      </c>
      <c r="G28">
        <v>2.6</v>
      </c>
      <c r="H28" t="s">
        <v>212</v>
      </c>
      <c r="I28" t="s">
        <v>212</v>
      </c>
      <c r="J28" t="s">
        <v>212</v>
      </c>
      <c r="K28" t="s">
        <v>211</v>
      </c>
      <c r="L28">
        <v>1.7</v>
      </c>
      <c r="M28" t="s">
        <v>143</v>
      </c>
      <c r="N28" t="s">
        <v>143</v>
      </c>
      <c r="O28" t="s">
        <v>143</v>
      </c>
      <c r="P28" t="s">
        <v>143</v>
      </c>
      <c r="Q28">
        <v>0</v>
      </c>
      <c r="R28">
        <v>12</v>
      </c>
      <c r="S28">
        <v>73</v>
      </c>
      <c r="T28" s="82">
        <f t="shared" si="0"/>
        <v>-61</v>
      </c>
      <c r="U28">
        <v>0</v>
      </c>
      <c r="V28" t="str">
        <f>IF(AND(Tableau5[[#This Row],[GAIN ACCIDENTOLOGIE]]&gt;U102,Tableau5[[#This Row],[GAIN INFRACTIONS]]&gt;T102), SCORE!K$2,IF(OR(Tableau5[[#This Row],[GAIN ACCIDENTOLOGIE]]&gt;= U102, Tableau5[[#This Row],[GAIN INFRACTIONS]]&gt;=T102), SCORE!K$3,SCORE!K$4))</f>
        <v>MOYEN</v>
      </c>
    </row>
    <row r="29" spans="1:22" x14ac:dyDescent="0.3">
      <c r="A29">
        <f t="shared" si="1"/>
        <v>28</v>
      </c>
      <c r="B29">
        <v>2856.5</v>
      </c>
      <c r="C29">
        <v>2</v>
      </c>
      <c r="D29" t="s">
        <v>384</v>
      </c>
      <c r="E29" t="s">
        <v>371</v>
      </c>
      <c r="F29">
        <v>80</v>
      </c>
      <c r="G29">
        <v>0.9</v>
      </c>
      <c r="H29" t="s">
        <v>212</v>
      </c>
      <c r="I29" t="s">
        <v>212</v>
      </c>
      <c r="J29" t="s">
        <v>212</v>
      </c>
      <c r="K29" t="s">
        <v>211</v>
      </c>
      <c r="L29">
        <v>1</v>
      </c>
      <c r="M29" t="s">
        <v>144</v>
      </c>
      <c r="N29" t="s">
        <v>144</v>
      </c>
      <c r="O29" t="s">
        <v>144</v>
      </c>
      <c r="P29" t="s">
        <v>144</v>
      </c>
      <c r="Q29">
        <v>0</v>
      </c>
      <c r="R29">
        <v>91</v>
      </c>
      <c r="S29">
        <v>43</v>
      </c>
      <c r="T29" s="82">
        <f t="shared" si="0"/>
        <v>48</v>
      </c>
      <c r="U29">
        <v>0</v>
      </c>
      <c r="V29" t="str">
        <f>IF(AND(Tableau5[[#This Row],[GAIN ACCIDENTOLOGIE]]&gt;U103,Tableau5[[#This Row],[GAIN INFRACTIONS]]&gt;T103), SCORE!K$2,IF(OR(Tableau5[[#This Row],[GAIN ACCIDENTOLOGIE]]&gt;= U103, Tableau5[[#This Row],[GAIN INFRACTIONS]]&gt;=T103), SCORE!K$3,SCORE!K$4))</f>
        <v>MOYEN</v>
      </c>
    </row>
    <row r="30" spans="1:22" x14ac:dyDescent="0.3">
      <c r="A30">
        <f t="shared" si="1"/>
        <v>29</v>
      </c>
      <c r="B30">
        <v>2856.5</v>
      </c>
      <c r="C30">
        <v>2</v>
      </c>
      <c r="D30" t="s">
        <v>384</v>
      </c>
      <c r="E30" t="s">
        <v>371</v>
      </c>
      <c r="F30">
        <v>80</v>
      </c>
      <c r="G30">
        <v>0.9</v>
      </c>
      <c r="H30" t="s">
        <v>212</v>
      </c>
      <c r="I30" t="s">
        <v>212</v>
      </c>
      <c r="J30" t="s">
        <v>212</v>
      </c>
      <c r="K30" t="s">
        <v>211</v>
      </c>
      <c r="L30">
        <v>1</v>
      </c>
      <c r="M30" t="s">
        <v>144</v>
      </c>
      <c r="N30" t="s">
        <v>144</v>
      </c>
      <c r="O30" t="s">
        <v>144</v>
      </c>
      <c r="P30" t="s">
        <v>144</v>
      </c>
      <c r="Q30">
        <v>0</v>
      </c>
      <c r="R30">
        <v>74</v>
      </c>
      <c r="S30">
        <v>29</v>
      </c>
      <c r="T30" s="82">
        <f t="shared" si="0"/>
        <v>45</v>
      </c>
      <c r="U30">
        <v>0</v>
      </c>
      <c r="V30" t="str">
        <f>IF(AND(Tableau5[[#This Row],[GAIN ACCIDENTOLOGIE]]&gt;U104,Tableau5[[#This Row],[GAIN INFRACTIONS]]&gt;T104), SCORE!K$2,IF(OR(Tableau5[[#This Row],[GAIN ACCIDENTOLOGIE]]&gt;= U104, Tableau5[[#This Row],[GAIN INFRACTIONS]]&gt;=T104), SCORE!K$3,SCORE!K$4))</f>
        <v>MOYEN</v>
      </c>
    </row>
    <row r="31" spans="1:22" x14ac:dyDescent="0.3">
      <c r="A31">
        <f t="shared" si="1"/>
        <v>30</v>
      </c>
      <c r="B31">
        <v>1342.5</v>
      </c>
      <c r="C31">
        <v>2</v>
      </c>
      <c r="D31" t="s">
        <v>385</v>
      </c>
      <c r="E31" t="s">
        <v>371</v>
      </c>
      <c r="F31">
        <v>60</v>
      </c>
      <c r="G31">
        <v>5.5</v>
      </c>
      <c r="H31" t="s">
        <v>212</v>
      </c>
      <c r="I31" t="s">
        <v>212</v>
      </c>
      <c r="J31" t="s">
        <v>212</v>
      </c>
      <c r="K31" t="s">
        <v>212</v>
      </c>
      <c r="L31">
        <v>4.6500000000000004</v>
      </c>
      <c r="M31" t="s">
        <v>143</v>
      </c>
      <c r="N31" t="s">
        <v>143</v>
      </c>
      <c r="O31" t="s">
        <v>143</v>
      </c>
      <c r="P31" t="s">
        <v>143</v>
      </c>
      <c r="Q31">
        <v>0</v>
      </c>
      <c r="R31">
        <v>76</v>
      </c>
      <c r="S31">
        <v>42</v>
      </c>
      <c r="T31" s="82">
        <f t="shared" si="0"/>
        <v>34</v>
      </c>
      <c r="U31">
        <v>0</v>
      </c>
      <c r="V31" t="str">
        <f>IF(AND(Tableau5[[#This Row],[GAIN ACCIDENTOLOGIE]]&gt;U105,Tableau5[[#This Row],[GAIN INFRACTIONS]]&gt;T105), SCORE!K$2,IF(OR(Tableau5[[#This Row],[GAIN ACCIDENTOLOGIE]]&gt;= U105, Tableau5[[#This Row],[GAIN INFRACTIONS]]&gt;=T105), SCORE!K$3,SCORE!K$4))</f>
        <v>MOYEN</v>
      </c>
    </row>
    <row r="32" spans="1:22" x14ac:dyDescent="0.3">
      <c r="A32">
        <f t="shared" si="1"/>
        <v>31</v>
      </c>
      <c r="B32">
        <v>1734</v>
      </c>
      <c r="C32">
        <v>2</v>
      </c>
      <c r="D32" t="s">
        <v>385</v>
      </c>
      <c r="E32" t="s">
        <v>371</v>
      </c>
      <c r="F32">
        <v>60</v>
      </c>
      <c r="G32">
        <v>1.65</v>
      </c>
      <c r="H32" t="s">
        <v>212</v>
      </c>
      <c r="I32" t="s">
        <v>212</v>
      </c>
      <c r="J32" t="s">
        <v>212</v>
      </c>
      <c r="K32" t="s">
        <v>211</v>
      </c>
      <c r="L32">
        <v>1.8</v>
      </c>
      <c r="M32" t="s">
        <v>143</v>
      </c>
      <c r="N32" t="s">
        <v>143</v>
      </c>
      <c r="O32" t="s">
        <v>143</v>
      </c>
      <c r="P32" t="s">
        <v>143</v>
      </c>
      <c r="Q32">
        <v>0</v>
      </c>
      <c r="R32">
        <v>119</v>
      </c>
      <c r="S32">
        <v>84</v>
      </c>
      <c r="T32" s="82">
        <f t="shared" si="0"/>
        <v>35</v>
      </c>
      <c r="U32">
        <v>0</v>
      </c>
      <c r="V32" t="str">
        <f>IF(AND(Tableau5[[#This Row],[GAIN ACCIDENTOLOGIE]]&gt;U106,Tableau5[[#This Row],[GAIN INFRACTIONS]]&gt;T106), SCORE!K$2,IF(OR(Tableau5[[#This Row],[GAIN ACCIDENTOLOGIE]]&gt;= U106, Tableau5[[#This Row],[GAIN INFRACTIONS]]&gt;=T106), SCORE!K$3,SCORE!K$4))</f>
        <v>MOYEN</v>
      </c>
    </row>
    <row r="33" spans="1:22" x14ac:dyDescent="0.3">
      <c r="A33">
        <f t="shared" si="1"/>
        <v>32</v>
      </c>
      <c r="B33">
        <v>4293</v>
      </c>
      <c r="C33">
        <v>2</v>
      </c>
      <c r="D33" t="s">
        <v>385</v>
      </c>
      <c r="E33" t="s">
        <v>371</v>
      </c>
      <c r="F33">
        <v>60</v>
      </c>
      <c r="G33">
        <v>2.89</v>
      </c>
      <c r="H33" t="s">
        <v>212</v>
      </c>
      <c r="I33" t="s">
        <v>212</v>
      </c>
      <c r="J33" t="s">
        <v>212</v>
      </c>
      <c r="K33" t="s">
        <v>211</v>
      </c>
      <c r="L33">
        <v>1</v>
      </c>
      <c r="M33" t="s">
        <v>144</v>
      </c>
      <c r="N33" t="s">
        <v>143</v>
      </c>
      <c r="O33" t="s">
        <v>144</v>
      </c>
      <c r="P33" t="s">
        <v>143</v>
      </c>
      <c r="Q33">
        <v>0</v>
      </c>
      <c r="R33">
        <v>62</v>
      </c>
      <c r="S33">
        <v>42</v>
      </c>
      <c r="T33" s="82">
        <f t="shared" si="0"/>
        <v>20</v>
      </c>
      <c r="U33">
        <v>8</v>
      </c>
      <c r="V33" t="str">
        <f>IF(AND(Tableau5[[#This Row],[GAIN ACCIDENTOLOGIE]]&gt;U107,Tableau5[[#This Row],[GAIN INFRACTIONS]]&gt;T107), SCORE!K$2,IF(OR(Tableau5[[#This Row],[GAIN ACCIDENTOLOGIE]]&gt;= U107, Tableau5[[#This Row],[GAIN INFRACTIONS]]&gt;=T107), SCORE!K$3,SCORE!K$4))</f>
        <v>BON</v>
      </c>
    </row>
    <row r="34" spans="1:22" x14ac:dyDescent="0.3">
      <c r="A34">
        <f t="shared" si="1"/>
        <v>33</v>
      </c>
      <c r="B34">
        <v>11165.5</v>
      </c>
      <c r="C34">
        <v>2</v>
      </c>
      <c r="D34" t="s">
        <v>384</v>
      </c>
      <c r="E34" t="s">
        <v>371</v>
      </c>
      <c r="F34">
        <v>80</v>
      </c>
      <c r="G34">
        <v>2.25</v>
      </c>
      <c r="H34" t="s">
        <v>212</v>
      </c>
      <c r="I34" t="s">
        <v>212</v>
      </c>
      <c r="J34" t="s">
        <v>212</v>
      </c>
      <c r="K34" t="s">
        <v>211</v>
      </c>
      <c r="L34">
        <v>3.5</v>
      </c>
      <c r="M34" t="s">
        <v>144</v>
      </c>
      <c r="N34" t="s">
        <v>144</v>
      </c>
      <c r="O34" t="s">
        <v>144</v>
      </c>
      <c r="P34" t="s">
        <v>144</v>
      </c>
      <c r="Q34">
        <v>0</v>
      </c>
      <c r="R34">
        <v>31</v>
      </c>
      <c r="S34">
        <v>21</v>
      </c>
      <c r="T34" s="82">
        <f t="shared" si="0"/>
        <v>10</v>
      </c>
      <c r="U34">
        <v>0</v>
      </c>
      <c r="V34" t="str">
        <f>IF(AND(Tableau5[[#This Row],[GAIN ACCIDENTOLOGIE]]&gt;U108,Tableau5[[#This Row],[GAIN INFRACTIONS]]&gt;T108), SCORE!K$2,IF(OR(Tableau5[[#This Row],[GAIN ACCIDENTOLOGIE]]&gt;= U108, Tableau5[[#This Row],[GAIN INFRACTIONS]]&gt;=T108), SCORE!K$3,SCORE!K$4))</f>
        <v>MOYEN</v>
      </c>
    </row>
    <row r="35" spans="1:22" x14ac:dyDescent="0.3">
      <c r="A35">
        <f t="shared" si="1"/>
        <v>34</v>
      </c>
      <c r="B35">
        <v>14179</v>
      </c>
      <c r="C35">
        <v>4</v>
      </c>
      <c r="D35" t="s">
        <v>384</v>
      </c>
      <c r="E35" t="s">
        <v>386</v>
      </c>
      <c r="F35">
        <v>80</v>
      </c>
      <c r="G35">
        <v>1.87</v>
      </c>
      <c r="H35" t="s">
        <v>212</v>
      </c>
      <c r="I35" t="s">
        <v>212</v>
      </c>
      <c r="J35" t="s">
        <v>212</v>
      </c>
      <c r="K35" t="s">
        <v>211</v>
      </c>
      <c r="L35">
        <v>8</v>
      </c>
      <c r="M35" t="s">
        <v>144</v>
      </c>
      <c r="N35" t="s">
        <v>468</v>
      </c>
      <c r="O35" t="s">
        <v>144</v>
      </c>
      <c r="P35" t="s">
        <v>144</v>
      </c>
      <c r="Q35">
        <v>0</v>
      </c>
      <c r="R35">
        <v>39</v>
      </c>
      <c r="S35">
        <v>1</v>
      </c>
      <c r="T35" s="97">
        <v>82.085106382978722</v>
      </c>
      <c r="U35">
        <v>3</v>
      </c>
      <c r="V35" t="str">
        <f>IF(AND(Tableau5[[#This Row],[GAIN ACCIDENTOLOGIE]]&gt;U109,Tableau5[[#This Row],[GAIN INFRACTIONS]]&gt;T109), SCORE!K$2,IF(OR(Tableau5[[#This Row],[GAIN ACCIDENTOLOGIE]]&gt;= U109, Tableau5[[#This Row],[GAIN INFRACTIONS]]&gt;=T109), SCORE!K$3,SCORE!K$4))</f>
        <v>BON</v>
      </c>
    </row>
    <row r="36" spans="1:22" x14ac:dyDescent="0.3">
      <c r="A36">
        <f t="shared" si="1"/>
        <v>35</v>
      </c>
      <c r="B36">
        <v>18788</v>
      </c>
      <c r="C36">
        <v>2</v>
      </c>
      <c r="D36" t="s">
        <v>384</v>
      </c>
      <c r="E36" t="s">
        <v>371</v>
      </c>
      <c r="F36">
        <v>60</v>
      </c>
      <c r="G36">
        <v>1.74</v>
      </c>
      <c r="H36" t="s">
        <v>212</v>
      </c>
      <c r="I36" t="s">
        <v>212</v>
      </c>
      <c r="J36" t="s">
        <v>212</v>
      </c>
      <c r="K36" t="s">
        <v>211</v>
      </c>
      <c r="L36">
        <v>1</v>
      </c>
      <c r="M36" t="s">
        <v>144</v>
      </c>
      <c r="N36" t="s">
        <v>146</v>
      </c>
      <c r="O36" t="s">
        <v>144</v>
      </c>
      <c r="P36" t="s">
        <v>144</v>
      </c>
      <c r="Q36">
        <v>0</v>
      </c>
      <c r="R36">
        <v>140</v>
      </c>
      <c r="S36">
        <v>84</v>
      </c>
      <c r="T36" s="82">
        <f t="shared" si="0"/>
        <v>56</v>
      </c>
      <c r="U36">
        <v>1</v>
      </c>
      <c r="V36" t="str">
        <f>IF(AND(Tableau5[[#This Row],[GAIN ACCIDENTOLOGIE]]&gt;U110,Tableau5[[#This Row],[GAIN INFRACTIONS]]&gt;T110), SCORE!K$2,IF(OR(Tableau5[[#This Row],[GAIN ACCIDENTOLOGIE]]&gt;= U110, Tableau5[[#This Row],[GAIN INFRACTIONS]]&gt;=T110), SCORE!K$3,SCORE!K$4))</f>
        <v>BON</v>
      </c>
    </row>
    <row r="37" spans="1:22" x14ac:dyDescent="0.3">
      <c r="A37">
        <f t="shared" si="1"/>
        <v>36</v>
      </c>
      <c r="B37">
        <v>18788</v>
      </c>
      <c r="C37">
        <v>2</v>
      </c>
      <c r="D37" t="s">
        <v>384</v>
      </c>
      <c r="E37" t="s">
        <v>371</v>
      </c>
      <c r="F37">
        <v>60</v>
      </c>
      <c r="G37">
        <v>1.74</v>
      </c>
      <c r="H37" t="s">
        <v>212</v>
      </c>
      <c r="I37" t="s">
        <v>212</v>
      </c>
      <c r="J37" t="s">
        <v>212</v>
      </c>
      <c r="K37" t="s">
        <v>211</v>
      </c>
      <c r="L37">
        <v>1</v>
      </c>
      <c r="M37" t="s">
        <v>144</v>
      </c>
      <c r="N37" t="s">
        <v>146</v>
      </c>
      <c r="O37" t="s">
        <v>144</v>
      </c>
      <c r="P37" t="s">
        <v>144</v>
      </c>
      <c r="Q37">
        <v>0</v>
      </c>
      <c r="R37">
        <v>111</v>
      </c>
      <c r="S37">
        <v>67</v>
      </c>
      <c r="T37" s="82">
        <f t="shared" si="0"/>
        <v>44</v>
      </c>
      <c r="U37">
        <v>1</v>
      </c>
      <c r="V37" t="str">
        <f>IF(AND(Tableau5[[#This Row],[GAIN ACCIDENTOLOGIE]]&gt;U111,Tableau5[[#This Row],[GAIN INFRACTIONS]]&gt;T111), SCORE!K$2,IF(OR(Tableau5[[#This Row],[GAIN ACCIDENTOLOGIE]]&gt;= U111, Tableau5[[#This Row],[GAIN INFRACTIONS]]&gt;=T111), SCORE!K$3,SCORE!K$4))</f>
        <v>BON</v>
      </c>
    </row>
    <row r="38" spans="1:22" x14ac:dyDescent="0.3">
      <c r="A38">
        <f t="shared" si="1"/>
        <v>37</v>
      </c>
      <c r="B38">
        <v>16263.5</v>
      </c>
      <c r="C38">
        <v>2</v>
      </c>
      <c r="D38" t="s">
        <v>385</v>
      </c>
      <c r="E38" t="s">
        <v>371</v>
      </c>
      <c r="F38">
        <v>60</v>
      </c>
      <c r="G38">
        <v>7.66</v>
      </c>
      <c r="H38" t="s">
        <v>212</v>
      </c>
      <c r="I38" t="s">
        <v>212</v>
      </c>
      <c r="J38" t="s">
        <v>212</v>
      </c>
      <c r="K38" t="s">
        <v>211</v>
      </c>
      <c r="L38">
        <v>1</v>
      </c>
      <c r="M38" t="s">
        <v>143</v>
      </c>
      <c r="N38" t="s">
        <v>144</v>
      </c>
      <c r="O38" t="s">
        <v>143</v>
      </c>
      <c r="P38" t="s">
        <v>144</v>
      </c>
      <c r="Q38">
        <v>565</v>
      </c>
      <c r="R38">
        <v>356</v>
      </c>
      <c r="S38">
        <v>162</v>
      </c>
      <c r="T38" s="82">
        <f t="shared" si="0"/>
        <v>194</v>
      </c>
      <c r="U38">
        <v>-8</v>
      </c>
      <c r="V38" t="str">
        <f>IF(AND(Tableau5[[#This Row],[GAIN ACCIDENTOLOGIE]]&gt;U112,Tableau5[[#This Row],[GAIN INFRACTIONS]]&gt;T112), SCORE!K$2,IF(OR(Tableau5[[#This Row],[GAIN ACCIDENTOLOGIE]]&gt;= U112, Tableau5[[#This Row],[GAIN INFRACTIONS]]&gt;=T112), SCORE!K$3,SCORE!K$4))</f>
        <v>MOYEN</v>
      </c>
    </row>
    <row r="39" spans="1:22" x14ac:dyDescent="0.3">
      <c r="A39">
        <f t="shared" si="1"/>
        <v>38</v>
      </c>
      <c r="B39">
        <v>16263.5</v>
      </c>
      <c r="C39">
        <v>2</v>
      </c>
      <c r="D39" t="s">
        <v>384</v>
      </c>
      <c r="E39" t="s">
        <v>371</v>
      </c>
      <c r="F39">
        <v>60</v>
      </c>
      <c r="G39">
        <v>7.66</v>
      </c>
      <c r="H39" t="s">
        <v>212</v>
      </c>
      <c r="I39" t="s">
        <v>212</v>
      </c>
      <c r="J39" t="s">
        <v>212</v>
      </c>
      <c r="K39" t="s">
        <v>211</v>
      </c>
      <c r="L39">
        <v>1</v>
      </c>
      <c r="M39" t="s">
        <v>143</v>
      </c>
      <c r="N39" t="s">
        <v>144</v>
      </c>
      <c r="O39" t="s">
        <v>143</v>
      </c>
      <c r="P39" t="s">
        <v>144</v>
      </c>
      <c r="Q39">
        <v>509</v>
      </c>
      <c r="R39">
        <v>305</v>
      </c>
      <c r="S39">
        <v>112</v>
      </c>
      <c r="T39" s="82">
        <f t="shared" si="0"/>
        <v>193</v>
      </c>
      <c r="U39">
        <v>-8</v>
      </c>
      <c r="V39" t="str">
        <f>IF(AND(Tableau5[[#This Row],[GAIN ACCIDENTOLOGIE]]&gt;U113,Tableau5[[#This Row],[GAIN INFRACTIONS]]&gt;T113), SCORE!K$2,IF(OR(Tableau5[[#This Row],[GAIN ACCIDENTOLOGIE]]&gt;= U113, Tableau5[[#This Row],[GAIN INFRACTIONS]]&gt;=T113), SCORE!K$3,SCORE!K$4))</f>
        <v>MOYEN</v>
      </c>
    </row>
    <row r="40" spans="1:22" x14ac:dyDescent="0.3">
      <c r="A40">
        <f t="shared" si="1"/>
        <v>39</v>
      </c>
      <c r="B40">
        <v>6076.5</v>
      </c>
      <c r="C40">
        <v>2</v>
      </c>
      <c r="D40" t="s">
        <v>384</v>
      </c>
      <c r="E40" t="s">
        <v>371</v>
      </c>
      <c r="F40">
        <v>100</v>
      </c>
      <c r="G40">
        <v>6.57</v>
      </c>
      <c r="H40" t="s">
        <v>212</v>
      </c>
      <c r="I40" t="s">
        <v>212</v>
      </c>
      <c r="J40" t="s">
        <v>212</v>
      </c>
      <c r="K40" t="s">
        <v>211</v>
      </c>
      <c r="L40">
        <v>3.59</v>
      </c>
      <c r="M40" t="s">
        <v>143</v>
      </c>
      <c r="N40" t="s">
        <v>146</v>
      </c>
      <c r="O40" t="s">
        <v>143</v>
      </c>
      <c r="P40" t="s">
        <v>144</v>
      </c>
      <c r="Q40">
        <v>0</v>
      </c>
      <c r="R40">
        <v>2</v>
      </c>
      <c r="S40">
        <v>97</v>
      </c>
      <c r="T40" s="97">
        <v>82.085106382978722</v>
      </c>
      <c r="U40">
        <v>-7</v>
      </c>
      <c r="V40" t="str">
        <f>IF(AND(Tableau5[[#This Row],[GAIN ACCIDENTOLOGIE]]&gt;U114,Tableau5[[#This Row],[GAIN INFRACTIONS]]&gt;T114), SCORE!K$2,IF(OR(Tableau5[[#This Row],[GAIN ACCIDENTOLOGIE]]&gt;= U114, Tableau5[[#This Row],[GAIN INFRACTIONS]]&gt;=T114), SCORE!K$3,SCORE!K$4))</f>
        <v>MOYEN</v>
      </c>
    </row>
    <row r="41" spans="1:22" x14ac:dyDescent="0.3">
      <c r="A41">
        <f t="shared" si="1"/>
        <v>40</v>
      </c>
      <c r="B41">
        <v>6076.5</v>
      </c>
      <c r="C41">
        <v>2</v>
      </c>
      <c r="D41" t="s">
        <v>385</v>
      </c>
      <c r="E41" t="s">
        <v>371</v>
      </c>
      <c r="F41">
        <v>80</v>
      </c>
      <c r="G41">
        <v>6.57</v>
      </c>
      <c r="H41" t="s">
        <v>212</v>
      </c>
      <c r="I41" t="s">
        <v>212</v>
      </c>
      <c r="J41" t="s">
        <v>212</v>
      </c>
      <c r="K41" t="s">
        <v>211</v>
      </c>
      <c r="L41">
        <v>3.59</v>
      </c>
      <c r="M41" t="s">
        <v>143</v>
      </c>
      <c r="N41" t="s">
        <v>146</v>
      </c>
      <c r="O41" t="s">
        <v>143</v>
      </c>
      <c r="P41" t="s">
        <v>144</v>
      </c>
      <c r="Q41">
        <v>42</v>
      </c>
      <c r="R41">
        <v>29</v>
      </c>
      <c r="S41">
        <v>15</v>
      </c>
      <c r="T41" s="82">
        <f t="shared" si="0"/>
        <v>14</v>
      </c>
      <c r="U41">
        <v>-7</v>
      </c>
      <c r="V41" t="str">
        <f>IF(AND(Tableau5[[#This Row],[GAIN ACCIDENTOLOGIE]]&gt;U115,Tableau5[[#This Row],[GAIN INFRACTIONS]]&gt;T115), SCORE!K$2,IF(OR(Tableau5[[#This Row],[GAIN ACCIDENTOLOGIE]]&gt;= U115, Tableau5[[#This Row],[GAIN INFRACTIONS]]&gt;=T115), SCORE!K$3,SCORE!K$4))</f>
        <v>MOYEN</v>
      </c>
    </row>
    <row r="42" spans="1:22" x14ac:dyDescent="0.3">
      <c r="A42">
        <f t="shared" si="1"/>
        <v>41</v>
      </c>
      <c r="B42">
        <v>5538</v>
      </c>
      <c r="C42">
        <v>2</v>
      </c>
      <c r="D42" t="s">
        <v>384</v>
      </c>
      <c r="E42" t="s">
        <v>371</v>
      </c>
      <c r="F42">
        <v>100</v>
      </c>
      <c r="G42">
        <v>1</v>
      </c>
      <c r="H42" t="s">
        <v>212</v>
      </c>
      <c r="I42" t="s">
        <v>212</v>
      </c>
      <c r="J42" t="s">
        <v>212</v>
      </c>
      <c r="K42" t="s">
        <v>211</v>
      </c>
      <c r="L42">
        <v>1</v>
      </c>
      <c r="M42" t="s">
        <v>146</v>
      </c>
      <c r="N42" t="s">
        <v>143</v>
      </c>
      <c r="O42" t="s">
        <v>144</v>
      </c>
      <c r="P42" t="s">
        <v>143</v>
      </c>
      <c r="Q42">
        <v>0</v>
      </c>
      <c r="R42">
        <v>16</v>
      </c>
      <c r="S42">
        <v>10</v>
      </c>
      <c r="T42" s="97">
        <v>82.085106382978722</v>
      </c>
      <c r="U42">
        <v>7</v>
      </c>
      <c r="V42" t="str">
        <f>IF(AND(Tableau5[[#This Row],[GAIN ACCIDENTOLOGIE]]&gt;U116,Tableau5[[#This Row],[GAIN INFRACTIONS]]&gt;T116), SCORE!K$2,IF(OR(Tableau5[[#This Row],[GAIN ACCIDENTOLOGIE]]&gt;= U116, Tableau5[[#This Row],[GAIN INFRACTIONS]]&gt;=T116), SCORE!K$3,SCORE!K$4))</f>
        <v>BON</v>
      </c>
    </row>
    <row r="43" spans="1:22" x14ac:dyDescent="0.3">
      <c r="A43">
        <f t="shared" si="1"/>
        <v>42</v>
      </c>
      <c r="B43">
        <v>5538</v>
      </c>
      <c r="C43">
        <v>2</v>
      </c>
      <c r="D43" t="s">
        <v>384</v>
      </c>
      <c r="E43" t="s">
        <v>371</v>
      </c>
      <c r="F43">
        <v>100</v>
      </c>
      <c r="G43">
        <v>0.16</v>
      </c>
      <c r="H43" t="s">
        <v>212</v>
      </c>
      <c r="I43" t="s">
        <v>212</v>
      </c>
      <c r="J43" t="s">
        <v>212</v>
      </c>
      <c r="K43" t="s">
        <v>211</v>
      </c>
      <c r="L43">
        <v>1</v>
      </c>
      <c r="M43" t="s">
        <v>146</v>
      </c>
      <c r="N43" t="s">
        <v>143</v>
      </c>
      <c r="O43" t="s">
        <v>144</v>
      </c>
      <c r="P43" t="s">
        <v>143</v>
      </c>
      <c r="Q43">
        <v>0</v>
      </c>
      <c r="R43">
        <v>5</v>
      </c>
      <c r="S43">
        <v>11</v>
      </c>
      <c r="T43" s="97">
        <v>82.085106382978722</v>
      </c>
      <c r="U43">
        <v>7</v>
      </c>
      <c r="V43" t="str">
        <f>IF(AND(Tableau5[[#This Row],[GAIN ACCIDENTOLOGIE]]&gt;U117,Tableau5[[#This Row],[GAIN INFRACTIONS]]&gt;T117), SCORE!K$2,IF(OR(Tableau5[[#This Row],[GAIN ACCIDENTOLOGIE]]&gt;= U117, Tableau5[[#This Row],[GAIN INFRACTIONS]]&gt;=T117), SCORE!K$3,SCORE!K$4))</f>
        <v>BON</v>
      </c>
    </row>
    <row r="44" spans="1:22" x14ac:dyDescent="0.3">
      <c r="A44">
        <f t="shared" si="1"/>
        <v>43</v>
      </c>
      <c r="B44">
        <v>18847.5</v>
      </c>
      <c r="C44">
        <v>4</v>
      </c>
      <c r="D44" t="s">
        <v>384</v>
      </c>
      <c r="E44" t="s">
        <v>371</v>
      </c>
      <c r="F44">
        <v>60</v>
      </c>
      <c r="G44">
        <v>1.1299999999999999</v>
      </c>
      <c r="H44" t="s">
        <v>212</v>
      </c>
      <c r="I44" t="s">
        <v>212</v>
      </c>
      <c r="J44" t="s">
        <v>212</v>
      </c>
      <c r="K44" t="s">
        <v>212</v>
      </c>
      <c r="L44">
        <v>4.5999999999999996</v>
      </c>
      <c r="M44" t="s">
        <v>143</v>
      </c>
      <c r="N44" t="s">
        <v>143</v>
      </c>
      <c r="O44" t="s">
        <v>143</v>
      </c>
      <c r="P44" t="s">
        <v>143</v>
      </c>
      <c r="Q44">
        <v>303</v>
      </c>
      <c r="R44">
        <v>365</v>
      </c>
      <c r="S44">
        <v>250</v>
      </c>
      <c r="T44" s="82">
        <f t="shared" si="0"/>
        <v>115</v>
      </c>
      <c r="U44">
        <v>0</v>
      </c>
      <c r="V44" t="str">
        <f>IF(AND(Tableau5[[#This Row],[GAIN ACCIDENTOLOGIE]]&gt;U118,Tableau5[[#This Row],[GAIN INFRACTIONS]]&gt;T118), SCORE!K$2,IF(OR(Tableau5[[#This Row],[GAIN ACCIDENTOLOGIE]]&gt;= U118, Tableau5[[#This Row],[GAIN INFRACTIONS]]&gt;=T118), SCORE!K$3,SCORE!K$4))</f>
        <v>MOYEN</v>
      </c>
    </row>
    <row r="45" spans="1:22" x14ac:dyDescent="0.3">
      <c r="A45">
        <f t="shared" si="1"/>
        <v>44</v>
      </c>
      <c r="B45">
        <v>18847.5</v>
      </c>
      <c r="C45">
        <v>4</v>
      </c>
      <c r="D45" t="s">
        <v>384</v>
      </c>
      <c r="E45" t="s">
        <v>371</v>
      </c>
      <c r="F45">
        <v>60</v>
      </c>
      <c r="G45">
        <v>1.18</v>
      </c>
      <c r="H45" t="s">
        <v>212</v>
      </c>
      <c r="I45" t="s">
        <v>212</v>
      </c>
      <c r="J45" t="s">
        <v>212</v>
      </c>
      <c r="K45" t="s">
        <v>212</v>
      </c>
      <c r="L45">
        <v>2.83</v>
      </c>
      <c r="M45" t="s">
        <v>143</v>
      </c>
      <c r="N45" t="s">
        <v>143</v>
      </c>
      <c r="O45" t="s">
        <v>143</v>
      </c>
      <c r="P45" t="s">
        <v>143</v>
      </c>
      <c r="Q45">
        <v>229</v>
      </c>
      <c r="R45">
        <v>177</v>
      </c>
      <c r="S45">
        <v>119</v>
      </c>
      <c r="T45" s="82">
        <f t="shared" si="0"/>
        <v>58</v>
      </c>
      <c r="U45">
        <v>0</v>
      </c>
      <c r="V45" t="str">
        <f>IF(AND(Tableau5[[#This Row],[GAIN ACCIDENTOLOGIE]]&gt;U119,Tableau5[[#This Row],[GAIN INFRACTIONS]]&gt;T119), SCORE!K$2,IF(OR(Tableau5[[#This Row],[GAIN ACCIDENTOLOGIE]]&gt;= U119, Tableau5[[#This Row],[GAIN INFRACTIONS]]&gt;=T119), SCORE!K$3,SCORE!K$4))</f>
        <v>MOYEN</v>
      </c>
    </row>
    <row r="46" spans="1:22" x14ac:dyDescent="0.3">
      <c r="A46">
        <f t="shared" si="1"/>
        <v>45</v>
      </c>
      <c r="B46">
        <v>10032.5</v>
      </c>
      <c r="C46">
        <v>4</v>
      </c>
      <c r="D46" t="s">
        <v>385</v>
      </c>
      <c r="E46" t="s">
        <v>371</v>
      </c>
      <c r="F46">
        <v>60</v>
      </c>
      <c r="G46">
        <v>4.7699999999999996</v>
      </c>
      <c r="H46" t="s">
        <v>212</v>
      </c>
      <c r="I46" t="s">
        <v>212</v>
      </c>
      <c r="J46" t="s">
        <v>212</v>
      </c>
      <c r="K46" t="s">
        <v>211</v>
      </c>
      <c r="L46">
        <v>1</v>
      </c>
      <c r="M46" t="s">
        <v>144</v>
      </c>
      <c r="N46" t="s">
        <v>146</v>
      </c>
      <c r="O46" t="s">
        <v>144</v>
      </c>
      <c r="P46" t="s">
        <v>144</v>
      </c>
      <c r="Q46">
        <v>0</v>
      </c>
      <c r="R46">
        <v>0</v>
      </c>
      <c r="S46">
        <v>322</v>
      </c>
      <c r="T46" s="97">
        <v>82.085106382978722</v>
      </c>
      <c r="U46">
        <v>1</v>
      </c>
      <c r="V46" t="str">
        <f>IF(AND(Tableau5[[#This Row],[GAIN ACCIDENTOLOGIE]]&gt;U120,Tableau5[[#This Row],[GAIN INFRACTIONS]]&gt;T120), SCORE!K$2,IF(OR(Tableau5[[#This Row],[GAIN ACCIDENTOLOGIE]]&gt;= U120, Tableau5[[#This Row],[GAIN INFRACTIONS]]&gt;=T120), SCORE!K$3,SCORE!K$4))</f>
        <v>BON</v>
      </c>
    </row>
    <row r="47" spans="1:22" x14ac:dyDescent="0.3">
      <c r="A47">
        <f t="shared" si="1"/>
        <v>46</v>
      </c>
      <c r="B47">
        <v>7155</v>
      </c>
      <c r="C47">
        <v>2</v>
      </c>
      <c r="D47" t="s">
        <v>384</v>
      </c>
      <c r="E47" t="s">
        <v>371</v>
      </c>
      <c r="F47">
        <v>60</v>
      </c>
      <c r="G47">
        <v>3.5</v>
      </c>
      <c r="H47" t="s">
        <v>212</v>
      </c>
      <c r="I47" t="s">
        <v>212</v>
      </c>
      <c r="J47" t="s">
        <v>212</v>
      </c>
      <c r="K47" t="s">
        <v>211</v>
      </c>
      <c r="L47">
        <v>1</v>
      </c>
      <c r="M47" t="s">
        <v>144</v>
      </c>
      <c r="N47" t="s">
        <v>146</v>
      </c>
      <c r="O47" t="s">
        <v>144</v>
      </c>
      <c r="P47" t="s">
        <v>144</v>
      </c>
      <c r="Q47">
        <v>0</v>
      </c>
      <c r="R47">
        <v>0</v>
      </c>
      <c r="S47">
        <v>0</v>
      </c>
      <c r="T47" s="97">
        <v>82.085106382978722</v>
      </c>
      <c r="U47">
        <v>1</v>
      </c>
      <c r="V47" t="str">
        <f>IF(AND(Tableau5[[#This Row],[GAIN ACCIDENTOLOGIE]]&gt;U121,Tableau5[[#This Row],[GAIN INFRACTIONS]]&gt;T121), SCORE!K$2,IF(OR(Tableau5[[#This Row],[GAIN ACCIDENTOLOGIE]]&gt;= U121, Tableau5[[#This Row],[GAIN INFRACTIONS]]&gt;=T121), SCORE!K$3,SCORE!K$4))</f>
        <v>BON</v>
      </c>
    </row>
    <row r="48" spans="1:22" x14ac:dyDescent="0.3">
      <c r="A48">
        <f t="shared" si="1"/>
        <v>47</v>
      </c>
      <c r="B48">
        <v>44826.5</v>
      </c>
      <c r="C48" s="95">
        <v>3</v>
      </c>
      <c r="D48" s="95" t="s">
        <v>384</v>
      </c>
      <c r="E48" s="95" t="s">
        <v>417</v>
      </c>
      <c r="F48">
        <v>120</v>
      </c>
      <c r="G48" s="95">
        <v>10</v>
      </c>
      <c r="H48" t="s">
        <v>211</v>
      </c>
      <c r="I48" t="s">
        <v>211</v>
      </c>
      <c r="J48" t="s">
        <v>212</v>
      </c>
      <c r="K48" t="s">
        <v>212</v>
      </c>
      <c r="L48" s="95">
        <v>20</v>
      </c>
      <c r="M48" t="s">
        <v>146</v>
      </c>
      <c r="N48" t="s">
        <v>146</v>
      </c>
      <c r="O48" t="s">
        <v>144</v>
      </c>
      <c r="P48" t="s">
        <v>144</v>
      </c>
      <c r="Q48">
        <v>0</v>
      </c>
      <c r="R48">
        <v>0</v>
      </c>
      <c r="S48">
        <v>0</v>
      </c>
      <c r="T48" s="97">
        <v>82.085106382978722</v>
      </c>
      <c r="U48">
        <v>0</v>
      </c>
      <c r="V48" t="str">
        <f>IF(AND(Tableau5[[#This Row],[GAIN ACCIDENTOLOGIE]]&gt;U122,Tableau5[[#This Row],[GAIN INFRACTIONS]]&gt;T122), SCORE!K$2,IF(OR(Tableau5[[#This Row],[GAIN ACCIDENTOLOGIE]]&gt;= U122, Tableau5[[#This Row],[GAIN INFRACTIONS]]&gt;=T122), SCORE!K$3,SCORE!K$4))</f>
        <v>MOYEN</v>
      </c>
    </row>
    <row r="49" spans="1:22" x14ac:dyDescent="0.3">
      <c r="A49">
        <f t="shared" si="1"/>
        <v>48</v>
      </c>
      <c r="B49">
        <v>51285.5</v>
      </c>
      <c r="C49" s="95">
        <v>3</v>
      </c>
      <c r="D49" s="95" t="s">
        <v>384</v>
      </c>
      <c r="E49" s="95" t="s">
        <v>417</v>
      </c>
      <c r="F49">
        <v>120</v>
      </c>
      <c r="G49" s="95">
        <v>10</v>
      </c>
      <c r="H49" t="s">
        <v>211</v>
      </c>
      <c r="I49" t="s">
        <v>212</v>
      </c>
      <c r="J49" t="s">
        <v>212</v>
      </c>
      <c r="K49" t="s">
        <v>212</v>
      </c>
      <c r="L49" s="95">
        <v>20</v>
      </c>
      <c r="M49" t="s">
        <v>146</v>
      </c>
      <c r="N49" t="s">
        <v>147</v>
      </c>
      <c r="O49" t="s">
        <v>144</v>
      </c>
      <c r="P49" t="s">
        <v>144</v>
      </c>
      <c r="Q49">
        <v>0</v>
      </c>
      <c r="R49">
        <v>0</v>
      </c>
      <c r="S49">
        <v>0</v>
      </c>
      <c r="T49" s="97">
        <v>82.085106382978722</v>
      </c>
      <c r="U49">
        <v>1</v>
      </c>
      <c r="V49" t="str">
        <f>IF(AND(Tableau5[[#This Row],[GAIN ACCIDENTOLOGIE]]&gt;U123,Tableau5[[#This Row],[GAIN INFRACTIONS]]&gt;T123), SCORE!K$2,IF(OR(Tableau5[[#This Row],[GAIN ACCIDENTOLOGIE]]&gt;= U123, Tableau5[[#This Row],[GAIN INFRACTIONS]]&gt;=T123), SCORE!K$3,SCORE!K$4))</f>
        <v>BON</v>
      </c>
    </row>
    <row r="50" spans="1:22" x14ac:dyDescent="0.3">
      <c r="A50">
        <f t="shared" si="1"/>
        <v>49</v>
      </c>
      <c r="B50">
        <v>19669.5</v>
      </c>
      <c r="C50" s="95">
        <v>3</v>
      </c>
      <c r="D50" s="95" t="s">
        <v>384</v>
      </c>
      <c r="E50" s="95" t="s">
        <v>417</v>
      </c>
      <c r="F50">
        <v>120</v>
      </c>
      <c r="G50" s="95">
        <v>10</v>
      </c>
      <c r="H50" t="s">
        <v>211</v>
      </c>
      <c r="I50" t="s">
        <v>212</v>
      </c>
      <c r="J50" t="s">
        <v>211</v>
      </c>
      <c r="K50" t="s">
        <v>212</v>
      </c>
      <c r="L50" s="95">
        <v>20</v>
      </c>
      <c r="M50" t="s">
        <v>146</v>
      </c>
      <c r="N50" t="s">
        <v>143</v>
      </c>
      <c r="O50" t="s">
        <v>144</v>
      </c>
      <c r="P50" t="s">
        <v>143</v>
      </c>
      <c r="Q50">
        <v>0</v>
      </c>
      <c r="R50">
        <v>0</v>
      </c>
      <c r="S50">
        <v>0</v>
      </c>
      <c r="T50" s="97">
        <v>82.085106382978722</v>
      </c>
      <c r="U50">
        <v>7</v>
      </c>
      <c r="V50" t="str">
        <f>IF(AND(Tableau5[[#This Row],[GAIN ACCIDENTOLOGIE]]&gt;U124,Tableau5[[#This Row],[GAIN INFRACTIONS]]&gt;T124), SCORE!K$2,IF(OR(Tableau5[[#This Row],[GAIN ACCIDENTOLOGIE]]&gt;= U124, Tableau5[[#This Row],[GAIN INFRACTIONS]]&gt;=T124), SCORE!K$3,SCORE!K$4))</f>
        <v>BON</v>
      </c>
    </row>
    <row r="51" spans="1:22" x14ac:dyDescent="0.3">
      <c r="A51">
        <f t="shared" si="1"/>
        <v>50</v>
      </c>
      <c r="B51">
        <v>35303.5</v>
      </c>
      <c r="C51" s="95">
        <v>3</v>
      </c>
      <c r="D51" s="95" t="s">
        <v>384</v>
      </c>
      <c r="E51" s="95" t="s">
        <v>417</v>
      </c>
      <c r="F51">
        <v>120</v>
      </c>
      <c r="G51" s="95">
        <v>10</v>
      </c>
      <c r="H51" t="s">
        <v>211</v>
      </c>
      <c r="I51" t="s">
        <v>211</v>
      </c>
      <c r="J51" t="s">
        <v>212</v>
      </c>
      <c r="K51" t="s">
        <v>212</v>
      </c>
      <c r="L51" s="95">
        <v>20</v>
      </c>
      <c r="M51" t="s">
        <v>146</v>
      </c>
      <c r="N51" t="s">
        <v>468</v>
      </c>
      <c r="O51" t="s">
        <v>144</v>
      </c>
      <c r="P51" t="s">
        <v>144</v>
      </c>
      <c r="Q51">
        <v>0</v>
      </c>
      <c r="R51">
        <v>0</v>
      </c>
      <c r="S51">
        <v>0</v>
      </c>
      <c r="T51" s="97">
        <v>82.085106382978722</v>
      </c>
      <c r="U51">
        <v>2</v>
      </c>
      <c r="V51" t="str">
        <f>IF(AND(Tableau5[[#This Row],[GAIN ACCIDENTOLOGIE]]&gt;U125,Tableau5[[#This Row],[GAIN INFRACTIONS]]&gt;T125), SCORE!K$2,IF(OR(Tableau5[[#This Row],[GAIN ACCIDENTOLOGIE]]&gt;= U125, Tableau5[[#This Row],[GAIN INFRACTIONS]]&gt;=T125), SCORE!K$3,SCORE!K$4))</f>
        <v>BON</v>
      </c>
    </row>
    <row r="52" spans="1:22" x14ac:dyDescent="0.3">
      <c r="A52">
        <f t="shared" si="1"/>
        <v>51</v>
      </c>
      <c r="B52">
        <v>35303.5</v>
      </c>
      <c r="C52" s="95">
        <v>3</v>
      </c>
      <c r="D52" s="95" t="s">
        <v>384</v>
      </c>
      <c r="E52" s="95" t="s">
        <v>417</v>
      </c>
      <c r="F52">
        <v>120</v>
      </c>
      <c r="G52" s="95">
        <v>10</v>
      </c>
      <c r="H52" t="s">
        <v>211</v>
      </c>
      <c r="I52" t="s">
        <v>211</v>
      </c>
      <c r="J52" t="s">
        <v>212</v>
      </c>
      <c r="K52" t="s">
        <v>212</v>
      </c>
      <c r="L52" s="95">
        <v>20</v>
      </c>
      <c r="M52" t="s">
        <v>146</v>
      </c>
      <c r="N52" t="s">
        <v>468</v>
      </c>
      <c r="O52" t="s">
        <v>144</v>
      </c>
      <c r="P52" t="s">
        <v>144</v>
      </c>
      <c r="Q52">
        <v>0</v>
      </c>
      <c r="R52">
        <v>0</v>
      </c>
      <c r="S52">
        <v>0</v>
      </c>
      <c r="T52" s="97">
        <v>82.085106382978722</v>
      </c>
      <c r="U52">
        <v>2</v>
      </c>
      <c r="V52" t="str">
        <f>IF(AND(Tableau5[[#This Row],[GAIN ACCIDENTOLOGIE]]&gt;U126,Tableau5[[#This Row],[GAIN INFRACTIONS]]&gt;T126), SCORE!K$2,IF(OR(Tableau5[[#This Row],[GAIN ACCIDENTOLOGIE]]&gt;= U126, Tableau5[[#This Row],[GAIN INFRACTIONS]]&gt;=T126), SCORE!K$3,SCORE!K$4))</f>
        <v>BON</v>
      </c>
    </row>
    <row r="53" spans="1:22" x14ac:dyDescent="0.3">
      <c r="A53">
        <f t="shared" si="1"/>
        <v>52</v>
      </c>
      <c r="B53">
        <v>60211</v>
      </c>
      <c r="C53">
        <v>3</v>
      </c>
      <c r="D53" t="s">
        <v>384</v>
      </c>
      <c r="E53" t="s">
        <v>417</v>
      </c>
      <c r="F53">
        <v>120</v>
      </c>
      <c r="G53" s="95">
        <v>10</v>
      </c>
      <c r="H53" t="s">
        <v>211</v>
      </c>
      <c r="I53" t="s">
        <v>212</v>
      </c>
      <c r="J53" t="s">
        <v>212</v>
      </c>
      <c r="K53" t="s">
        <v>212</v>
      </c>
      <c r="L53" s="95">
        <v>20</v>
      </c>
      <c r="M53" t="s">
        <v>147</v>
      </c>
      <c r="N53" t="s">
        <v>147</v>
      </c>
      <c r="O53" t="s">
        <v>144</v>
      </c>
      <c r="P53" t="s">
        <v>144</v>
      </c>
      <c r="Q53">
        <v>0</v>
      </c>
      <c r="R53">
        <v>187</v>
      </c>
      <c r="S53">
        <v>131</v>
      </c>
      <c r="T53" s="82">
        <f t="shared" si="0"/>
        <v>56</v>
      </c>
      <c r="U53">
        <v>0</v>
      </c>
      <c r="V53" t="str">
        <f>IF(AND(Tableau5[[#This Row],[GAIN ACCIDENTOLOGIE]]&gt;U127,Tableau5[[#This Row],[GAIN INFRACTIONS]]&gt;T127), SCORE!K$2,IF(OR(Tableau5[[#This Row],[GAIN ACCIDENTOLOGIE]]&gt;= U127, Tableau5[[#This Row],[GAIN INFRACTIONS]]&gt;=T127), SCORE!K$3,SCORE!K$4))</f>
        <v>MOYEN</v>
      </c>
    </row>
    <row r="54" spans="1:22" x14ac:dyDescent="0.3">
      <c r="A54">
        <f t="shared" si="1"/>
        <v>53</v>
      </c>
      <c r="B54">
        <v>60211</v>
      </c>
      <c r="C54">
        <v>3</v>
      </c>
      <c r="D54" t="s">
        <v>384</v>
      </c>
      <c r="E54" t="s">
        <v>417</v>
      </c>
      <c r="F54">
        <v>120</v>
      </c>
      <c r="G54" s="95">
        <v>10</v>
      </c>
      <c r="H54" t="s">
        <v>211</v>
      </c>
      <c r="I54" t="s">
        <v>212</v>
      </c>
      <c r="J54" t="s">
        <v>212</v>
      </c>
      <c r="K54" t="s">
        <v>212</v>
      </c>
      <c r="L54" s="95">
        <v>20</v>
      </c>
      <c r="M54" t="s">
        <v>144</v>
      </c>
      <c r="N54" t="s">
        <v>468</v>
      </c>
      <c r="O54" t="s">
        <v>144</v>
      </c>
      <c r="P54" t="s">
        <v>144</v>
      </c>
      <c r="Q54">
        <v>134</v>
      </c>
      <c r="R54">
        <v>227</v>
      </c>
      <c r="S54">
        <v>144</v>
      </c>
      <c r="T54" s="82">
        <f t="shared" si="0"/>
        <v>83</v>
      </c>
      <c r="U54">
        <v>3</v>
      </c>
      <c r="V54" t="str">
        <f>IF(AND(Tableau5[[#This Row],[GAIN ACCIDENTOLOGIE]]&gt;U128,Tableau5[[#This Row],[GAIN INFRACTIONS]]&gt;T128), SCORE!K$2,IF(OR(Tableau5[[#This Row],[GAIN ACCIDENTOLOGIE]]&gt;= U128, Tableau5[[#This Row],[GAIN INFRACTIONS]]&gt;=T128), SCORE!K$3,SCORE!K$4))</f>
        <v>BON</v>
      </c>
    </row>
    <row r="55" spans="1:22" x14ac:dyDescent="0.3">
      <c r="A55">
        <f t="shared" si="1"/>
        <v>54</v>
      </c>
      <c r="B55">
        <v>56599.5</v>
      </c>
      <c r="C55">
        <v>3</v>
      </c>
      <c r="D55" t="s">
        <v>384</v>
      </c>
      <c r="E55" t="s">
        <v>417</v>
      </c>
      <c r="F55">
        <v>120</v>
      </c>
      <c r="G55" s="95">
        <v>10</v>
      </c>
      <c r="H55" t="s">
        <v>212</v>
      </c>
      <c r="I55" t="s">
        <v>212</v>
      </c>
      <c r="J55" t="s">
        <v>212</v>
      </c>
      <c r="K55" t="s">
        <v>212</v>
      </c>
      <c r="L55" s="95">
        <v>20</v>
      </c>
      <c r="M55" t="s">
        <v>147</v>
      </c>
      <c r="N55" t="s">
        <v>468</v>
      </c>
      <c r="O55" t="s">
        <v>144</v>
      </c>
      <c r="P55" t="s">
        <v>144</v>
      </c>
      <c r="Q55">
        <v>0</v>
      </c>
      <c r="R55">
        <v>467</v>
      </c>
      <c r="S55">
        <v>307</v>
      </c>
      <c r="T55" s="82">
        <f t="shared" si="0"/>
        <v>160</v>
      </c>
      <c r="U55">
        <v>1</v>
      </c>
      <c r="V55" t="str">
        <f>IF(AND(Tableau5[[#This Row],[GAIN ACCIDENTOLOGIE]]&gt;U129,Tableau5[[#This Row],[GAIN INFRACTIONS]]&gt;T129), SCORE!K$2,IF(OR(Tableau5[[#This Row],[GAIN ACCIDENTOLOGIE]]&gt;= U129, Tableau5[[#This Row],[GAIN INFRACTIONS]]&gt;=T129), SCORE!K$3,SCORE!K$4))</f>
        <v>BON</v>
      </c>
    </row>
    <row r="56" spans="1:22" x14ac:dyDescent="0.3">
      <c r="A56">
        <f t="shared" si="1"/>
        <v>55</v>
      </c>
      <c r="B56">
        <v>52155.5</v>
      </c>
      <c r="C56">
        <v>6</v>
      </c>
      <c r="D56" t="s">
        <v>384</v>
      </c>
      <c r="E56" t="s">
        <v>417</v>
      </c>
      <c r="F56">
        <v>120</v>
      </c>
      <c r="G56" s="95">
        <v>10</v>
      </c>
      <c r="H56" t="s">
        <v>211</v>
      </c>
      <c r="I56" t="s">
        <v>211</v>
      </c>
      <c r="J56" t="s">
        <v>212</v>
      </c>
      <c r="K56" t="s">
        <v>212</v>
      </c>
      <c r="L56" s="95">
        <v>20</v>
      </c>
      <c r="M56" t="s">
        <v>147</v>
      </c>
      <c r="N56" t="s">
        <v>468</v>
      </c>
      <c r="O56" t="s">
        <v>144</v>
      </c>
      <c r="P56" t="s">
        <v>144</v>
      </c>
      <c r="Q56">
        <v>0</v>
      </c>
      <c r="R56">
        <v>0</v>
      </c>
      <c r="S56">
        <v>0</v>
      </c>
      <c r="T56" s="97">
        <v>82.085106382978722</v>
      </c>
      <c r="U56">
        <v>1</v>
      </c>
      <c r="V56" t="str">
        <f>IF(AND(Tableau5[[#This Row],[GAIN ACCIDENTOLOGIE]]&gt;U130,Tableau5[[#This Row],[GAIN INFRACTIONS]]&gt;T130), SCORE!K$2,IF(OR(Tableau5[[#This Row],[GAIN ACCIDENTOLOGIE]]&gt;= U130, Tableau5[[#This Row],[GAIN INFRACTIONS]]&gt;=T130), SCORE!K$3,SCORE!K$4))</f>
        <v>BON</v>
      </c>
    </row>
    <row r="57" spans="1:22" x14ac:dyDescent="0.3">
      <c r="A57">
        <f t="shared" si="1"/>
        <v>56</v>
      </c>
      <c r="B57">
        <v>57420</v>
      </c>
      <c r="C57">
        <v>3</v>
      </c>
      <c r="D57" t="s">
        <v>384</v>
      </c>
      <c r="E57" t="s">
        <v>417</v>
      </c>
      <c r="F57">
        <v>120</v>
      </c>
      <c r="G57" s="95">
        <v>10</v>
      </c>
      <c r="H57" t="s">
        <v>211</v>
      </c>
      <c r="I57" t="s">
        <v>212</v>
      </c>
      <c r="J57" t="s">
        <v>212</v>
      </c>
      <c r="K57" t="s">
        <v>212</v>
      </c>
      <c r="L57" s="95">
        <v>20</v>
      </c>
      <c r="M57" t="s">
        <v>468</v>
      </c>
      <c r="N57" t="s">
        <v>468</v>
      </c>
      <c r="O57" t="s">
        <v>144</v>
      </c>
      <c r="P57" t="s">
        <v>144</v>
      </c>
      <c r="Q57">
        <v>0</v>
      </c>
      <c r="R57">
        <v>0</v>
      </c>
      <c r="S57">
        <v>0</v>
      </c>
      <c r="T57" s="97">
        <v>82.085106382978722</v>
      </c>
      <c r="U57">
        <v>0</v>
      </c>
      <c r="V57" t="str">
        <f>IF(AND(Tableau5[[#This Row],[GAIN ACCIDENTOLOGIE]]&gt;U131,Tableau5[[#This Row],[GAIN INFRACTIONS]]&gt;T131), SCORE!K$2,IF(OR(Tableau5[[#This Row],[GAIN ACCIDENTOLOGIE]]&gt;= U131, Tableau5[[#This Row],[GAIN INFRACTIONS]]&gt;=T131), SCORE!K$3,SCORE!K$4))</f>
        <v>MOYEN</v>
      </c>
    </row>
    <row r="58" spans="1:22" x14ac:dyDescent="0.3">
      <c r="A58">
        <f t="shared" si="1"/>
        <v>57</v>
      </c>
      <c r="B58">
        <v>57420</v>
      </c>
      <c r="C58">
        <v>3</v>
      </c>
      <c r="D58" t="s">
        <v>384</v>
      </c>
      <c r="E58" t="s">
        <v>417</v>
      </c>
      <c r="F58">
        <v>120</v>
      </c>
      <c r="G58" s="95">
        <v>10</v>
      </c>
      <c r="H58" t="s">
        <v>211</v>
      </c>
      <c r="I58" t="s">
        <v>212</v>
      </c>
      <c r="J58" t="s">
        <v>212</v>
      </c>
      <c r="K58" t="s">
        <v>212</v>
      </c>
      <c r="L58" s="95">
        <v>20</v>
      </c>
      <c r="M58" t="s">
        <v>147</v>
      </c>
      <c r="N58" t="s">
        <v>468</v>
      </c>
      <c r="O58" t="s">
        <v>144</v>
      </c>
      <c r="P58" t="s">
        <v>144</v>
      </c>
      <c r="Q58">
        <v>0</v>
      </c>
      <c r="R58">
        <v>0</v>
      </c>
      <c r="S58">
        <v>0</v>
      </c>
      <c r="T58" s="97">
        <v>82.085106382978722</v>
      </c>
      <c r="U58">
        <v>1</v>
      </c>
      <c r="V58" t="str">
        <f>IF(AND(Tableau5[[#This Row],[GAIN ACCIDENTOLOGIE]]&gt;U132,Tableau5[[#This Row],[GAIN INFRACTIONS]]&gt;T132), SCORE!K$2,IF(OR(Tableau5[[#This Row],[GAIN ACCIDENTOLOGIE]]&gt;= U132, Tableau5[[#This Row],[GAIN INFRACTIONS]]&gt;=T132), SCORE!K$3,SCORE!K$4))</f>
        <v>BON</v>
      </c>
    </row>
    <row r="59" spans="1:22" x14ac:dyDescent="0.3">
      <c r="A59">
        <f t="shared" si="1"/>
        <v>58</v>
      </c>
      <c r="B59">
        <v>14170</v>
      </c>
      <c r="C59">
        <v>2</v>
      </c>
      <c r="D59" t="s">
        <v>384</v>
      </c>
      <c r="E59" t="s">
        <v>417</v>
      </c>
      <c r="F59">
        <v>120</v>
      </c>
      <c r="G59" s="95">
        <v>10</v>
      </c>
      <c r="H59" t="s">
        <v>211</v>
      </c>
      <c r="I59" t="s">
        <v>212</v>
      </c>
      <c r="J59" t="s">
        <v>212</v>
      </c>
      <c r="K59" t="s">
        <v>212</v>
      </c>
      <c r="L59" s="95">
        <v>20</v>
      </c>
      <c r="M59" t="s">
        <v>468</v>
      </c>
      <c r="N59" t="s">
        <v>143</v>
      </c>
      <c r="O59" t="s">
        <v>144</v>
      </c>
      <c r="P59" t="s">
        <v>143</v>
      </c>
      <c r="Q59">
        <v>224</v>
      </c>
      <c r="R59">
        <v>230</v>
      </c>
      <c r="S59">
        <v>0</v>
      </c>
      <c r="T59" s="82">
        <f t="shared" si="0"/>
        <v>-6</v>
      </c>
      <c r="U59">
        <v>5</v>
      </c>
      <c r="V59" t="str">
        <f>IF(AND(Tableau5[[#This Row],[GAIN ACCIDENTOLOGIE]]&gt;U133,Tableau5[[#This Row],[GAIN INFRACTIONS]]&gt;T133), SCORE!K$2,IF(OR(Tableau5[[#This Row],[GAIN ACCIDENTOLOGIE]]&gt;= U133, Tableau5[[#This Row],[GAIN INFRACTIONS]]&gt;=T133), SCORE!K$3,SCORE!K$4))</f>
        <v>MOYEN</v>
      </c>
    </row>
    <row r="60" spans="1:22" x14ac:dyDescent="0.3">
      <c r="A60">
        <f t="shared" si="1"/>
        <v>59</v>
      </c>
      <c r="B60">
        <v>13626</v>
      </c>
      <c r="C60">
        <v>2</v>
      </c>
      <c r="D60" t="s">
        <v>384</v>
      </c>
      <c r="E60" t="s">
        <v>417</v>
      </c>
      <c r="F60">
        <v>120</v>
      </c>
      <c r="G60" s="95">
        <v>10</v>
      </c>
      <c r="H60" t="s">
        <v>212</v>
      </c>
      <c r="I60" t="s">
        <v>212</v>
      </c>
      <c r="J60" t="s">
        <v>211</v>
      </c>
      <c r="K60" t="s">
        <v>212</v>
      </c>
      <c r="L60" s="95">
        <v>20</v>
      </c>
      <c r="M60" t="s">
        <v>143</v>
      </c>
      <c r="N60" t="s">
        <v>143</v>
      </c>
      <c r="O60" t="s">
        <v>143</v>
      </c>
      <c r="P60" t="s">
        <v>143</v>
      </c>
      <c r="Q60">
        <v>0</v>
      </c>
      <c r="R60">
        <v>170</v>
      </c>
      <c r="S60">
        <v>140</v>
      </c>
      <c r="T60" s="82">
        <f t="shared" si="0"/>
        <v>30</v>
      </c>
      <c r="U60">
        <v>0</v>
      </c>
      <c r="V60" t="str">
        <f>IF(AND(Tableau5[[#This Row],[GAIN ACCIDENTOLOGIE]]&gt;U134,Tableau5[[#This Row],[GAIN INFRACTIONS]]&gt;T134), SCORE!K$2,IF(OR(Tableau5[[#This Row],[GAIN ACCIDENTOLOGIE]]&gt;= U134, Tableau5[[#This Row],[GAIN INFRACTIONS]]&gt;=T134), SCORE!K$3,SCORE!K$4))</f>
        <v>MOYEN</v>
      </c>
    </row>
    <row r="61" spans="1:22" x14ac:dyDescent="0.3">
      <c r="A61">
        <f t="shared" si="1"/>
        <v>60</v>
      </c>
      <c r="B61">
        <v>13488</v>
      </c>
      <c r="C61">
        <v>2</v>
      </c>
      <c r="D61" t="s">
        <v>384</v>
      </c>
      <c r="E61" t="s">
        <v>417</v>
      </c>
      <c r="F61">
        <v>120</v>
      </c>
      <c r="G61" s="95">
        <v>10</v>
      </c>
      <c r="H61" t="s">
        <v>211</v>
      </c>
      <c r="I61" t="s">
        <v>211</v>
      </c>
      <c r="J61" t="s">
        <v>211</v>
      </c>
      <c r="K61" t="s">
        <v>212</v>
      </c>
      <c r="L61" s="95">
        <v>20</v>
      </c>
      <c r="M61" t="s">
        <v>147</v>
      </c>
      <c r="N61" t="s">
        <v>143</v>
      </c>
      <c r="O61" t="s">
        <v>144</v>
      </c>
      <c r="P61" t="s">
        <v>143</v>
      </c>
      <c r="Q61">
        <v>217</v>
      </c>
      <c r="R61">
        <v>176</v>
      </c>
      <c r="S61">
        <v>125</v>
      </c>
      <c r="T61" s="82">
        <f t="shared" si="0"/>
        <v>51</v>
      </c>
      <c r="U61">
        <v>6</v>
      </c>
      <c r="V61" t="str">
        <f>IF(AND(Tableau5[[#This Row],[GAIN ACCIDENTOLOGIE]]&gt;U135,Tableau5[[#This Row],[GAIN INFRACTIONS]]&gt;T135), SCORE!K$2,IF(OR(Tableau5[[#This Row],[GAIN ACCIDENTOLOGIE]]&gt;= U135, Tableau5[[#This Row],[GAIN INFRACTIONS]]&gt;=T135), SCORE!K$3,SCORE!K$4))</f>
        <v>BON</v>
      </c>
    </row>
    <row r="62" spans="1:22" x14ac:dyDescent="0.3">
      <c r="A62">
        <f t="shared" si="1"/>
        <v>61</v>
      </c>
      <c r="B62">
        <v>7068.5</v>
      </c>
      <c r="C62">
        <v>2</v>
      </c>
      <c r="D62" t="s">
        <v>384</v>
      </c>
      <c r="E62" t="s">
        <v>417</v>
      </c>
      <c r="F62">
        <v>120</v>
      </c>
      <c r="G62" s="95">
        <v>10</v>
      </c>
      <c r="H62" t="s">
        <v>212</v>
      </c>
      <c r="I62" t="s">
        <v>212</v>
      </c>
      <c r="J62" t="s">
        <v>211</v>
      </c>
      <c r="K62" t="s">
        <v>212</v>
      </c>
      <c r="L62" s="95">
        <v>20</v>
      </c>
      <c r="M62" t="s">
        <v>143</v>
      </c>
      <c r="N62" t="s">
        <v>143</v>
      </c>
      <c r="O62" t="s">
        <v>143</v>
      </c>
      <c r="P62" t="s">
        <v>143</v>
      </c>
      <c r="Q62">
        <v>76</v>
      </c>
      <c r="R62">
        <v>96</v>
      </c>
      <c r="S62">
        <v>93</v>
      </c>
      <c r="T62" s="82">
        <f t="shared" si="0"/>
        <v>3</v>
      </c>
      <c r="U62">
        <v>0</v>
      </c>
      <c r="V62" t="str">
        <f>IF(AND(Tableau5[[#This Row],[GAIN ACCIDENTOLOGIE]]&gt;U136,Tableau5[[#This Row],[GAIN INFRACTIONS]]&gt;T136), SCORE!K$2,IF(OR(Tableau5[[#This Row],[GAIN ACCIDENTOLOGIE]]&gt;= U136, Tableau5[[#This Row],[GAIN INFRACTIONS]]&gt;=T136), SCORE!K$3,SCORE!K$4))</f>
        <v>MOYEN</v>
      </c>
    </row>
    <row r="63" spans="1:22" x14ac:dyDescent="0.3">
      <c r="A63">
        <f t="shared" si="1"/>
        <v>62</v>
      </c>
      <c r="B63">
        <v>7068.5</v>
      </c>
      <c r="C63">
        <v>2</v>
      </c>
      <c r="D63" t="s">
        <v>384</v>
      </c>
      <c r="E63" t="s">
        <v>417</v>
      </c>
      <c r="F63">
        <v>120</v>
      </c>
      <c r="G63" s="95">
        <v>10</v>
      </c>
      <c r="H63" t="s">
        <v>212</v>
      </c>
      <c r="I63" t="s">
        <v>212</v>
      </c>
      <c r="J63" t="s">
        <v>211</v>
      </c>
      <c r="K63" t="s">
        <v>212</v>
      </c>
      <c r="L63" s="95">
        <v>20</v>
      </c>
      <c r="M63" t="s">
        <v>143</v>
      </c>
      <c r="N63" t="s">
        <v>143</v>
      </c>
      <c r="O63" t="s">
        <v>143</v>
      </c>
      <c r="P63" t="s">
        <v>143</v>
      </c>
      <c r="Q63">
        <v>56</v>
      </c>
      <c r="R63">
        <v>69</v>
      </c>
      <c r="S63">
        <v>61</v>
      </c>
      <c r="T63" s="82">
        <f t="shared" si="0"/>
        <v>8</v>
      </c>
      <c r="U63">
        <v>0</v>
      </c>
      <c r="V63" t="str">
        <f>IF(AND(Tableau5[[#This Row],[GAIN ACCIDENTOLOGIE]]&gt;U137,Tableau5[[#This Row],[GAIN INFRACTIONS]]&gt;T137), SCORE!K$2,IF(OR(Tableau5[[#This Row],[GAIN ACCIDENTOLOGIE]]&gt;= U137, Tableau5[[#This Row],[GAIN INFRACTIONS]]&gt;=T137), SCORE!K$3,SCORE!K$4))</f>
        <v>MOYEN</v>
      </c>
    </row>
    <row r="64" spans="1:22" x14ac:dyDescent="0.3">
      <c r="A64">
        <f t="shared" si="1"/>
        <v>63</v>
      </c>
      <c r="B64">
        <v>7201</v>
      </c>
      <c r="C64">
        <v>2</v>
      </c>
      <c r="D64" t="s">
        <v>384</v>
      </c>
      <c r="E64" t="s">
        <v>417</v>
      </c>
      <c r="F64">
        <v>120</v>
      </c>
      <c r="G64" s="95">
        <v>10</v>
      </c>
      <c r="H64" t="s">
        <v>212</v>
      </c>
      <c r="I64" t="s">
        <v>212</v>
      </c>
      <c r="J64" t="s">
        <v>212</v>
      </c>
      <c r="K64" t="s">
        <v>212</v>
      </c>
      <c r="L64" s="95">
        <v>20</v>
      </c>
      <c r="M64" t="s">
        <v>147</v>
      </c>
      <c r="N64" t="s">
        <v>147</v>
      </c>
      <c r="O64" t="s">
        <v>144</v>
      </c>
      <c r="P64" t="s">
        <v>144</v>
      </c>
      <c r="Q64">
        <v>0</v>
      </c>
      <c r="R64">
        <v>120</v>
      </c>
      <c r="S64">
        <v>97</v>
      </c>
      <c r="T64" s="82">
        <f t="shared" si="0"/>
        <v>23</v>
      </c>
      <c r="U64">
        <v>0</v>
      </c>
      <c r="V64" t="str">
        <f>IF(AND(Tableau5[[#This Row],[GAIN ACCIDENTOLOGIE]]&gt;U138,Tableau5[[#This Row],[GAIN INFRACTIONS]]&gt;T138), SCORE!K$2,IF(OR(Tableau5[[#This Row],[GAIN ACCIDENTOLOGIE]]&gt;= U138, Tableau5[[#This Row],[GAIN INFRACTIONS]]&gt;=T138), SCORE!K$3,SCORE!K$4))</f>
        <v>MOYEN</v>
      </c>
    </row>
    <row r="65" spans="1:22" x14ac:dyDescent="0.3">
      <c r="A65">
        <f t="shared" si="1"/>
        <v>64</v>
      </c>
      <c r="B65">
        <v>7201</v>
      </c>
      <c r="C65">
        <v>4</v>
      </c>
      <c r="D65" t="s">
        <v>384</v>
      </c>
      <c r="E65" t="s">
        <v>417</v>
      </c>
      <c r="F65">
        <v>120</v>
      </c>
      <c r="G65" s="95">
        <v>10</v>
      </c>
      <c r="H65" t="s">
        <v>212</v>
      </c>
      <c r="I65" t="s">
        <v>212</v>
      </c>
      <c r="J65" t="s">
        <v>212</v>
      </c>
      <c r="K65" t="s">
        <v>212</v>
      </c>
      <c r="L65" s="95">
        <v>20</v>
      </c>
      <c r="M65" t="s">
        <v>144</v>
      </c>
      <c r="N65" t="s">
        <v>147</v>
      </c>
      <c r="O65" t="s">
        <v>144</v>
      </c>
      <c r="P65" t="s">
        <v>144</v>
      </c>
      <c r="Q65">
        <v>0</v>
      </c>
      <c r="R65">
        <v>0</v>
      </c>
      <c r="S65">
        <v>0</v>
      </c>
      <c r="T65" s="97">
        <v>82.085106382978722</v>
      </c>
      <c r="U65">
        <v>2</v>
      </c>
      <c r="V65" t="str">
        <f>IF(AND(Tableau5[[#This Row],[GAIN ACCIDENTOLOGIE]]&gt;U139,Tableau5[[#This Row],[GAIN INFRACTIONS]]&gt;T139), SCORE!K$2,IF(OR(Tableau5[[#This Row],[GAIN ACCIDENTOLOGIE]]&gt;= U139, Tableau5[[#This Row],[GAIN INFRACTIONS]]&gt;=T139), SCORE!K$3,SCORE!K$4))</f>
        <v>BON</v>
      </c>
    </row>
    <row r="66" spans="1:22" x14ac:dyDescent="0.3">
      <c r="A66">
        <f t="shared" si="1"/>
        <v>65</v>
      </c>
      <c r="B66">
        <v>7201</v>
      </c>
      <c r="C66">
        <v>2</v>
      </c>
      <c r="D66" t="s">
        <v>384</v>
      </c>
      <c r="E66" t="s">
        <v>417</v>
      </c>
      <c r="F66">
        <v>120</v>
      </c>
      <c r="G66" s="95">
        <v>10</v>
      </c>
      <c r="H66" t="s">
        <v>211</v>
      </c>
      <c r="I66" t="s">
        <v>212</v>
      </c>
      <c r="J66" t="s">
        <v>212</v>
      </c>
      <c r="K66" t="s">
        <v>212</v>
      </c>
      <c r="L66" s="95">
        <v>20</v>
      </c>
      <c r="M66" t="s">
        <v>143</v>
      </c>
      <c r="N66" t="s">
        <v>147</v>
      </c>
      <c r="O66" t="s">
        <v>143</v>
      </c>
      <c r="P66" t="s">
        <v>144</v>
      </c>
      <c r="Q66">
        <v>0</v>
      </c>
      <c r="R66">
        <v>30</v>
      </c>
      <c r="S66">
        <v>21</v>
      </c>
      <c r="T66" s="82">
        <f t="shared" si="0"/>
        <v>9</v>
      </c>
      <c r="U66">
        <v>-6</v>
      </c>
      <c r="V66" t="str">
        <f>IF(AND(Tableau5[[#This Row],[GAIN ACCIDENTOLOGIE]]&gt;U140,Tableau5[[#This Row],[GAIN INFRACTIONS]]&gt;T140), SCORE!K$2,IF(OR(Tableau5[[#This Row],[GAIN ACCIDENTOLOGIE]]&gt;= U140, Tableau5[[#This Row],[GAIN INFRACTIONS]]&gt;=T140), SCORE!K$3,SCORE!K$4))</f>
        <v>MOYEN</v>
      </c>
    </row>
    <row r="67" spans="1:22" x14ac:dyDescent="0.3">
      <c r="A67">
        <f t="shared" si="1"/>
        <v>66</v>
      </c>
      <c r="B67">
        <v>7104.5</v>
      </c>
      <c r="C67">
        <v>2</v>
      </c>
      <c r="D67" t="s">
        <v>384</v>
      </c>
      <c r="E67" t="s">
        <v>417</v>
      </c>
      <c r="F67">
        <v>120</v>
      </c>
      <c r="G67" s="95">
        <v>10</v>
      </c>
      <c r="H67" t="s">
        <v>211</v>
      </c>
      <c r="I67" t="s">
        <v>211</v>
      </c>
      <c r="J67" t="s">
        <v>211</v>
      </c>
      <c r="K67" t="s">
        <v>212</v>
      </c>
      <c r="L67" s="95">
        <v>20</v>
      </c>
      <c r="M67" t="s">
        <v>144</v>
      </c>
      <c r="N67" t="s">
        <v>146</v>
      </c>
      <c r="O67" t="s">
        <v>144</v>
      </c>
      <c r="P67" t="s">
        <v>144</v>
      </c>
      <c r="Q67">
        <v>0</v>
      </c>
      <c r="R67">
        <v>117</v>
      </c>
      <c r="S67">
        <v>95</v>
      </c>
      <c r="T67" s="82">
        <f t="shared" ref="T67:T75" si="2">IF(AND(S67&gt;10,R67&gt;10), R67-S67,IF(AND(Q67&gt;10,R67&gt;10),Q67-R67, -1))</f>
        <v>22</v>
      </c>
      <c r="U67">
        <v>1</v>
      </c>
      <c r="V67" t="str">
        <f>IF(AND(Tableau5[[#This Row],[GAIN ACCIDENTOLOGIE]]&gt;U141,Tableau5[[#This Row],[GAIN INFRACTIONS]]&gt;T141), SCORE!K$2,IF(OR(Tableau5[[#This Row],[GAIN ACCIDENTOLOGIE]]&gt;= U141, Tableau5[[#This Row],[GAIN INFRACTIONS]]&gt;=T141), SCORE!K$3,SCORE!K$4))</f>
        <v>BON</v>
      </c>
    </row>
    <row r="68" spans="1:22" x14ac:dyDescent="0.3">
      <c r="A68">
        <f t="shared" ref="A68:A75" si="3">A67+1</f>
        <v>67</v>
      </c>
      <c r="B68">
        <v>13287.5</v>
      </c>
      <c r="C68">
        <v>2</v>
      </c>
      <c r="D68" t="s">
        <v>384</v>
      </c>
      <c r="E68" t="s">
        <v>417</v>
      </c>
      <c r="F68">
        <v>120</v>
      </c>
      <c r="G68" s="95">
        <v>10</v>
      </c>
      <c r="H68" t="s">
        <v>211</v>
      </c>
      <c r="I68" t="s">
        <v>212</v>
      </c>
      <c r="J68" t="s">
        <v>211</v>
      </c>
      <c r="K68" t="s">
        <v>212</v>
      </c>
      <c r="L68" s="95">
        <v>20</v>
      </c>
      <c r="M68" t="s">
        <v>143</v>
      </c>
      <c r="N68" t="s">
        <v>143</v>
      </c>
      <c r="O68" t="s">
        <v>143</v>
      </c>
      <c r="P68" t="s">
        <v>143</v>
      </c>
      <c r="Q68">
        <v>0</v>
      </c>
      <c r="R68">
        <v>0</v>
      </c>
      <c r="S68">
        <v>0</v>
      </c>
      <c r="T68" s="97">
        <v>82.085106382978722</v>
      </c>
      <c r="U68">
        <v>0</v>
      </c>
      <c r="V68" t="str">
        <f>IF(AND(Tableau5[[#This Row],[GAIN ACCIDENTOLOGIE]]&gt;U142,Tableau5[[#This Row],[GAIN INFRACTIONS]]&gt;T142), SCORE!K$2,IF(OR(Tableau5[[#This Row],[GAIN ACCIDENTOLOGIE]]&gt;= U142, Tableau5[[#This Row],[GAIN INFRACTIONS]]&gt;=T142), SCORE!K$3,SCORE!K$4))</f>
        <v>MOYEN</v>
      </c>
    </row>
    <row r="69" spans="1:22" x14ac:dyDescent="0.3">
      <c r="A69">
        <f t="shared" si="3"/>
        <v>68</v>
      </c>
      <c r="B69">
        <v>13287.5</v>
      </c>
      <c r="C69">
        <v>2</v>
      </c>
      <c r="D69" t="s">
        <v>384</v>
      </c>
      <c r="E69" t="s">
        <v>417</v>
      </c>
      <c r="F69">
        <v>120</v>
      </c>
      <c r="G69" s="95">
        <v>10</v>
      </c>
      <c r="H69" t="s">
        <v>211</v>
      </c>
      <c r="I69" t="s">
        <v>212</v>
      </c>
      <c r="J69" t="s">
        <v>211</v>
      </c>
      <c r="K69" t="s">
        <v>212</v>
      </c>
      <c r="L69" s="95">
        <v>20</v>
      </c>
      <c r="M69" t="s">
        <v>143</v>
      </c>
      <c r="N69" t="s">
        <v>143</v>
      </c>
      <c r="O69" t="s">
        <v>143</v>
      </c>
      <c r="P69" t="s">
        <v>143</v>
      </c>
      <c r="Q69">
        <v>0</v>
      </c>
      <c r="R69">
        <v>0</v>
      </c>
      <c r="S69">
        <v>0</v>
      </c>
      <c r="T69" s="97">
        <v>82.085106382978722</v>
      </c>
      <c r="U69">
        <v>0</v>
      </c>
      <c r="V69" t="str">
        <f>IF(AND(Tableau5[[#This Row],[GAIN ACCIDENTOLOGIE]]&gt;U143,Tableau5[[#This Row],[GAIN INFRACTIONS]]&gt;T143), SCORE!K$2,IF(OR(Tableau5[[#This Row],[GAIN ACCIDENTOLOGIE]]&gt;= U143, Tableau5[[#This Row],[GAIN INFRACTIONS]]&gt;=T143), SCORE!K$3,SCORE!K$4))</f>
        <v>MOYEN</v>
      </c>
    </row>
    <row r="70" spans="1:22" x14ac:dyDescent="0.3">
      <c r="A70">
        <f t="shared" si="3"/>
        <v>69</v>
      </c>
      <c r="B70">
        <v>13806.5</v>
      </c>
      <c r="C70">
        <v>2</v>
      </c>
      <c r="D70" t="s">
        <v>384</v>
      </c>
      <c r="E70" t="s">
        <v>417</v>
      </c>
      <c r="F70">
        <v>120</v>
      </c>
      <c r="G70" s="95">
        <v>10</v>
      </c>
      <c r="H70" t="s">
        <v>212</v>
      </c>
      <c r="I70" t="s">
        <v>212</v>
      </c>
      <c r="J70" t="s">
        <v>211</v>
      </c>
      <c r="K70" t="s">
        <v>212</v>
      </c>
      <c r="L70" s="95">
        <v>20</v>
      </c>
      <c r="M70" t="s">
        <v>144</v>
      </c>
      <c r="N70" t="s">
        <v>143</v>
      </c>
      <c r="O70" t="s">
        <v>144</v>
      </c>
      <c r="P70" t="s">
        <v>143</v>
      </c>
      <c r="Q70">
        <v>0</v>
      </c>
      <c r="R70">
        <v>139</v>
      </c>
      <c r="S70">
        <v>100</v>
      </c>
      <c r="T70" s="82">
        <f t="shared" si="2"/>
        <v>39</v>
      </c>
      <c r="U70">
        <v>8</v>
      </c>
      <c r="V70" t="str">
        <f>IF(AND(Tableau5[[#This Row],[GAIN ACCIDENTOLOGIE]]&gt;U144,Tableau5[[#This Row],[GAIN INFRACTIONS]]&gt;T144), SCORE!K$2,IF(OR(Tableau5[[#This Row],[GAIN ACCIDENTOLOGIE]]&gt;= U144, Tableau5[[#This Row],[GAIN INFRACTIONS]]&gt;=T144), SCORE!K$3,SCORE!K$4))</f>
        <v>BON</v>
      </c>
    </row>
    <row r="71" spans="1:22" x14ac:dyDescent="0.3">
      <c r="A71">
        <f t="shared" si="3"/>
        <v>70</v>
      </c>
      <c r="B71">
        <v>3602</v>
      </c>
      <c r="C71">
        <v>2</v>
      </c>
      <c r="D71" t="s">
        <v>384</v>
      </c>
      <c r="E71" t="s">
        <v>417</v>
      </c>
      <c r="F71">
        <v>120</v>
      </c>
      <c r="G71" s="95">
        <v>10</v>
      </c>
      <c r="H71" t="s">
        <v>211</v>
      </c>
      <c r="I71" t="s">
        <v>212</v>
      </c>
      <c r="J71" t="s">
        <v>212</v>
      </c>
      <c r="K71" t="s">
        <v>212</v>
      </c>
      <c r="L71" s="95">
        <v>20</v>
      </c>
      <c r="M71" t="s">
        <v>143</v>
      </c>
      <c r="N71" t="s">
        <v>143</v>
      </c>
      <c r="O71" t="s">
        <v>143</v>
      </c>
      <c r="P71" t="s">
        <v>143</v>
      </c>
      <c r="Q71">
        <v>8</v>
      </c>
      <c r="R71">
        <v>9</v>
      </c>
      <c r="S71">
        <v>37</v>
      </c>
      <c r="T71" s="97">
        <v>82.085106382978722</v>
      </c>
      <c r="U71">
        <v>0</v>
      </c>
      <c r="V71" t="str">
        <f>IF(AND(Tableau5[[#This Row],[GAIN ACCIDENTOLOGIE]]&gt;U145,Tableau5[[#This Row],[GAIN INFRACTIONS]]&gt;T145), SCORE!K$2,IF(OR(Tableau5[[#This Row],[GAIN ACCIDENTOLOGIE]]&gt;= U145, Tableau5[[#This Row],[GAIN INFRACTIONS]]&gt;=T145), SCORE!K$3,SCORE!K$4))</f>
        <v>MOYEN</v>
      </c>
    </row>
    <row r="72" spans="1:22" x14ac:dyDescent="0.3">
      <c r="A72">
        <f t="shared" si="3"/>
        <v>71</v>
      </c>
      <c r="B72">
        <v>3602</v>
      </c>
      <c r="C72">
        <v>2</v>
      </c>
      <c r="D72" t="s">
        <v>384</v>
      </c>
      <c r="E72" t="s">
        <v>417</v>
      </c>
      <c r="F72">
        <v>120</v>
      </c>
      <c r="G72" s="95">
        <v>10</v>
      </c>
      <c r="H72" t="s">
        <v>211</v>
      </c>
      <c r="I72" t="s">
        <v>212</v>
      </c>
      <c r="J72" t="s">
        <v>212</v>
      </c>
      <c r="K72" t="s">
        <v>212</v>
      </c>
      <c r="L72" s="95">
        <v>20</v>
      </c>
      <c r="M72" t="s">
        <v>143</v>
      </c>
      <c r="N72" t="s">
        <v>143</v>
      </c>
      <c r="O72" t="s">
        <v>143</v>
      </c>
      <c r="P72" t="s">
        <v>143</v>
      </c>
      <c r="Q72">
        <v>0</v>
      </c>
      <c r="R72">
        <v>26</v>
      </c>
      <c r="S72">
        <v>34</v>
      </c>
      <c r="T72" s="82">
        <f t="shared" si="2"/>
        <v>-8</v>
      </c>
      <c r="U72">
        <v>0</v>
      </c>
      <c r="V72" t="str">
        <f>IF(AND(Tableau5[[#This Row],[GAIN ACCIDENTOLOGIE]]&gt;U146,Tableau5[[#This Row],[GAIN INFRACTIONS]]&gt;T146), SCORE!K$2,IF(OR(Tableau5[[#This Row],[GAIN ACCIDENTOLOGIE]]&gt;= U146, Tableau5[[#This Row],[GAIN INFRACTIONS]]&gt;=T146), SCORE!K$3,SCORE!K$4))</f>
        <v>MOYEN</v>
      </c>
    </row>
    <row r="73" spans="1:22" x14ac:dyDescent="0.3">
      <c r="A73">
        <f t="shared" si="3"/>
        <v>72</v>
      </c>
      <c r="B73">
        <v>11923</v>
      </c>
      <c r="C73">
        <v>2</v>
      </c>
      <c r="D73" t="s">
        <v>384</v>
      </c>
      <c r="E73" t="s">
        <v>417</v>
      </c>
      <c r="F73">
        <v>120</v>
      </c>
      <c r="G73" s="95">
        <v>10</v>
      </c>
      <c r="H73" t="s">
        <v>211</v>
      </c>
      <c r="I73" t="s">
        <v>212</v>
      </c>
      <c r="J73" t="s">
        <v>211</v>
      </c>
      <c r="K73" t="s">
        <v>212</v>
      </c>
      <c r="L73" s="95">
        <v>20</v>
      </c>
      <c r="M73" t="s">
        <v>144</v>
      </c>
      <c r="N73" t="s">
        <v>144</v>
      </c>
      <c r="O73" t="s">
        <v>144</v>
      </c>
      <c r="P73" t="s">
        <v>144</v>
      </c>
      <c r="Q73">
        <v>0</v>
      </c>
      <c r="R73">
        <v>113</v>
      </c>
      <c r="S73">
        <v>109</v>
      </c>
      <c r="T73" s="82">
        <f t="shared" si="2"/>
        <v>4</v>
      </c>
      <c r="U73">
        <v>0</v>
      </c>
      <c r="V73" t="str">
        <f>IF(AND(Tableau5[[#This Row],[GAIN ACCIDENTOLOGIE]]&gt;U147,Tableau5[[#This Row],[GAIN INFRACTIONS]]&gt;T147), SCORE!K$2,IF(OR(Tableau5[[#This Row],[GAIN ACCIDENTOLOGIE]]&gt;= U147, Tableau5[[#This Row],[GAIN INFRACTIONS]]&gt;=T147), SCORE!K$3,SCORE!K$4))</f>
        <v>MOYEN</v>
      </c>
    </row>
    <row r="74" spans="1:22" x14ac:dyDescent="0.3">
      <c r="A74">
        <f t="shared" si="3"/>
        <v>73</v>
      </c>
      <c r="B74">
        <v>15813</v>
      </c>
      <c r="C74">
        <v>2</v>
      </c>
      <c r="D74" t="s">
        <v>384</v>
      </c>
      <c r="E74" t="s">
        <v>417</v>
      </c>
      <c r="F74">
        <v>120</v>
      </c>
      <c r="G74" s="95">
        <v>10</v>
      </c>
      <c r="H74" t="s">
        <v>211</v>
      </c>
      <c r="I74" t="s">
        <v>212</v>
      </c>
      <c r="J74" t="s">
        <v>211</v>
      </c>
      <c r="K74" t="s">
        <v>212</v>
      </c>
      <c r="L74" s="95">
        <v>20</v>
      </c>
      <c r="M74" t="s">
        <v>143</v>
      </c>
      <c r="N74" t="s">
        <v>147</v>
      </c>
      <c r="O74" t="s">
        <v>143</v>
      </c>
      <c r="P74" t="s">
        <v>144</v>
      </c>
      <c r="Q74">
        <v>0</v>
      </c>
      <c r="R74">
        <v>26</v>
      </c>
      <c r="S74">
        <v>34</v>
      </c>
      <c r="T74" s="82">
        <f t="shared" si="2"/>
        <v>-8</v>
      </c>
      <c r="U74">
        <v>-6</v>
      </c>
      <c r="V74" t="str">
        <f>IF(AND(Tableau5[[#This Row],[GAIN ACCIDENTOLOGIE]]&gt;U148,Tableau5[[#This Row],[GAIN INFRACTIONS]]&gt;T148), SCORE!K$2,IF(OR(Tableau5[[#This Row],[GAIN ACCIDENTOLOGIE]]&gt;= U148, Tableau5[[#This Row],[GAIN INFRACTIONS]]&gt;=T148), SCORE!K$3,SCORE!K$4))</f>
        <v>MAUVAIS</v>
      </c>
    </row>
    <row r="75" spans="1:22" x14ac:dyDescent="0.3">
      <c r="A75">
        <f t="shared" si="3"/>
        <v>74</v>
      </c>
      <c r="B75">
        <v>14343.5</v>
      </c>
      <c r="C75">
        <v>2</v>
      </c>
      <c r="D75" t="s">
        <v>384</v>
      </c>
      <c r="E75" t="s">
        <v>417</v>
      </c>
      <c r="F75">
        <v>120</v>
      </c>
      <c r="G75" s="95">
        <v>10</v>
      </c>
      <c r="H75" t="s">
        <v>212</v>
      </c>
      <c r="I75" t="s">
        <v>212</v>
      </c>
      <c r="J75" t="s">
        <v>211</v>
      </c>
      <c r="K75" t="s">
        <v>212</v>
      </c>
      <c r="L75" s="95">
        <v>20</v>
      </c>
      <c r="M75" t="s">
        <v>144</v>
      </c>
      <c r="N75" t="s">
        <v>144</v>
      </c>
      <c r="O75" t="s">
        <v>144</v>
      </c>
      <c r="P75" t="s">
        <v>144</v>
      </c>
      <c r="Q75">
        <v>0</v>
      </c>
      <c r="R75">
        <v>85</v>
      </c>
      <c r="S75">
        <v>67</v>
      </c>
      <c r="T75" s="82">
        <f t="shared" si="2"/>
        <v>18</v>
      </c>
      <c r="U75">
        <v>0</v>
      </c>
      <c r="V75" t="str">
        <f>IF(AND(Tableau5[[#This Row],[GAIN ACCIDENTOLOGIE]]&gt;U149,Tableau5[[#This Row],[GAIN INFRACTIONS]]&gt;T149), SCORE!K$2,IF(OR(Tableau5[[#This Row],[GAIN ACCIDENTOLOGIE]]&gt;= U149, Tableau5[[#This Row],[GAIN INFRACTIONS]]&gt;=T149), SCORE!K$3,SCORE!K$4))</f>
        <v>MOYEN</v>
      </c>
    </row>
    <row r="76" spans="1:22" x14ac:dyDescent="0.3">
      <c r="C76" s="96">
        <f>AVERAGE(C2:C75)</f>
        <v>2.5890410958904111</v>
      </c>
      <c r="T76" s="97">
        <f xml:space="preserve"> AVERAGEIF(T2:T75,"&lt;&gt; -1")</f>
        <v>82.085106382978708</v>
      </c>
      <c r="U76" s="1">
        <f>AVERAGEIF(U2:U75,"&lt;&gt; 0")</f>
        <v>0.5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workbookViewId="0">
      <selection activeCell="O6" sqref="O6"/>
    </sheetView>
  </sheetViews>
  <sheetFormatPr baseColWidth="10" defaultRowHeight="14.4" x14ac:dyDescent="0.3"/>
  <cols>
    <col min="4" max="4" width="13.6640625" bestFit="1" customWidth="1"/>
    <col min="5" max="5" width="13.5546875" bestFit="1" customWidth="1"/>
    <col min="6" max="6" width="11.5546875" style="82"/>
    <col min="7" max="7" width="13.88671875" bestFit="1" customWidth="1"/>
    <col min="9" max="9" width="14.5546875" bestFit="1" customWidth="1"/>
    <col min="10" max="10" width="12.33203125" bestFit="1" customWidth="1"/>
    <col min="13" max="13" width="17.88671875" bestFit="1" customWidth="1"/>
  </cols>
  <sheetData>
    <row r="1" spans="1:13" x14ac:dyDescent="0.3">
      <c r="A1" t="s">
        <v>471</v>
      </c>
      <c r="B1" t="s">
        <v>366</v>
      </c>
      <c r="C1" t="s">
        <v>367</v>
      </c>
      <c r="D1" t="s">
        <v>437</v>
      </c>
      <c r="E1" t="s">
        <v>5</v>
      </c>
      <c r="F1" s="82" t="s">
        <v>489</v>
      </c>
      <c r="G1" t="s">
        <v>491</v>
      </c>
      <c r="H1" t="s">
        <v>490</v>
      </c>
      <c r="I1" t="s">
        <v>492</v>
      </c>
      <c r="J1" t="s">
        <v>280</v>
      </c>
      <c r="K1" t="s">
        <v>493</v>
      </c>
      <c r="L1" t="s">
        <v>494</v>
      </c>
      <c r="M1" t="s">
        <v>495</v>
      </c>
    </row>
    <row r="2" spans="1:13" x14ac:dyDescent="0.3">
      <c r="A2" s="7">
        <v>10588</v>
      </c>
      <c r="B2">
        <v>6</v>
      </c>
      <c r="C2" t="s">
        <v>384</v>
      </c>
      <c r="D2" t="s">
        <v>371</v>
      </c>
      <c r="E2">
        <v>60</v>
      </c>
      <c r="F2" s="7">
        <v>0.34</v>
      </c>
      <c r="G2" t="s">
        <v>212</v>
      </c>
      <c r="H2" t="s">
        <v>212</v>
      </c>
      <c r="I2" t="s">
        <v>212</v>
      </c>
      <c r="J2" t="s">
        <v>212</v>
      </c>
      <c r="K2" s="7">
        <v>13.8</v>
      </c>
      <c r="L2">
        <v>1</v>
      </c>
      <c r="M2" t="s">
        <v>496</v>
      </c>
    </row>
    <row r="3" spans="1:13" x14ac:dyDescent="0.3">
      <c r="A3" s="7">
        <v>10588</v>
      </c>
      <c r="B3">
        <v>6</v>
      </c>
      <c r="C3" t="s">
        <v>384</v>
      </c>
      <c r="D3" t="s">
        <v>371</v>
      </c>
      <c r="E3">
        <v>60</v>
      </c>
      <c r="F3" s="7">
        <v>0.34</v>
      </c>
      <c r="G3" t="s">
        <v>212</v>
      </c>
      <c r="H3" t="s">
        <v>212</v>
      </c>
      <c r="I3" t="s">
        <v>212</v>
      </c>
      <c r="J3" t="s">
        <v>212</v>
      </c>
      <c r="K3" s="7">
        <v>13.8</v>
      </c>
      <c r="L3">
        <v>1</v>
      </c>
      <c r="M3" t="s">
        <v>497</v>
      </c>
    </row>
    <row r="4" spans="1:13" x14ac:dyDescent="0.3">
      <c r="A4" s="7">
        <v>11002.5</v>
      </c>
      <c r="B4">
        <v>3</v>
      </c>
      <c r="C4" t="s">
        <v>385</v>
      </c>
      <c r="D4" t="s">
        <v>371</v>
      </c>
      <c r="E4">
        <v>80</v>
      </c>
      <c r="F4" s="7">
        <v>1.55</v>
      </c>
      <c r="G4" t="s">
        <v>212</v>
      </c>
      <c r="H4" t="s">
        <v>212</v>
      </c>
      <c r="I4" t="s">
        <v>212</v>
      </c>
      <c r="J4" t="s">
        <v>211</v>
      </c>
      <c r="K4" s="7">
        <v>2</v>
      </c>
      <c r="L4">
        <v>1</v>
      </c>
      <c r="M4" t="s">
        <v>498</v>
      </c>
    </row>
    <row r="5" spans="1:13" x14ac:dyDescent="0.3">
      <c r="A5" s="7">
        <v>11002.5</v>
      </c>
      <c r="B5">
        <v>2</v>
      </c>
      <c r="C5" t="s">
        <v>385</v>
      </c>
      <c r="D5" t="s">
        <v>371</v>
      </c>
      <c r="E5">
        <v>80</v>
      </c>
      <c r="F5" s="7">
        <v>1.55</v>
      </c>
      <c r="G5" t="s">
        <v>212</v>
      </c>
      <c r="H5" t="s">
        <v>212</v>
      </c>
      <c r="I5" t="s">
        <v>212</v>
      </c>
      <c r="J5" t="s">
        <v>211</v>
      </c>
      <c r="K5" s="7">
        <v>2</v>
      </c>
      <c r="L5">
        <v>1</v>
      </c>
      <c r="M5" t="s">
        <v>499</v>
      </c>
    </row>
    <row r="6" spans="1:13" x14ac:dyDescent="0.3">
      <c r="A6" s="7">
        <v>4785.5</v>
      </c>
      <c r="B6">
        <v>2</v>
      </c>
      <c r="C6" t="s">
        <v>385</v>
      </c>
      <c r="D6" t="s">
        <v>371</v>
      </c>
      <c r="E6">
        <v>60</v>
      </c>
      <c r="F6" s="7">
        <v>1.56</v>
      </c>
      <c r="G6" t="s">
        <v>212</v>
      </c>
      <c r="H6" t="s">
        <v>212</v>
      </c>
      <c r="I6" t="s">
        <v>212</v>
      </c>
      <c r="J6" t="s">
        <v>211</v>
      </c>
      <c r="K6" s="7">
        <v>1</v>
      </c>
      <c r="L6">
        <v>1</v>
      </c>
      <c r="M6" t="s">
        <v>500</v>
      </c>
    </row>
    <row r="7" spans="1:13" x14ac:dyDescent="0.3">
      <c r="A7" s="7">
        <v>3727</v>
      </c>
      <c r="B7">
        <v>2</v>
      </c>
      <c r="C7" t="s">
        <v>384</v>
      </c>
      <c r="D7" t="s">
        <v>371</v>
      </c>
      <c r="E7">
        <v>60</v>
      </c>
      <c r="F7" s="7">
        <v>0.44</v>
      </c>
      <c r="G7" t="s">
        <v>212</v>
      </c>
      <c r="H7" t="s">
        <v>212</v>
      </c>
      <c r="I7" t="s">
        <v>212</v>
      </c>
      <c r="J7" t="s">
        <v>212</v>
      </c>
      <c r="K7" s="7">
        <v>5.68</v>
      </c>
      <c r="L7">
        <v>1</v>
      </c>
      <c r="M7" t="s">
        <v>501</v>
      </c>
    </row>
    <row r="8" spans="1:13" x14ac:dyDescent="0.3">
      <c r="A8" s="7">
        <v>10032.5</v>
      </c>
      <c r="B8">
        <v>2</v>
      </c>
      <c r="C8" t="s">
        <v>385</v>
      </c>
      <c r="D8" t="s">
        <v>371</v>
      </c>
      <c r="E8">
        <v>60</v>
      </c>
      <c r="F8" s="7">
        <v>1.56</v>
      </c>
      <c r="G8" t="s">
        <v>212</v>
      </c>
      <c r="H8" t="s">
        <v>212</v>
      </c>
      <c r="I8" t="s">
        <v>212</v>
      </c>
      <c r="J8" t="s">
        <v>211</v>
      </c>
      <c r="K8" s="7">
        <v>1</v>
      </c>
      <c r="L8">
        <v>0</v>
      </c>
      <c r="M8" t="s">
        <v>502</v>
      </c>
    </row>
    <row r="9" spans="1:13" x14ac:dyDescent="0.3">
      <c r="A9" s="7">
        <v>10032.5</v>
      </c>
      <c r="B9">
        <v>2</v>
      </c>
      <c r="C9" t="s">
        <v>385</v>
      </c>
      <c r="D9" t="s">
        <v>371</v>
      </c>
      <c r="E9">
        <v>60</v>
      </c>
      <c r="F9" s="7">
        <v>1.56</v>
      </c>
      <c r="G9" t="s">
        <v>212</v>
      </c>
      <c r="H9" t="s">
        <v>212</v>
      </c>
      <c r="I9" t="s">
        <v>212</v>
      </c>
      <c r="J9" t="s">
        <v>211</v>
      </c>
      <c r="K9" s="7">
        <v>1</v>
      </c>
      <c r="L9">
        <v>0</v>
      </c>
      <c r="M9" t="s">
        <v>503</v>
      </c>
    </row>
    <row r="10" spans="1:13" x14ac:dyDescent="0.3">
      <c r="A10" s="7">
        <v>10032.5</v>
      </c>
      <c r="B10">
        <v>4</v>
      </c>
      <c r="C10" t="s">
        <v>384</v>
      </c>
      <c r="D10" t="s">
        <v>417</v>
      </c>
      <c r="E10">
        <v>60</v>
      </c>
      <c r="F10" s="7">
        <v>14</v>
      </c>
      <c r="G10" t="s">
        <v>212</v>
      </c>
      <c r="H10" t="s">
        <v>212</v>
      </c>
      <c r="I10" t="s">
        <v>212</v>
      </c>
      <c r="J10" t="s">
        <v>212</v>
      </c>
      <c r="K10" s="7">
        <v>12.2</v>
      </c>
      <c r="L10">
        <v>0</v>
      </c>
      <c r="M10" t="s">
        <v>504</v>
      </c>
    </row>
    <row r="11" spans="1:13" x14ac:dyDescent="0.3">
      <c r="A11" s="7">
        <v>15627.5</v>
      </c>
      <c r="B11">
        <v>2</v>
      </c>
      <c r="C11" t="s">
        <v>385</v>
      </c>
      <c r="D11" t="s">
        <v>371</v>
      </c>
      <c r="E11">
        <v>60</v>
      </c>
      <c r="F11" s="7">
        <v>10</v>
      </c>
      <c r="G11" t="s">
        <v>212</v>
      </c>
      <c r="H11" t="s">
        <v>212</v>
      </c>
      <c r="I11" t="s">
        <v>212</v>
      </c>
      <c r="J11" t="s">
        <v>212</v>
      </c>
      <c r="K11" s="7">
        <v>9.443287671232877</v>
      </c>
      <c r="L11">
        <v>1</v>
      </c>
      <c r="M11" t="s">
        <v>505</v>
      </c>
    </row>
    <row r="12" spans="1:13" x14ac:dyDescent="0.3">
      <c r="A12" s="7">
        <v>15627.5</v>
      </c>
      <c r="B12">
        <v>3</v>
      </c>
      <c r="C12" t="s">
        <v>384</v>
      </c>
      <c r="D12" t="s">
        <v>371</v>
      </c>
      <c r="E12">
        <v>60</v>
      </c>
      <c r="F12" s="7">
        <v>1.23</v>
      </c>
      <c r="G12" t="s">
        <v>212</v>
      </c>
      <c r="H12" t="s">
        <v>212</v>
      </c>
      <c r="I12" t="s">
        <v>212</v>
      </c>
      <c r="J12" t="s">
        <v>211</v>
      </c>
      <c r="K12" s="7">
        <v>1</v>
      </c>
      <c r="L12">
        <v>1</v>
      </c>
      <c r="M12" t="s">
        <v>506</v>
      </c>
    </row>
    <row r="13" spans="1:13" x14ac:dyDescent="0.3">
      <c r="A13" s="7">
        <v>7155</v>
      </c>
      <c r="B13">
        <v>2</v>
      </c>
      <c r="C13" t="s">
        <v>384</v>
      </c>
      <c r="D13" t="s">
        <v>371</v>
      </c>
      <c r="E13">
        <v>80</v>
      </c>
      <c r="F13" s="7">
        <v>3.5</v>
      </c>
      <c r="G13" t="s">
        <v>212</v>
      </c>
      <c r="H13" t="s">
        <v>212</v>
      </c>
      <c r="I13" t="s">
        <v>212</v>
      </c>
      <c r="J13" t="s">
        <v>211</v>
      </c>
      <c r="K13" s="7">
        <v>1</v>
      </c>
      <c r="L13">
        <v>0</v>
      </c>
      <c r="M13" t="s">
        <v>507</v>
      </c>
    </row>
    <row r="14" spans="1:13" x14ac:dyDescent="0.3">
      <c r="A14" s="7">
        <v>10693</v>
      </c>
      <c r="B14">
        <v>4</v>
      </c>
      <c r="C14" t="s">
        <v>384</v>
      </c>
      <c r="D14" t="s">
        <v>386</v>
      </c>
      <c r="E14">
        <v>60</v>
      </c>
      <c r="F14" s="7">
        <v>0.55000000000000004</v>
      </c>
      <c r="G14" t="s">
        <v>212</v>
      </c>
      <c r="H14" t="s">
        <v>212</v>
      </c>
      <c r="I14" t="s">
        <v>212</v>
      </c>
      <c r="J14" t="s">
        <v>211</v>
      </c>
      <c r="K14" s="7">
        <v>1</v>
      </c>
      <c r="L14">
        <v>1</v>
      </c>
      <c r="M14" t="s">
        <v>508</v>
      </c>
    </row>
    <row r="15" spans="1:13" x14ac:dyDescent="0.3">
      <c r="A15" s="7">
        <v>10693</v>
      </c>
      <c r="B15">
        <v>4</v>
      </c>
      <c r="C15" t="s">
        <v>384</v>
      </c>
      <c r="D15" t="s">
        <v>386</v>
      </c>
      <c r="E15">
        <v>60</v>
      </c>
      <c r="F15" s="7">
        <v>0.55000000000000004</v>
      </c>
      <c r="G15" t="s">
        <v>212</v>
      </c>
      <c r="H15" t="s">
        <v>212</v>
      </c>
      <c r="I15" t="s">
        <v>212</v>
      </c>
      <c r="J15" t="s">
        <v>211</v>
      </c>
      <c r="K15" s="7">
        <v>1</v>
      </c>
      <c r="L15">
        <v>0</v>
      </c>
      <c r="M15" t="s">
        <v>509</v>
      </c>
    </row>
    <row r="16" spans="1:13" x14ac:dyDescent="0.3">
      <c r="A16" s="7">
        <v>7499.5</v>
      </c>
      <c r="B16">
        <v>2</v>
      </c>
      <c r="C16" t="s">
        <v>384</v>
      </c>
      <c r="D16" t="s">
        <v>371</v>
      </c>
      <c r="E16">
        <v>80</v>
      </c>
      <c r="F16" s="7">
        <v>2.7</v>
      </c>
      <c r="G16" t="s">
        <v>212</v>
      </c>
      <c r="H16" t="s">
        <v>212</v>
      </c>
      <c r="I16" t="s">
        <v>212</v>
      </c>
      <c r="J16" t="s">
        <v>211</v>
      </c>
      <c r="K16" s="7">
        <v>2.2000000000000002</v>
      </c>
      <c r="L16">
        <v>1</v>
      </c>
      <c r="M16" t="s">
        <v>510</v>
      </c>
    </row>
    <row r="17" spans="1:13" x14ac:dyDescent="0.3">
      <c r="A17" s="7">
        <v>13840</v>
      </c>
      <c r="B17">
        <v>2</v>
      </c>
      <c r="C17" t="s">
        <v>385</v>
      </c>
      <c r="D17" t="s">
        <v>371</v>
      </c>
      <c r="E17">
        <v>80</v>
      </c>
      <c r="F17" s="7">
        <v>0.31</v>
      </c>
      <c r="G17" t="s">
        <v>212</v>
      </c>
      <c r="H17" t="s">
        <v>212</v>
      </c>
      <c r="I17" t="s">
        <v>212</v>
      </c>
      <c r="J17" t="s">
        <v>211</v>
      </c>
      <c r="K17" s="7">
        <v>1</v>
      </c>
      <c r="L17">
        <v>1</v>
      </c>
      <c r="M17" t="s">
        <v>511</v>
      </c>
    </row>
    <row r="18" spans="1:13" x14ac:dyDescent="0.3">
      <c r="A18" s="7">
        <v>13840</v>
      </c>
      <c r="B18">
        <v>2</v>
      </c>
      <c r="C18" t="s">
        <v>385</v>
      </c>
      <c r="D18" t="s">
        <v>371</v>
      </c>
      <c r="E18">
        <v>80</v>
      </c>
      <c r="F18" s="7">
        <v>0.31</v>
      </c>
      <c r="G18" t="s">
        <v>212</v>
      </c>
      <c r="H18" t="s">
        <v>212</v>
      </c>
      <c r="I18" t="s">
        <v>212</v>
      </c>
      <c r="J18" t="s">
        <v>211</v>
      </c>
      <c r="K18" s="7">
        <v>1</v>
      </c>
      <c r="L18">
        <v>1</v>
      </c>
      <c r="M18" t="s">
        <v>512</v>
      </c>
    </row>
    <row r="19" spans="1:13" x14ac:dyDescent="0.3">
      <c r="A19" s="7">
        <v>6067.5</v>
      </c>
      <c r="B19">
        <v>2</v>
      </c>
      <c r="C19" t="s">
        <v>384</v>
      </c>
      <c r="D19" t="s">
        <v>371</v>
      </c>
      <c r="E19">
        <v>80</v>
      </c>
      <c r="F19" s="7">
        <v>0.31</v>
      </c>
      <c r="G19" t="s">
        <v>212</v>
      </c>
      <c r="H19" t="s">
        <v>212</v>
      </c>
      <c r="I19" t="s">
        <v>212</v>
      </c>
      <c r="J19" t="s">
        <v>212</v>
      </c>
      <c r="K19" s="7">
        <v>6</v>
      </c>
      <c r="L19">
        <v>1</v>
      </c>
      <c r="M19" t="s">
        <v>513</v>
      </c>
    </row>
    <row r="20" spans="1:13" x14ac:dyDescent="0.3">
      <c r="A20" s="7">
        <v>3183.5</v>
      </c>
      <c r="B20">
        <v>2</v>
      </c>
      <c r="C20" t="s">
        <v>384</v>
      </c>
      <c r="D20" t="s">
        <v>371</v>
      </c>
      <c r="E20">
        <v>60</v>
      </c>
      <c r="F20" s="7">
        <v>3.62</v>
      </c>
      <c r="G20" t="s">
        <v>212</v>
      </c>
      <c r="H20" t="s">
        <v>212</v>
      </c>
      <c r="I20" t="s">
        <v>212</v>
      </c>
      <c r="J20" t="s">
        <v>211</v>
      </c>
      <c r="K20" s="7">
        <v>1</v>
      </c>
      <c r="L20">
        <v>1</v>
      </c>
      <c r="M20" t="s">
        <v>514</v>
      </c>
    </row>
    <row r="21" spans="1:13" x14ac:dyDescent="0.3">
      <c r="A21" s="7">
        <v>2942</v>
      </c>
      <c r="B21">
        <v>2</v>
      </c>
      <c r="C21" t="s">
        <v>384</v>
      </c>
      <c r="D21" t="s">
        <v>371</v>
      </c>
      <c r="E21">
        <v>100</v>
      </c>
      <c r="F21" s="7">
        <v>2.77</v>
      </c>
      <c r="G21" t="s">
        <v>212</v>
      </c>
      <c r="H21" t="s">
        <v>212</v>
      </c>
      <c r="I21" t="s">
        <v>212</v>
      </c>
      <c r="J21" t="s">
        <v>212</v>
      </c>
      <c r="K21" s="7">
        <v>5.72</v>
      </c>
      <c r="L21">
        <v>0</v>
      </c>
      <c r="M21" t="s">
        <v>515</v>
      </c>
    </row>
    <row r="22" spans="1:13" x14ac:dyDescent="0.3">
      <c r="A22" s="7">
        <v>2942</v>
      </c>
      <c r="B22">
        <v>2</v>
      </c>
      <c r="C22" t="s">
        <v>385</v>
      </c>
      <c r="D22" t="s">
        <v>371</v>
      </c>
      <c r="E22">
        <v>60</v>
      </c>
      <c r="F22" s="7">
        <v>1</v>
      </c>
      <c r="G22" t="s">
        <v>212</v>
      </c>
      <c r="H22" t="s">
        <v>212</v>
      </c>
      <c r="I22" t="s">
        <v>212</v>
      </c>
      <c r="J22" t="s">
        <v>211</v>
      </c>
      <c r="K22" s="7">
        <v>1</v>
      </c>
      <c r="L22">
        <v>1</v>
      </c>
      <c r="M22" t="s">
        <v>516</v>
      </c>
    </row>
    <row r="23" spans="1:13" x14ac:dyDescent="0.3">
      <c r="A23" s="7">
        <v>2077</v>
      </c>
      <c r="B23">
        <v>2</v>
      </c>
      <c r="C23" t="s">
        <v>384</v>
      </c>
      <c r="D23" t="s">
        <v>371</v>
      </c>
      <c r="E23">
        <v>60</v>
      </c>
      <c r="F23" s="7">
        <v>0.69</v>
      </c>
      <c r="G23" t="s">
        <v>212</v>
      </c>
      <c r="H23" t="s">
        <v>212</v>
      </c>
      <c r="I23" t="s">
        <v>212</v>
      </c>
      <c r="J23" t="s">
        <v>211</v>
      </c>
      <c r="K23" s="7">
        <v>1</v>
      </c>
      <c r="L23">
        <v>1</v>
      </c>
      <c r="M23" t="s">
        <v>517</v>
      </c>
    </row>
    <row r="24" spans="1:13" x14ac:dyDescent="0.3">
      <c r="A24" s="7">
        <v>2864</v>
      </c>
      <c r="B24">
        <v>4</v>
      </c>
      <c r="C24" t="s">
        <v>384</v>
      </c>
      <c r="D24" t="s">
        <v>371</v>
      </c>
      <c r="E24">
        <v>60</v>
      </c>
      <c r="F24" s="7">
        <v>2.2799999999999998</v>
      </c>
      <c r="G24" t="s">
        <v>212</v>
      </c>
      <c r="H24" t="s">
        <v>212</v>
      </c>
      <c r="I24" t="s">
        <v>212</v>
      </c>
      <c r="J24" t="s">
        <v>211</v>
      </c>
      <c r="K24" s="7">
        <v>3</v>
      </c>
      <c r="L24">
        <v>1</v>
      </c>
      <c r="M24" t="s">
        <v>518</v>
      </c>
    </row>
    <row r="25" spans="1:13" x14ac:dyDescent="0.3">
      <c r="A25" s="7">
        <v>2864</v>
      </c>
      <c r="B25">
        <v>3</v>
      </c>
      <c r="C25" t="s">
        <v>384</v>
      </c>
      <c r="D25" t="s">
        <v>371</v>
      </c>
      <c r="E25">
        <v>60</v>
      </c>
      <c r="F25" s="7">
        <v>2.2799999999999998</v>
      </c>
      <c r="G25" t="s">
        <v>212</v>
      </c>
      <c r="H25" t="s">
        <v>212</v>
      </c>
      <c r="I25" t="s">
        <v>212</v>
      </c>
      <c r="J25" t="s">
        <v>211</v>
      </c>
      <c r="K25" s="7">
        <v>3</v>
      </c>
      <c r="L25">
        <v>1</v>
      </c>
      <c r="M25" t="s">
        <v>519</v>
      </c>
    </row>
    <row r="26" spans="1:13" x14ac:dyDescent="0.3">
      <c r="A26" s="7">
        <v>2842.5</v>
      </c>
      <c r="B26">
        <v>2</v>
      </c>
      <c r="C26" t="s">
        <v>385</v>
      </c>
      <c r="D26" t="s">
        <v>371</v>
      </c>
      <c r="E26">
        <v>60</v>
      </c>
      <c r="F26" s="7">
        <v>2.6</v>
      </c>
      <c r="G26" t="s">
        <v>212</v>
      </c>
      <c r="H26" t="s">
        <v>212</v>
      </c>
      <c r="I26" t="s">
        <v>212</v>
      </c>
      <c r="J26" t="s">
        <v>211</v>
      </c>
      <c r="K26" s="7">
        <v>1.7</v>
      </c>
      <c r="L26">
        <v>1</v>
      </c>
      <c r="M26" t="s">
        <v>520</v>
      </c>
    </row>
    <row r="27" spans="1:13" x14ac:dyDescent="0.3">
      <c r="A27" s="7">
        <v>2842.5</v>
      </c>
      <c r="B27">
        <v>2</v>
      </c>
      <c r="C27" t="s">
        <v>384</v>
      </c>
      <c r="D27" t="s">
        <v>371</v>
      </c>
      <c r="E27">
        <v>80</v>
      </c>
      <c r="F27" s="7">
        <v>2.6</v>
      </c>
      <c r="G27" t="s">
        <v>212</v>
      </c>
      <c r="H27" t="s">
        <v>212</v>
      </c>
      <c r="I27" t="s">
        <v>212</v>
      </c>
      <c r="J27" t="s">
        <v>211</v>
      </c>
      <c r="K27" s="7">
        <v>1.7</v>
      </c>
      <c r="L27">
        <v>1</v>
      </c>
      <c r="M27" t="s">
        <v>521</v>
      </c>
    </row>
    <row r="28" spans="1:13" x14ac:dyDescent="0.3">
      <c r="A28" s="7">
        <v>2856.5</v>
      </c>
      <c r="B28">
        <v>2</v>
      </c>
      <c r="C28" t="s">
        <v>384</v>
      </c>
      <c r="D28" t="s">
        <v>371</v>
      </c>
      <c r="E28">
        <v>80</v>
      </c>
      <c r="F28" s="7">
        <v>0.9</v>
      </c>
      <c r="G28" t="s">
        <v>212</v>
      </c>
      <c r="H28" t="s">
        <v>212</v>
      </c>
      <c r="I28" t="s">
        <v>212</v>
      </c>
      <c r="J28" t="s">
        <v>211</v>
      </c>
      <c r="K28" s="7">
        <v>1</v>
      </c>
      <c r="L28">
        <v>1</v>
      </c>
      <c r="M28" t="s">
        <v>522</v>
      </c>
    </row>
    <row r="29" spans="1:13" x14ac:dyDescent="0.3">
      <c r="A29" s="7">
        <v>2856.5</v>
      </c>
      <c r="B29">
        <v>2</v>
      </c>
      <c r="C29" t="s">
        <v>384</v>
      </c>
      <c r="D29" t="s">
        <v>371</v>
      </c>
      <c r="E29">
        <v>80</v>
      </c>
      <c r="F29" s="7">
        <v>0.9</v>
      </c>
      <c r="G29" t="s">
        <v>212</v>
      </c>
      <c r="H29" t="s">
        <v>212</v>
      </c>
      <c r="I29" t="s">
        <v>212</v>
      </c>
      <c r="J29" t="s">
        <v>211</v>
      </c>
      <c r="K29" s="7">
        <v>1</v>
      </c>
      <c r="L29">
        <v>1</v>
      </c>
      <c r="M29" t="s">
        <v>523</v>
      </c>
    </row>
    <row r="30" spans="1:13" x14ac:dyDescent="0.3">
      <c r="A30" s="7">
        <v>1342.5</v>
      </c>
      <c r="B30">
        <v>2</v>
      </c>
      <c r="C30" t="s">
        <v>385</v>
      </c>
      <c r="D30" t="s">
        <v>371</v>
      </c>
      <c r="E30">
        <v>60</v>
      </c>
      <c r="F30" s="7">
        <v>5.5</v>
      </c>
      <c r="G30" t="s">
        <v>212</v>
      </c>
      <c r="H30" t="s">
        <v>212</v>
      </c>
      <c r="I30" t="s">
        <v>212</v>
      </c>
      <c r="J30" t="s">
        <v>212</v>
      </c>
      <c r="K30" s="7">
        <v>4.6500000000000004</v>
      </c>
      <c r="L30">
        <v>1</v>
      </c>
      <c r="M30" t="s">
        <v>524</v>
      </c>
    </row>
    <row r="31" spans="1:13" x14ac:dyDescent="0.3">
      <c r="A31" s="7">
        <v>1734</v>
      </c>
      <c r="B31">
        <v>2</v>
      </c>
      <c r="C31" t="s">
        <v>385</v>
      </c>
      <c r="D31" t="s">
        <v>371</v>
      </c>
      <c r="E31">
        <v>60</v>
      </c>
      <c r="F31" s="7">
        <v>1.65</v>
      </c>
      <c r="G31" t="s">
        <v>212</v>
      </c>
      <c r="H31" t="s">
        <v>212</v>
      </c>
      <c r="I31" t="s">
        <v>212</v>
      </c>
      <c r="J31" t="s">
        <v>211</v>
      </c>
      <c r="K31" s="7">
        <v>1.8</v>
      </c>
      <c r="L31">
        <v>1</v>
      </c>
      <c r="M31" t="s">
        <v>525</v>
      </c>
    </row>
    <row r="32" spans="1:13" x14ac:dyDescent="0.3">
      <c r="A32" s="7">
        <v>4293</v>
      </c>
      <c r="B32">
        <v>2</v>
      </c>
      <c r="C32" t="s">
        <v>385</v>
      </c>
      <c r="D32" t="s">
        <v>371</v>
      </c>
      <c r="E32">
        <v>60</v>
      </c>
      <c r="F32" s="7">
        <v>2.89</v>
      </c>
      <c r="G32" t="s">
        <v>212</v>
      </c>
      <c r="H32" t="s">
        <v>212</v>
      </c>
      <c r="I32" t="s">
        <v>212</v>
      </c>
      <c r="J32" t="s">
        <v>211</v>
      </c>
      <c r="K32" s="7">
        <v>1</v>
      </c>
      <c r="L32">
        <v>0</v>
      </c>
      <c r="M32" t="s">
        <v>526</v>
      </c>
    </row>
    <row r="33" spans="1:13" x14ac:dyDescent="0.3">
      <c r="A33" s="7">
        <v>11165.5</v>
      </c>
      <c r="B33">
        <v>2</v>
      </c>
      <c r="C33" t="s">
        <v>384</v>
      </c>
      <c r="D33" t="s">
        <v>371</v>
      </c>
      <c r="E33">
        <v>80</v>
      </c>
      <c r="F33" s="7">
        <v>2.25</v>
      </c>
      <c r="G33" t="s">
        <v>212</v>
      </c>
      <c r="H33" t="s">
        <v>212</v>
      </c>
      <c r="I33" t="s">
        <v>212</v>
      </c>
      <c r="J33" t="s">
        <v>211</v>
      </c>
      <c r="K33" s="7">
        <v>3.5</v>
      </c>
      <c r="L33">
        <v>1</v>
      </c>
      <c r="M33" t="s">
        <v>527</v>
      </c>
    </row>
    <row r="34" spans="1:13" x14ac:dyDescent="0.3">
      <c r="A34" s="7">
        <v>14179</v>
      </c>
      <c r="B34">
        <v>4</v>
      </c>
      <c r="C34" t="s">
        <v>384</v>
      </c>
      <c r="D34" t="s">
        <v>386</v>
      </c>
      <c r="E34">
        <v>80</v>
      </c>
      <c r="F34" s="7">
        <v>1.87</v>
      </c>
      <c r="G34" t="s">
        <v>212</v>
      </c>
      <c r="H34" t="s">
        <v>212</v>
      </c>
      <c r="I34" t="s">
        <v>212</v>
      </c>
      <c r="J34" t="s">
        <v>211</v>
      </c>
      <c r="K34" s="7">
        <v>8</v>
      </c>
      <c r="L34">
        <v>0</v>
      </c>
      <c r="M34" t="s">
        <v>528</v>
      </c>
    </row>
    <row r="35" spans="1:13" x14ac:dyDescent="0.3">
      <c r="A35" s="7">
        <v>18788</v>
      </c>
      <c r="B35">
        <v>2</v>
      </c>
      <c r="C35" t="s">
        <v>384</v>
      </c>
      <c r="D35" t="s">
        <v>371</v>
      </c>
      <c r="E35">
        <v>60</v>
      </c>
      <c r="F35" s="7">
        <v>1.74</v>
      </c>
      <c r="G35" t="s">
        <v>212</v>
      </c>
      <c r="H35" t="s">
        <v>212</v>
      </c>
      <c r="I35" t="s">
        <v>212</v>
      </c>
      <c r="J35" t="s">
        <v>211</v>
      </c>
      <c r="K35" s="7">
        <v>1</v>
      </c>
      <c r="L35">
        <v>0</v>
      </c>
      <c r="M35" t="s">
        <v>529</v>
      </c>
    </row>
    <row r="36" spans="1:13" x14ac:dyDescent="0.3">
      <c r="A36" s="7">
        <v>18788</v>
      </c>
      <c r="B36">
        <v>2</v>
      </c>
      <c r="C36" t="s">
        <v>384</v>
      </c>
      <c r="D36" t="s">
        <v>371</v>
      </c>
      <c r="E36">
        <v>60</v>
      </c>
      <c r="F36" s="7">
        <v>1.74</v>
      </c>
      <c r="G36" t="s">
        <v>212</v>
      </c>
      <c r="H36" t="s">
        <v>212</v>
      </c>
      <c r="I36" t="s">
        <v>212</v>
      </c>
      <c r="J36" t="s">
        <v>211</v>
      </c>
      <c r="K36" s="7">
        <v>1</v>
      </c>
      <c r="L36">
        <v>0</v>
      </c>
      <c r="M36" t="s">
        <v>530</v>
      </c>
    </row>
    <row r="37" spans="1:13" x14ac:dyDescent="0.3">
      <c r="A37" s="7">
        <v>16263.5</v>
      </c>
      <c r="B37">
        <v>2</v>
      </c>
      <c r="C37" t="s">
        <v>385</v>
      </c>
      <c r="D37" t="s">
        <v>371</v>
      </c>
      <c r="E37">
        <v>60</v>
      </c>
      <c r="F37" s="7">
        <v>7.66</v>
      </c>
      <c r="G37" t="s">
        <v>212</v>
      </c>
      <c r="H37" t="s">
        <v>212</v>
      </c>
      <c r="I37" t="s">
        <v>212</v>
      </c>
      <c r="J37" t="s">
        <v>211</v>
      </c>
      <c r="K37" s="7">
        <v>1</v>
      </c>
      <c r="L37">
        <v>1</v>
      </c>
      <c r="M37" t="s">
        <v>531</v>
      </c>
    </row>
    <row r="38" spans="1:13" x14ac:dyDescent="0.3">
      <c r="A38" s="7">
        <v>16263.5</v>
      </c>
      <c r="B38">
        <v>2</v>
      </c>
      <c r="C38" t="s">
        <v>384</v>
      </c>
      <c r="D38" t="s">
        <v>371</v>
      </c>
      <c r="E38">
        <v>60</v>
      </c>
      <c r="F38" s="7">
        <v>7.66</v>
      </c>
      <c r="G38" t="s">
        <v>212</v>
      </c>
      <c r="H38" t="s">
        <v>212</v>
      </c>
      <c r="I38" t="s">
        <v>212</v>
      </c>
      <c r="J38" t="s">
        <v>211</v>
      </c>
      <c r="K38" s="7">
        <v>1</v>
      </c>
      <c r="L38">
        <v>1</v>
      </c>
      <c r="M38" t="s">
        <v>532</v>
      </c>
    </row>
    <row r="39" spans="1:13" x14ac:dyDescent="0.3">
      <c r="A39" s="7">
        <v>6076.5</v>
      </c>
      <c r="B39">
        <v>2</v>
      </c>
      <c r="C39" t="s">
        <v>384</v>
      </c>
      <c r="D39" t="s">
        <v>371</v>
      </c>
      <c r="E39">
        <v>100</v>
      </c>
      <c r="F39" s="7">
        <v>6.57</v>
      </c>
      <c r="G39" t="s">
        <v>212</v>
      </c>
      <c r="H39" t="s">
        <v>212</v>
      </c>
      <c r="I39" t="s">
        <v>212</v>
      </c>
      <c r="J39" t="s">
        <v>211</v>
      </c>
      <c r="K39" s="7">
        <v>3.59</v>
      </c>
      <c r="L39">
        <v>1</v>
      </c>
      <c r="M39" t="s">
        <v>533</v>
      </c>
    </row>
    <row r="40" spans="1:13" x14ac:dyDescent="0.3">
      <c r="A40" s="7">
        <v>6076.5</v>
      </c>
      <c r="B40">
        <v>2</v>
      </c>
      <c r="C40" t="s">
        <v>385</v>
      </c>
      <c r="D40" t="s">
        <v>371</v>
      </c>
      <c r="E40">
        <v>80</v>
      </c>
      <c r="F40" s="7">
        <v>6.57</v>
      </c>
      <c r="G40" t="s">
        <v>212</v>
      </c>
      <c r="H40" t="s">
        <v>212</v>
      </c>
      <c r="I40" t="s">
        <v>212</v>
      </c>
      <c r="J40" t="s">
        <v>211</v>
      </c>
      <c r="K40" s="7">
        <v>3.59</v>
      </c>
      <c r="L40">
        <v>1</v>
      </c>
      <c r="M40" t="s">
        <v>534</v>
      </c>
    </row>
    <row r="41" spans="1:13" x14ac:dyDescent="0.3">
      <c r="A41" s="7">
        <v>5538</v>
      </c>
      <c r="B41">
        <v>2</v>
      </c>
      <c r="C41" t="s">
        <v>384</v>
      </c>
      <c r="D41" t="s">
        <v>371</v>
      </c>
      <c r="E41">
        <v>100</v>
      </c>
      <c r="F41" s="7">
        <v>1</v>
      </c>
      <c r="G41" t="s">
        <v>212</v>
      </c>
      <c r="H41" t="s">
        <v>212</v>
      </c>
      <c r="I41" t="s">
        <v>212</v>
      </c>
      <c r="J41" t="s">
        <v>211</v>
      </c>
      <c r="K41" s="7">
        <v>1</v>
      </c>
      <c r="L41">
        <v>0</v>
      </c>
      <c r="M41" t="s">
        <v>535</v>
      </c>
    </row>
    <row r="42" spans="1:13" x14ac:dyDescent="0.3">
      <c r="A42" s="7">
        <v>5538</v>
      </c>
      <c r="B42">
        <v>2</v>
      </c>
      <c r="C42" t="s">
        <v>384</v>
      </c>
      <c r="D42" t="s">
        <v>371</v>
      </c>
      <c r="E42">
        <v>100</v>
      </c>
      <c r="F42" s="7">
        <v>0.16</v>
      </c>
      <c r="G42" t="s">
        <v>212</v>
      </c>
      <c r="H42" t="s">
        <v>212</v>
      </c>
      <c r="I42" t="s">
        <v>212</v>
      </c>
      <c r="J42" t="s">
        <v>211</v>
      </c>
      <c r="K42" s="7">
        <v>1</v>
      </c>
      <c r="L42">
        <v>0</v>
      </c>
      <c r="M42" t="s">
        <v>536</v>
      </c>
    </row>
    <row r="43" spans="1:13" x14ac:dyDescent="0.3">
      <c r="A43" s="7">
        <v>18847.5</v>
      </c>
      <c r="B43">
        <v>4</v>
      </c>
      <c r="C43" t="s">
        <v>384</v>
      </c>
      <c r="D43" t="s">
        <v>371</v>
      </c>
      <c r="E43">
        <v>60</v>
      </c>
      <c r="F43" s="7">
        <v>1.1299999999999999</v>
      </c>
      <c r="G43" t="s">
        <v>212</v>
      </c>
      <c r="H43" t="s">
        <v>212</v>
      </c>
      <c r="I43" t="s">
        <v>212</v>
      </c>
      <c r="J43" t="s">
        <v>212</v>
      </c>
      <c r="K43" s="7">
        <v>4.5999999999999996</v>
      </c>
      <c r="L43">
        <v>1</v>
      </c>
      <c r="M43" t="s">
        <v>537</v>
      </c>
    </row>
    <row r="44" spans="1:13" x14ac:dyDescent="0.3">
      <c r="A44" s="7">
        <v>18847.5</v>
      </c>
      <c r="B44">
        <v>4</v>
      </c>
      <c r="C44" t="s">
        <v>384</v>
      </c>
      <c r="D44" t="s">
        <v>371</v>
      </c>
      <c r="E44">
        <v>60</v>
      </c>
      <c r="F44" s="7">
        <v>1.18</v>
      </c>
      <c r="G44" t="s">
        <v>212</v>
      </c>
      <c r="H44" t="s">
        <v>212</v>
      </c>
      <c r="I44" t="s">
        <v>212</v>
      </c>
      <c r="J44" t="s">
        <v>212</v>
      </c>
      <c r="K44" s="7">
        <v>2.83</v>
      </c>
      <c r="L44">
        <v>1</v>
      </c>
      <c r="M44" t="s">
        <v>538</v>
      </c>
    </row>
    <row r="45" spans="1:13" x14ac:dyDescent="0.3">
      <c r="A45" s="7">
        <v>10032.5</v>
      </c>
      <c r="B45">
        <v>4</v>
      </c>
      <c r="C45" t="s">
        <v>385</v>
      </c>
      <c r="D45" t="s">
        <v>371</v>
      </c>
      <c r="E45">
        <v>60</v>
      </c>
      <c r="F45" s="7">
        <v>4.7699999999999996</v>
      </c>
      <c r="G45" t="s">
        <v>212</v>
      </c>
      <c r="H45" t="s">
        <v>212</v>
      </c>
      <c r="I45" t="s">
        <v>212</v>
      </c>
      <c r="J45" t="s">
        <v>211</v>
      </c>
      <c r="K45" s="7">
        <v>1</v>
      </c>
      <c r="L45">
        <v>0</v>
      </c>
      <c r="M45" t="s">
        <v>539</v>
      </c>
    </row>
    <row r="46" spans="1:13" x14ac:dyDescent="0.3">
      <c r="A46" s="7">
        <v>7155</v>
      </c>
      <c r="B46">
        <v>2</v>
      </c>
      <c r="C46" t="s">
        <v>384</v>
      </c>
      <c r="D46" t="s">
        <v>371</v>
      </c>
      <c r="E46">
        <v>60</v>
      </c>
      <c r="F46" s="7">
        <v>3.5</v>
      </c>
      <c r="G46" t="s">
        <v>212</v>
      </c>
      <c r="H46" t="s">
        <v>212</v>
      </c>
      <c r="I46" t="s">
        <v>212</v>
      </c>
      <c r="J46" t="s">
        <v>211</v>
      </c>
      <c r="K46" s="7">
        <v>1</v>
      </c>
      <c r="L46">
        <v>0</v>
      </c>
      <c r="M46" t="s">
        <v>540</v>
      </c>
    </row>
    <row r="47" spans="1:13" x14ac:dyDescent="0.3">
      <c r="A47" s="7">
        <v>44826.5</v>
      </c>
      <c r="B47">
        <v>3</v>
      </c>
      <c r="C47" t="s">
        <v>384</v>
      </c>
      <c r="D47" t="s">
        <v>417</v>
      </c>
      <c r="E47">
        <v>120</v>
      </c>
      <c r="F47" s="7">
        <v>10</v>
      </c>
      <c r="G47" t="s">
        <v>211</v>
      </c>
      <c r="H47" t="s">
        <v>211</v>
      </c>
      <c r="I47" t="s">
        <v>212</v>
      </c>
      <c r="J47" t="s">
        <v>212</v>
      </c>
      <c r="K47" s="7">
        <v>20</v>
      </c>
      <c r="L47">
        <v>1</v>
      </c>
      <c r="M47" t="s">
        <v>541</v>
      </c>
    </row>
    <row r="48" spans="1:13" x14ac:dyDescent="0.3">
      <c r="A48" s="7">
        <v>51285.5</v>
      </c>
      <c r="B48">
        <v>3</v>
      </c>
      <c r="C48" t="s">
        <v>384</v>
      </c>
      <c r="D48" t="s">
        <v>417</v>
      </c>
      <c r="E48">
        <v>120</v>
      </c>
      <c r="F48" s="7">
        <v>10</v>
      </c>
      <c r="G48" t="s">
        <v>211</v>
      </c>
      <c r="H48" t="s">
        <v>212</v>
      </c>
      <c r="I48" t="s">
        <v>212</v>
      </c>
      <c r="J48" t="s">
        <v>212</v>
      </c>
      <c r="K48" s="7">
        <v>20</v>
      </c>
      <c r="L48">
        <v>0</v>
      </c>
      <c r="M48" t="s">
        <v>542</v>
      </c>
    </row>
    <row r="49" spans="1:13" x14ac:dyDescent="0.3">
      <c r="A49" s="7">
        <v>19669.5</v>
      </c>
      <c r="B49">
        <v>3</v>
      </c>
      <c r="C49" t="s">
        <v>384</v>
      </c>
      <c r="D49" t="s">
        <v>417</v>
      </c>
      <c r="E49">
        <v>120</v>
      </c>
      <c r="F49" s="7">
        <v>10</v>
      </c>
      <c r="G49" t="s">
        <v>211</v>
      </c>
      <c r="H49" t="s">
        <v>212</v>
      </c>
      <c r="I49" t="s">
        <v>211</v>
      </c>
      <c r="J49" t="s">
        <v>212</v>
      </c>
      <c r="K49" s="7">
        <v>20</v>
      </c>
      <c r="L49">
        <v>0</v>
      </c>
      <c r="M49" t="s">
        <v>543</v>
      </c>
    </row>
    <row r="50" spans="1:13" x14ac:dyDescent="0.3">
      <c r="A50" s="7">
        <v>35303.5</v>
      </c>
      <c r="B50">
        <v>3</v>
      </c>
      <c r="C50" t="s">
        <v>384</v>
      </c>
      <c r="D50" t="s">
        <v>417</v>
      </c>
      <c r="E50">
        <v>120</v>
      </c>
      <c r="F50" s="7">
        <v>10</v>
      </c>
      <c r="G50" t="s">
        <v>211</v>
      </c>
      <c r="H50" t="s">
        <v>211</v>
      </c>
      <c r="I50" t="s">
        <v>212</v>
      </c>
      <c r="J50" t="s">
        <v>212</v>
      </c>
      <c r="K50" s="7">
        <v>20</v>
      </c>
      <c r="L50">
        <v>0</v>
      </c>
      <c r="M50" t="s">
        <v>544</v>
      </c>
    </row>
    <row r="51" spans="1:13" x14ac:dyDescent="0.3">
      <c r="A51" s="7">
        <v>35303.5</v>
      </c>
      <c r="B51">
        <v>3</v>
      </c>
      <c r="C51" t="s">
        <v>384</v>
      </c>
      <c r="D51" t="s">
        <v>417</v>
      </c>
      <c r="E51">
        <v>120</v>
      </c>
      <c r="F51" s="7">
        <v>10</v>
      </c>
      <c r="G51" t="s">
        <v>211</v>
      </c>
      <c r="H51" t="s">
        <v>211</v>
      </c>
      <c r="I51" t="s">
        <v>212</v>
      </c>
      <c r="J51" t="s">
        <v>212</v>
      </c>
      <c r="K51" s="7">
        <v>20</v>
      </c>
      <c r="L51">
        <v>0</v>
      </c>
      <c r="M51" t="s">
        <v>545</v>
      </c>
    </row>
    <row r="52" spans="1:13" x14ac:dyDescent="0.3">
      <c r="A52" s="7">
        <v>60211</v>
      </c>
      <c r="B52">
        <v>3</v>
      </c>
      <c r="C52" t="s">
        <v>384</v>
      </c>
      <c r="D52" t="s">
        <v>417</v>
      </c>
      <c r="E52">
        <v>120</v>
      </c>
      <c r="F52" s="7">
        <v>10</v>
      </c>
      <c r="G52" t="s">
        <v>211</v>
      </c>
      <c r="H52" t="s">
        <v>212</v>
      </c>
      <c r="I52" t="s">
        <v>212</v>
      </c>
      <c r="J52" t="s">
        <v>212</v>
      </c>
      <c r="K52" s="7">
        <v>20</v>
      </c>
      <c r="L52">
        <v>1</v>
      </c>
      <c r="M52" t="s">
        <v>546</v>
      </c>
    </row>
    <row r="53" spans="1:13" x14ac:dyDescent="0.3">
      <c r="A53" s="7">
        <v>60211</v>
      </c>
      <c r="B53">
        <v>3</v>
      </c>
      <c r="C53" t="s">
        <v>384</v>
      </c>
      <c r="D53" t="s">
        <v>417</v>
      </c>
      <c r="E53">
        <v>120</v>
      </c>
      <c r="F53" s="7">
        <v>10</v>
      </c>
      <c r="G53" t="s">
        <v>211</v>
      </c>
      <c r="H53" t="s">
        <v>212</v>
      </c>
      <c r="I53" t="s">
        <v>212</v>
      </c>
      <c r="J53" t="s">
        <v>212</v>
      </c>
      <c r="K53" s="7">
        <v>20</v>
      </c>
      <c r="L53">
        <v>0</v>
      </c>
      <c r="M53" t="s">
        <v>547</v>
      </c>
    </row>
    <row r="54" spans="1:13" x14ac:dyDescent="0.3">
      <c r="A54" s="7">
        <v>56599.5</v>
      </c>
      <c r="B54">
        <v>3</v>
      </c>
      <c r="C54" t="s">
        <v>384</v>
      </c>
      <c r="D54" t="s">
        <v>417</v>
      </c>
      <c r="E54">
        <v>120</v>
      </c>
      <c r="F54" s="7">
        <v>10</v>
      </c>
      <c r="G54" t="s">
        <v>212</v>
      </c>
      <c r="H54" t="s">
        <v>212</v>
      </c>
      <c r="I54" t="s">
        <v>212</v>
      </c>
      <c r="J54" t="s">
        <v>212</v>
      </c>
      <c r="K54" s="7">
        <v>20</v>
      </c>
      <c r="L54">
        <v>0</v>
      </c>
      <c r="M54" t="s">
        <v>548</v>
      </c>
    </row>
    <row r="55" spans="1:13" x14ac:dyDescent="0.3">
      <c r="A55" s="7">
        <v>52155.5</v>
      </c>
      <c r="B55">
        <v>6</v>
      </c>
      <c r="C55" t="s">
        <v>384</v>
      </c>
      <c r="D55" t="s">
        <v>417</v>
      </c>
      <c r="E55">
        <v>120</v>
      </c>
      <c r="F55" s="7">
        <v>10</v>
      </c>
      <c r="G55" t="s">
        <v>211</v>
      </c>
      <c r="H55" t="s">
        <v>211</v>
      </c>
      <c r="I55" t="s">
        <v>212</v>
      </c>
      <c r="J55" t="s">
        <v>212</v>
      </c>
      <c r="K55" s="7">
        <v>20</v>
      </c>
      <c r="L55">
        <v>0</v>
      </c>
      <c r="M55" t="s">
        <v>549</v>
      </c>
    </row>
    <row r="56" spans="1:13" x14ac:dyDescent="0.3">
      <c r="A56" s="7">
        <v>57420</v>
      </c>
      <c r="B56">
        <v>3</v>
      </c>
      <c r="C56" t="s">
        <v>384</v>
      </c>
      <c r="D56" t="s">
        <v>417</v>
      </c>
      <c r="E56">
        <v>120</v>
      </c>
      <c r="F56" s="7">
        <v>10</v>
      </c>
      <c r="G56" t="s">
        <v>211</v>
      </c>
      <c r="H56" t="s">
        <v>212</v>
      </c>
      <c r="I56" t="s">
        <v>212</v>
      </c>
      <c r="J56" t="s">
        <v>212</v>
      </c>
      <c r="K56" s="7">
        <v>20</v>
      </c>
      <c r="L56">
        <v>1</v>
      </c>
      <c r="M56" t="s">
        <v>550</v>
      </c>
    </row>
    <row r="57" spans="1:13" x14ac:dyDescent="0.3">
      <c r="A57" s="7">
        <v>57420</v>
      </c>
      <c r="B57">
        <v>3</v>
      </c>
      <c r="C57" t="s">
        <v>384</v>
      </c>
      <c r="D57" t="s">
        <v>417</v>
      </c>
      <c r="E57">
        <v>120</v>
      </c>
      <c r="F57" s="7">
        <v>10</v>
      </c>
      <c r="G57" t="s">
        <v>211</v>
      </c>
      <c r="H57" t="s">
        <v>212</v>
      </c>
      <c r="I57" t="s">
        <v>212</v>
      </c>
      <c r="J57" t="s">
        <v>212</v>
      </c>
      <c r="K57" s="7">
        <v>20</v>
      </c>
      <c r="L57">
        <v>0</v>
      </c>
      <c r="M57" t="s">
        <v>551</v>
      </c>
    </row>
    <row r="58" spans="1:13" x14ac:dyDescent="0.3">
      <c r="A58" s="7">
        <v>14170</v>
      </c>
      <c r="B58">
        <v>2</v>
      </c>
      <c r="C58" t="s">
        <v>384</v>
      </c>
      <c r="D58" t="s">
        <v>417</v>
      </c>
      <c r="E58">
        <v>120</v>
      </c>
      <c r="F58" s="7">
        <v>10</v>
      </c>
      <c r="G58" t="s">
        <v>211</v>
      </c>
      <c r="H58" t="s">
        <v>212</v>
      </c>
      <c r="I58" t="s">
        <v>212</v>
      </c>
      <c r="J58" t="s">
        <v>212</v>
      </c>
      <c r="K58" s="7">
        <v>20</v>
      </c>
      <c r="L58">
        <v>1</v>
      </c>
      <c r="M58" t="s">
        <v>552</v>
      </c>
    </row>
    <row r="59" spans="1:13" x14ac:dyDescent="0.3">
      <c r="A59" s="7">
        <v>13626</v>
      </c>
      <c r="B59">
        <v>2</v>
      </c>
      <c r="C59" t="s">
        <v>384</v>
      </c>
      <c r="D59" t="s">
        <v>417</v>
      </c>
      <c r="E59">
        <v>120</v>
      </c>
      <c r="F59" s="7">
        <v>10</v>
      </c>
      <c r="G59" t="s">
        <v>212</v>
      </c>
      <c r="H59" t="s">
        <v>212</v>
      </c>
      <c r="I59" t="s">
        <v>211</v>
      </c>
      <c r="J59" t="s">
        <v>212</v>
      </c>
      <c r="K59" s="7">
        <v>20</v>
      </c>
      <c r="L59">
        <v>1</v>
      </c>
      <c r="M59" t="s">
        <v>553</v>
      </c>
    </row>
    <row r="60" spans="1:13" x14ac:dyDescent="0.3">
      <c r="A60" s="7">
        <v>13488</v>
      </c>
      <c r="B60">
        <v>2</v>
      </c>
      <c r="C60" t="s">
        <v>384</v>
      </c>
      <c r="D60" t="s">
        <v>417</v>
      </c>
      <c r="E60">
        <v>120</v>
      </c>
      <c r="F60" s="7">
        <v>10</v>
      </c>
      <c r="G60" t="s">
        <v>211</v>
      </c>
      <c r="H60" t="s">
        <v>211</v>
      </c>
      <c r="I60" t="s">
        <v>211</v>
      </c>
      <c r="J60" t="s">
        <v>212</v>
      </c>
      <c r="K60" s="7">
        <v>20</v>
      </c>
      <c r="L60">
        <v>0</v>
      </c>
      <c r="M60" t="s">
        <v>554</v>
      </c>
    </row>
    <row r="61" spans="1:13" x14ac:dyDescent="0.3">
      <c r="A61" s="7">
        <v>7068.5</v>
      </c>
      <c r="B61">
        <v>2</v>
      </c>
      <c r="C61" t="s">
        <v>384</v>
      </c>
      <c r="D61" t="s">
        <v>417</v>
      </c>
      <c r="E61">
        <v>120</v>
      </c>
      <c r="F61" s="7">
        <v>10</v>
      </c>
      <c r="G61" t="s">
        <v>212</v>
      </c>
      <c r="H61" t="s">
        <v>212</v>
      </c>
      <c r="I61" t="s">
        <v>211</v>
      </c>
      <c r="J61" t="s">
        <v>212</v>
      </c>
      <c r="K61" s="7">
        <v>20</v>
      </c>
      <c r="L61">
        <v>1</v>
      </c>
      <c r="M61" t="s">
        <v>555</v>
      </c>
    </row>
    <row r="62" spans="1:13" x14ac:dyDescent="0.3">
      <c r="A62" s="7">
        <v>7068.5</v>
      </c>
      <c r="B62">
        <v>2</v>
      </c>
      <c r="C62" t="s">
        <v>384</v>
      </c>
      <c r="D62" t="s">
        <v>417</v>
      </c>
      <c r="E62">
        <v>120</v>
      </c>
      <c r="F62" s="7">
        <v>10</v>
      </c>
      <c r="G62" t="s">
        <v>212</v>
      </c>
      <c r="H62" t="s">
        <v>212</v>
      </c>
      <c r="I62" t="s">
        <v>211</v>
      </c>
      <c r="J62" t="s">
        <v>212</v>
      </c>
      <c r="K62" s="7">
        <v>20</v>
      </c>
      <c r="L62">
        <v>1</v>
      </c>
      <c r="M62" t="s">
        <v>556</v>
      </c>
    </row>
    <row r="63" spans="1:13" x14ac:dyDescent="0.3">
      <c r="A63" s="7">
        <v>7201</v>
      </c>
      <c r="B63">
        <v>2</v>
      </c>
      <c r="C63" t="s">
        <v>384</v>
      </c>
      <c r="D63" t="s">
        <v>417</v>
      </c>
      <c r="E63">
        <v>120</v>
      </c>
      <c r="F63" s="7">
        <v>10</v>
      </c>
      <c r="G63" t="s">
        <v>212</v>
      </c>
      <c r="H63" t="s">
        <v>212</v>
      </c>
      <c r="I63" t="s">
        <v>212</v>
      </c>
      <c r="J63" t="s">
        <v>212</v>
      </c>
      <c r="K63" s="7">
        <v>20</v>
      </c>
      <c r="L63">
        <v>1</v>
      </c>
      <c r="M63" t="s">
        <v>557</v>
      </c>
    </row>
    <row r="64" spans="1:13" x14ac:dyDescent="0.3">
      <c r="A64" s="7">
        <v>7201</v>
      </c>
      <c r="B64">
        <v>4</v>
      </c>
      <c r="C64" t="s">
        <v>384</v>
      </c>
      <c r="D64" t="s">
        <v>417</v>
      </c>
      <c r="E64">
        <v>120</v>
      </c>
      <c r="F64" s="7">
        <v>10</v>
      </c>
      <c r="G64" t="s">
        <v>212</v>
      </c>
      <c r="H64" t="s">
        <v>212</v>
      </c>
      <c r="I64" t="s">
        <v>212</v>
      </c>
      <c r="J64" t="s">
        <v>212</v>
      </c>
      <c r="K64" s="7">
        <v>20</v>
      </c>
      <c r="L64">
        <v>0</v>
      </c>
      <c r="M64" t="s">
        <v>558</v>
      </c>
    </row>
    <row r="65" spans="1:13" x14ac:dyDescent="0.3">
      <c r="A65" s="7">
        <v>7201</v>
      </c>
      <c r="B65">
        <v>2</v>
      </c>
      <c r="C65" t="s">
        <v>384</v>
      </c>
      <c r="D65" t="s">
        <v>417</v>
      </c>
      <c r="E65">
        <v>120</v>
      </c>
      <c r="F65" s="7">
        <v>10</v>
      </c>
      <c r="G65" t="s">
        <v>211</v>
      </c>
      <c r="H65" t="s">
        <v>212</v>
      </c>
      <c r="I65" t="s">
        <v>212</v>
      </c>
      <c r="J65" t="s">
        <v>212</v>
      </c>
      <c r="K65" s="7">
        <v>20</v>
      </c>
      <c r="L65">
        <v>1</v>
      </c>
      <c r="M65" t="s">
        <v>559</v>
      </c>
    </row>
    <row r="66" spans="1:13" x14ac:dyDescent="0.3">
      <c r="A66" s="7">
        <v>7104.5</v>
      </c>
      <c r="B66">
        <v>2</v>
      </c>
      <c r="C66" t="s">
        <v>384</v>
      </c>
      <c r="D66" t="s">
        <v>417</v>
      </c>
      <c r="E66">
        <v>120</v>
      </c>
      <c r="F66" s="7">
        <v>10</v>
      </c>
      <c r="G66" t="s">
        <v>211</v>
      </c>
      <c r="H66" t="s">
        <v>211</v>
      </c>
      <c r="I66" t="s">
        <v>211</v>
      </c>
      <c r="J66" t="s">
        <v>212</v>
      </c>
      <c r="K66" s="7">
        <v>20</v>
      </c>
      <c r="L66">
        <v>0</v>
      </c>
      <c r="M66" t="s">
        <v>560</v>
      </c>
    </row>
    <row r="67" spans="1:13" x14ac:dyDescent="0.3">
      <c r="A67" s="7">
        <v>13287.5</v>
      </c>
      <c r="B67">
        <v>2</v>
      </c>
      <c r="C67" t="s">
        <v>384</v>
      </c>
      <c r="D67" t="s">
        <v>417</v>
      </c>
      <c r="E67">
        <v>120</v>
      </c>
      <c r="F67" s="7">
        <v>10</v>
      </c>
      <c r="G67" t="s">
        <v>211</v>
      </c>
      <c r="H67" t="s">
        <v>212</v>
      </c>
      <c r="I67" t="s">
        <v>211</v>
      </c>
      <c r="J67" t="s">
        <v>212</v>
      </c>
      <c r="K67" s="7">
        <v>20</v>
      </c>
      <c r="L67">
        <v>1</v>
      </c>
      <c r="M67" t="s">
        <v>561</v>
      </c>
    </row>
    <row r="68" spans="1:13" x14ac:dyDescent="0.3">
      <c r="A68" s="7">
        <v>13287.5</v>
      </c>
      <c r="B68">
        <v>2</v>
      </c>
      <c r="C68" t="s">
        <v>384</v>
      </c>
      <c r="D68" t="s">
        <v>417</v>
      </c>
      <c r="E68">
        <v>120</v>
      </c>
      <c r="F68" s="7">
        <v>10</v>
      </c>
      <c r="G68" t="s">
        <v>211</v>
      </c>
      <c r="H68" t="s">
        <v>212</v>
      </c>
      <c r="I68" t="s">
        <v>211</v>
      </c>
      <c r="J68" t="s">
        <v>212</v>
      </c>
      <c r="K68" s="7">
        <v>20</v>
      </c>
      <c r="L68">
        <v>1</v>
      </c>
      <c r="M68" t="s">
        <v>562</v>
      </c>
    </row>
    <row r="69" spans="1:13" x14ac:dyDescent="0.3">
      <c r="A69" s="7">
        <v>13806.5</v>
      </c>
      <c r="B69">
        <v>2</v>
      </c>
      <c r="C69" t="s">
        <v>384</v>
      </c>
      <c r="D69" t="s">
        <v>417</v>
      </c>
      <c r="E69">
        <v>120</v>
      </c>
      <c r="F69" s="7">
        <v>10</v>
      </c>
      <c r="G69" t="s">
        <v>212</v>
      </c>
      <c r="H69" t="s">
        <v>212</v>
      </c>
      <c r="I69" t="s">
        <v>211</v>
      </c>
      <c r="J69" t="s">
        <v>212</v>
      </c>
      <c r="K69" s="7">
        <v>20</v>
      </c>
      <c r="L69">
        <v>0</v>
      </c>
      <c r="M69" t="s">
        <v>563</v>
      </c>
    </row>
    <row r="70" spans="1:13" x14ac:dyDescent="0.3">
      <c r="A70" s="7">
        <v>3602</v>
      </c>
      <c r="B70">
        <v>2</v>
      </c>
      <c r="C70" t="s">
        <v>384</v>
      </c>
      <c r="D70" t="s">
        <v>417</v>
      </c>
      <c r="E70">
        <v>120</v>
      </c>
      <c r="F70" s="7">
        <v>10</v>
      </c>
      <c r="G70" t="s">
        <v>211</v>
      </c>
      <c r="H70" t="s">
        <v>212</v>
      </c>
      <c r="I70" t="s">
        <v>212</v>
      </c>
      <c r="J70" t="s">
        <v>212</v>
      </c>
      <c r="K70" s="7">
        <v>20</v>
      </c>
      <c r="L70">
        <v>1</v>
      </c>
      <c r="M70" t="s">
        <v>564</v>
      </c>
    </row>
    <row r="71" spans="1:13" x14ac:dyDescent="0.3">
      <c r="A71" s="7">
        <v>3602</v>
      </c>
      <c r="B71">
        <v>2</v>
      </c>
      <c r="C71" t="s">
        <v>384</v>
      </c>
      <c r="D71" t="s">
        <v>417</v>
      </c>
      <c r="E71">
        <v>120</v>
      </c>
      <c r="F71" s="7">
        <v>10</v>
      </c>
      <c r="G71" t="s">
        <v>211</v>
      </c>
      <c r="H71" t="s">
        <v>212</v>
      </c>
      <c r="I71" t="s">
        <v>212</v>
      </c>
      <c r="J71" t="s">
        <v>212</v>
      </c>
      <c r="K71" s="7">
        <v>20</v>
      </c>
      <c r="L71">
        <v>1</v>
      </c>
      <c r="M71" t="s">
        <v>565</v>
      </c>
    </row>
    <row r="72" spans="1:13" x14ac:dyDescent="0.3">
      <c r="A72" s="7">
        <v>11923</v>
      </c>
      <c r="B72">
        <v>2</v>
      </c>
      <c r="C72" t="s">
        <v>384</v>
      </c>
      <c r="D72" t="s">
        <v>417</v>
      </c>
      <c r="E72">
        <v>120</v>
      </c>
      <c r="F72" s="7">
        <v>10</v>
      </c>
      <c r="G72" t="s">
        <v>211</v>
      </c>
      <c r="H72" t="s">
        <v>212</v>
      </c>
      <c r="I72" t="s">
        <v>211</v>
      </c>
      <c r="J72" t="s">
        <v>212</v>
      </c>
      <c r="K72" s="7">
        <v>20</v>
      </c>
      <c r="L72">
        <v>1</v>
      </c>
      <c r="M72" t="s">
        <v>566</v>
      </c>
    </row>
    <row r="73" spans="1:13" x14ac:dyDescent="0.3">
      <c r="A73" s="7">
        <v>15813</v>
      </c>
      <c r="B73">
        <v>2</v>
      </c>
      <c r="C73" t="s">
        <v>384</v>
      </c>
      <c r="D73" t="s">
        <v>417</v>
      </c>
      <c r="E73">
        <v>120</v>
      </c>
      <c r="F73" s="7">
        <v>10</v>
      </c>
      <c r="G73" t="s">
        <v>211</v>
      </c>
      <c r="H73" t="s">
        <v>212</v>
      </c>
      <c r="I73" t="s">
        <v>211</v>
      </c>
      <c r="J73" t="s">
        <v>212</v>
      </c>
      <c r="K73" s="7">
        <v>20</v>
      </c>
      <c r="L73">
        <v>1</v>
      </c>
      <c r="M73" t="s">
        <v>567</v>
      </c>
    </row>
    <row r="74" spans="1:13" x14ac:dyDescent="0.3">
      <c r="A74" s="7">
        <v>14343.5</v>
      </c>
      <c r="B74">
        <v>2</v>
      </c>
      <c r="C74" t="s">
        <v>384</v>
      </c>
      <c r="D74" t="s">
        <v>417</v>
      </c>
      <c r="E74">
        <v>120</v>
      </c>
      <c r="F74" s="7">
        <v>10</v>
      </c>
      <c r="G74" t="s">
        <v>212</v>
      </c>
      <c r="H74" t="s">
        <v>212</v>
      </c>
      <c r="I74" t="s">
        <v>211</v>
      </c>
      <c r="J74" t="s">
        <v>212</v>
      </c>
      <c r="K74" s="7">
        <v>20</v>
      </c>
      <c r="L74">
        <v>1</v>
      </c>
      <c r="M74" t="s">
        <v>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2" sqref="K2"/>
    </sheetView>
  </sheetViews>
  <sheetFormatPr baseColWidth="10" defaultRowHeight="14.4" x14ac:dyDescent="0.3"/>
  <sheetData>
    <row r="1" spans="1:11" ht="43.2" x14ac:dyDescent="0.3">
      <c r="A1" s="20" t="s">
        <v>150</v>
      </c>
      <c r="B1" s="20" t="s">
        <v>475</v>
      </c>
      <c r="C1" s="20" t="s">
        <v>476</v>
      </c>
      <c r="F1" s="20" t="s">
        <v>170</v>
      </c>
      <c r="G1" s="20" t="s">
        <v>475</v>
      </c>
      <c r="H1" s="20" t="s">
        <v>479</v>
      </c>
      <c r="K1" s="94" t="s">
        <v>485</v>
      </c>
    </row>
    <row r="2" spans="1:11" x14ac:dyDescent="0.3">
      <c r="A2" s="66" t="s">
        <v>143</v>
      </c>
      <c r="B2" s="8">
        <v>0</v>
      </c>
      <c r="C2" s="8">
        <v>1.2</v>
      </c>
      <c r="F2" s="66" t="s">
        <v>143</v>
      </c>
      <c r="G2" s="8">
        <v>0</v>
      </c>
      <c r="H2" s="8">
        <v>0.03</v>
      </c>
      <c r="K2" t="s">
        <v>486</v>
      </c>
    </row>
    <row r="3" spans="1:11" ht="28.8" x14ac:dyDescent="0.3">
      <c r="A3" s="66" t="s">
        <v>468</v>
      </c>
      <c r="B3" s="8">
        <v>1.2</v>
      </c>
      <c r="C3" s="8">
        <v>4.9000000000000004</v>
      </c>
      <c r="F3" s="66" t="s">
        <v>468</v>
      </c>
      <c r="G3" s="8">
        <v>0.03</v>
      </c>
      <c r="H3" s="8">
        <v>0.05</v>
      </c>
      <c r="K3" t="s">
        <v>487</v>
      </c>
    </row>
    <row r="4" spans="1:11" x14ac:dyDescent="0.3">
      <c r="A4" s="63" t="s">
        <v>147</v>
      </c>
      <c r="B4" s="8">
        <v>4.9000000000000004</v>
      </c>
      <c r="C4" s="8">
        <v>8.4</v>
      </c>
      <c r="F4" s="63" t="s">
        <v>147</v>
      </c>
      <c r="G4" s="8">
        <v>0.05</v>
      </c>
      <c r="H4" s="8">
        <v>0.08</v>
      </c>
      <c r="K4" t="s">
        <v>488</v>
      </c>
    </row>
    <row r="5" spans="1:11" ht="28.8" x14ac:dyDescent="0.3">
      <c r="A5" s="66" t="s">
        <v>146</v>
      </c>
      <c r="B5" s="8">
        <v>8.4</v>
      </c>
      <c r="C5" s="8">
        <v>14.2</v>
      </c>
      <c r="F5" s="66" t="s">
        <v>146</v>
      </c>
      <c r="G5" s="8">
        <v>0.08</v>
      </c>
      <c r="H5" s="8">
        <v>0.11</v>
      </c>
    </row>
    <row r="6" spans="1:11" x14ac:dyDescent="0.3">
      <c r="A6" s="63" t="s">
        <v>144</v>
      </c>
      <c r="B6" s="8">
        <v>14.2</v>
      </c>
      <c r="C6" s="8"/>
      <c r="F6" s="63" t="s">
        <v>144</v>
      </c>
      <c r="G6" s="8">
        <v>0.11</v>
      </c>
      <c r="H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D28" sqref="D28"/>
    </sheetView>
  </sheetViews>
  <sheetFormatPr baseColWidth="10" defaultRowHeight="14.4" x14ac:dyDescent="0.3"/>
  <sheetData>
    <row r="1" spans="1:8" x14ac:dyDescent="0.3">
      <c r="A1" s="42">
        <v>15</v>
      </c>
      <c r="B1" s="64" t="s">
        <v>134</v>
      </c>
      <c r="C1">
        <v>10729</v>
      </c>
      <c r="D1">
        <v>203851</v>
      </c>
      <c r="E1">
        <v>4</v>
      </c>
      <c r="F1">
        <v>0</v>
      </c>
      <c r="G1">
        <v>0</v>
      </c>
      <c r="H1">
        <v>3</v>
      </c>
    </row>
    <row r="2" spans="1:8" x14ac:dyDescent="0.3">
      <c r="A2" s="43">
        <v>15.1</v>
      </c>
      <c r="B2" s="64" t="s">
        <v>134</v>
      </c>
      <c r="C2">
        <v>10729</v>
      </c>
      <c r="D2">
        <v>203851</v>
      </c>
      <c r="E2">
        <v>4</v>
      </c>
      <c r="F2">
        <v>0</v>
      </c>
      <c r="G2">
        <v>0</v>
      </c>
      <c r="H2">
        <v>3</v>
      </c>
    </row>
    <row r="3" spans="1:8" x14ac:dyDescent="0.3">
      <c r="A3" s="42">
        <v>40</v>
      </c>
      <c r="B3" s="42" t="s">
        <v>134</v>
      </c>
      <c r="C3">
        <v>11149</v>
      </c>
      <c r="D3">
        <v>280955</v>
      </c>
      <c r="E3">
        <v>0</v>
      </c>
      <c r="F3">
        <v>1</v>
      </c>
      <c r="G3">
        <v>0</v>
      </c>
      <c r="H3">
        <v>0</v>
      </c>
    </row>
    <row r="4" spans="1:8" x14ac:dyDescent="0.3">
      <c r="A4" s="43">
        <v>40.1</v>
      </c>
      <c r="B4" s="43" t="s">
        <v>134</v>
      </c>
      <c r="C4">
        <v>11149</v>
      </c>
      <c r="D4">
        <v>280955</v>
      </c>
      <c r="E4">
        <v>0</v>
      </c>
      <c r="F4">
        <v>1</v>
      </c>
      <c r="G4">
        <v>0</v>
      </c>
      <c r="H4">
        <v>0</v>
      </c>
    </row>
    <row r="5" spans="1:8" x14ac:dyDescent="0.3">
      <c r="A5" s="42">
        <v>70.2</v>
      </c>
      <c r="B5" s="64" t="s">
        <v>134</v>
      </c>
      <c r="C5">
        <v>4849</v>
      </c>
      <c r="D5">
        <v>108618</v>
      </c>
      <c r="E5">
        <v>1</v>
      </c>
      <c r="F5">
        <v>1</v>
      </c>
      <c r="G5">
        <v>0</v>
      </c>
      <c r="H5">
        <v>2</v>
      </c>
    </row>
    <row r="6" spans="1:8" x14ac:dyDescent="0.3">
      <c r="A6" s="43">
        <v>700.2</v>
      </c>
      <c r="B6" s="64" t="s">
        <v>134</v>
      </c>
      <c r="C6">
        <v>3657</v>
      </c>
      <c r="D6">
        <v>194918</v>
      </c>
      <c r="E6">
        <v>0</v>
      </c>
      <c r="F6">
        <v>0</v>
      </c>
      <c r="G6">
        <v>0</v>
      </c>
      <c r="H6">
        <v>0</v>
      </c>
    </row>
    <row r="7" spans="1:8" x14ac:dyDescent="0.3">
      <c r="A7" s="42">
        <v>98.8</v>
      </c>
      <c r="B7" s="64" t="s">
        <v>134</v>
      </c>
      <c r="C7">
        <v>10166</v>
      </c>
      <c r="D7">
        <v>302947</v>
      </c>
      <c r="E7">
        <v>1</v>
      </c>
      <c r="F7">
        <v>0</v>
      </c>
      <c r="G7">
        <v>2</v>
      </c>
      <c r="H7">
        <v>0</v>
      </c>
    </row>
    <row r="8" spans="1:8" x14ac:dyDescent="0.3">
      <c r="A8" s="43">
        <v>98.7</v>
      </c>
      <c r="B8" s="64" t="s">
        <v>134</v>
      </c>
      <c r="C8">
        <v>10166</v>
      </c>
      <c r="D8">
        <v>302947</v>
      </c>
      <c r="E8">
        <v>1</v>
      </c>
      <c r="F8">
        <v>0</v>
      </c>
      <c r="G8">
        <v>2</v>
      </c>
      <c r="H8">
        <v>0</v>
      </c>
    </row>
    <row r="9" spans="1:8" x14ac:dyDescent="0.3">
      <c r="A9" s="42">
        <v>103.1</v>
      </c>
      <c r="B9" s="42" t="s">
        <v>134</v>
      </c>
      <c r="C9">
        <v>10166</v>
      </c>
      <c r="D9">
        <v>302947</v>
      </c>
      <c r="E9">
        <v>8</v>
      </c>
      <c r="F9">
        <v>1</v>
      </c>
      <c r="G9">
        <v>0</v>
      </c>
      <c r="H9">
        <v>2</v>
      </c>
    </row>
    <row r="10" spans="1:8" x14ac:dyDescent="0.3">
      <c r="A10" s="43">
        <v>248.5</v>
      </c>
      <c r="B10" s="43" t="s">
        <v>134</v>
      </c>
      <c r="C10">
        <v>21361</v>
      </c>
      <c r="D10">
        <v>460330</v>
      </c>
      <c r="E10">
        <v>3</v>
      </c>
      <c r="F10">
        <v>3</v>
      </c>
      <c r="G10">
        <v>5</v>
      </c>
      <c r="H10">
        <v>1</v>
      </c>
    </row>
    <row r="11" spans="1:8" x14ac:dyDescent="0.3">
      <c r="A11" s="42">
        <v>384.95</v>
      </c>
      <c r="B11" s="64" t="s">
        <v>134</v>
      </c>
      <c r="C11">
        <v>15894</v>
      </c>
      <c r="D11">
        <v>42914</v>
      </c>
      <c r="E11">
        <v>1</v>
      </c>
      <c r="F11">
        <v>1</v>
      </c>
      <c r="G11">
        <v>1</v>
      </c>
      <c r="H11">
        <v>6</v>
      </c>
    </row>
    <row r="12" spans="1:8" x14ac:dyDescent="0.3">
      <c r="A12" s="43">
        <v>384.96</v>
      </c>
      <c r="B12" s="64" t="s">
        <v>134</v>
      </c>
      <c r="C12">
        <v>15894</v>
      </c>
      <c r="D12">
        <v>42914</v>
      </c>
      <c r="E12">
        <v>1</v>
      </c>
      <c r="F12">
        <v>1</v>
      </c>
      <c r="G12">
        <v>1</v>
      </c>
      <c r="H12">
        <v>6</v>
      </c>
    </row>
    <row r="13" spans="1:8" x14ac:dyDescent="0.3">
      <c r="A13" s="42">
        <v>424.15</v>
      </c>
      <c r="B13" s="64" t="s">
        <v>134</v>
      </c>
      <c r="C13">
        <v>7044</v>
      </c>
      <c r="D13">
        <v>239496</v>
      </c>
      <c r="E13">
        <v>1</v>
      </c>
      <c r="F13">
        <v>1</v>
      </c>
      <c r="G13">
        <v>4</v>
      </c>
      <c r="H13">
        <v>0</v>
      </c>
    </row>
    <row r="14" spans="1:8" x14ac:dyDescent="0.3">
      <c r="A14" s="43">
        <v>453.1</v>
      </c>
      <c r="B14" s="64" t="s">
        <v>134</v>
      </c>
      <c r="C14">
        <v>10835</v>
      </c>
      <c r="D14">
        <v>270875</v>
      </c>
      <c r="E14">
        <v>0</v>
      </c>
      <c r="F14">
        <v>1</v>
      </c>
      <c r="G14">
        <v>0</v>
      </c>
      <c r="H14">
        <v>1</v>
      </c>
    </row>
    <row r="15" spans="1:8" x14ac:dyDescent="0.3">
      <c r="A15" s="42">
        <v>453.2</v>
      </c>
      <c r="B15" s="64" t="s">
        <v>134</v>
      </c>
      <c r="C15">
        <v>10835</v>
      </c>
      <c r="D15">
        <v>270875</v>
      </c>
      <c r="E15">
        <v>0</v>
      </c>
      <c r="F15">
        <v>1</v>
      </c>
      <c r="G15">
        <v>0</v>
      </c>
      <c r="H15">
        <v>1</v>
      </c>
    </row>
    <row r="16" spans="1:8" x14ac:dyDescent="0.3">
      <c r="A16" s="43">
        <v>132.5</v>
      </c>
      <c r="B16" s="72" t="s">
        <v>135</v>
      </c>
      <c r="C16">
        <v>7383</v>
      </c>
      <c r="D16">
        <v>121081</v>
      </c>
      <c r="E16">
        <v>0</v>
      </c>
      <c r="F16">
        <v>0</v>
      </c>
      <c r="G16">
        <v>0</v>
      </c>
      <c r="H16">
        <v>0</v>
      </c>
    </row>
    <row r="17" spans="1:8" x14ac:dyDescent="0.3">
      <c r="A17" s="42">
        <v>190.7</v>
      </c>
      <c r="B17" s="72" t="s">
        <v>135</v>
      </c>
      <c r="C17">
        <v>14024</v>
      </c>
      <c r="D17">
        <v>103778</v>
      </c>
      <c r="E17">
        <v>3</v>
      </c>
      <c r="F17">
        <v>1</v>
      </c>
      <c r="G17">
        <v>1</v>
      </c>
      <c r="H17">
        <v>2</v>
      </c>
    </row>
    <row r="18" spans="1:8" x14ac:dyDescent="0.3">
      <c r="A18" s="43">
        <v>190.8</v>
      </c>
      <c r="B18" s="72" t="s">
        <v>135</v>
      </c>
      <c r="C18">
        <v>14024</v>
      </c>
      <c r="D18">
        <v>103778</v>
      </c>
      <c r="E18">
        <v>3</v>
      </c>
      <c r="F18">
        <v>1</v>
      </c>
      <c r="G18">
        <v>1</v>
      </c>
      <c r="H18">
        <v>2</v>
      </c>
    </row>
    <row r="19" spans="1:8" x14ac:dyDescent="0.3">
      <c r="A19" s="42">
        <v>212.9</v>
      </c>
      <c r="B19" s="72" t="s">
        <v>135</v>
      </c>
      <c r="C19">
        <v>5838</v>
      </c>
      <c r="D19">
        <v>134274</v>
      </c>
      <c r="E19">
        <v>2</v>
      </c>
      <c r="F19">
        <v>1</v>
      </c>
      <c r="G19">
        <v>2</v>
      </c>
      <c r="H19">
        <v>2</v>
      </c>
    </row>
    <row r="20" spans="1:8" x14ac:dyDescent="0.3">
      <c r="A20" s="43">
        <v>286.5</v>
      </c>
      <c r="B20" s="72" t="s">
        <v>135</v>
      </c>
      <c r="C20">
        <v>2921</v>
      </c>
      <c r="D20">
        <v>113919</v>
      </c>
      <c r="E20">
        <v>1</v>
      </c>
      <c r="F20">
        <v>1</v>
      </c>
      <c r="G20">
        <v>3</v>
      </c>
      <c r="H20">
        <v>5</v>
      </c>
    </row>
    <row r="21" spans="1:8" x14ac:dyDescent="0.3">
      <c r="A21" s="42">
        <v>322.5</v>
      </c>
      <c r="B21" s="72" t="s">
        <v>135</v>
      </c>
      <c r="C21">
        <v>2981</v>
      </c>
      <c r="D21">
        <v>199727</v>
      </c>
      <c r="E21">
        <v>0</v>
      </c>
      <c r="F21">
        <v>0</v>
      </c>
      <c r="G21">
        <v>1</v>
      </c>
      <c r="H21">
        <v>0</v>
      </c>
    </row>
    <row r="22" spans="1:8" x14ac:dyDescent="0.3">
      <c r="A22" s="43">
        <v>378.4</v>
      </c>
      <c r="B22" s="72" t="s">
        <v>135</v>
      </c>
      <c r="C22">
        <v>2981</v>
      </c>
      <c r="D22">
        <v>199727</v>
      </c>
      <c r="E22">
        <v>0</v>
      </c>
      <c r="F22">
        <v>1</v>
      </c>
      <c r="G22">
        <v>0</v>
      </c>
      <c r="H22">
        <v>0</v>
      </c>
    </row>
    <row r="23" spans="1:8" x14ac:dyDescent="0.3">
      <c r="A23" s="42">
        <v>385.5</v>
      </c>
      <c r="B23" s="72" t="s">
        <v>135</v>
      </c>
      <c r="C23">
        <v>2002</v>
      </c>
      <c r="D23">
        <v>87768</v>
      </c>
      <c r="E23">
        <v>1</v>
      </c>
      <c r="F23">
        <v>0</v>
      </c>
      <c r="G23">
        <v>1</v>
      </c>
      <c r="H23">
        <v>2</v>
      </c>
    </row>
    <row r="24" spans="1:8" x14ac:dyDescent="0.3">
      <c r="A24" s="43">
        <v>434</v>
      </c>
      <c r="B24" s="72" t="s">
        <v>135</v>
      </c>
      <c r="C24">
        <v>2743</v>
      </c>
      <c r="D24">
        <v>84292</v>
      </c>
      <c r="E24">
        <v>0</v>
      </c>
      <c r="F24">
        <v>0</v>
      </c>
      <c r="G24">
        <v>0</v>
      </c>
      <c r="H24">
        <v>0</v>
      </c>
    </row>
    <row r="25" spans="1:8" x14ac:dyDescent="0.3">
      <c r="A25" s="42">
        <v>434.1</v>
      </c>
      <c r="B25" s="72" t="s">
        <v>135</v>
      </c>
      <c r="C25">
        <v>2743</v>
      </c>
      <c r="D25">
        <v>84292</v>
      </c>
      <c r="E25">
        <v>0</v>
      </c>
      <c r="F25">
        <v>0</v>
      </c>
      <c r="G25">
        <v>0</v>
      </c>
      <c r="H25">
        <v>0</v>
      </c>
    </row>
    <row r="26" spans="1:8" x14ac:dyDescent="0.3">
      <c r="A26" s="43">
        <v>482.2</v>
      </c>
      <c r="B26" s="72" t="s">
        <v>135</v>
      </c>
      <c r="C26">
        <v>3533</v>
      </c>
      <c r="D26">
        <v>80729</v>
      </c>
      <c r="E26">
        <v>0</v>
      </c>
      <c r="F26">
        <v>0</v>
      </c>
      <c r="G26">
        <v>0</v>
      </c>
      <c r="H26">
        <v>0</v>
      </c>
    </row>
    <row r="27" spans="1:8" x14ac:dyDescent="0.3">
      <c r="A27" s="42">
        <v>482.3</v>
      </c>
      <c r="B27" s="72" t="s">
        <v>135</v>
      </c>
      <c r="C27">
        <v>3533</v>
      </c>
      <c r="D27">
        <v>80729</v>
      </c>
      <c r="E27">
        <v>0</v>
      </c>
      <c r="F27">
        <v>0</v>
      </c>
      <c r="G27">
        <v>0</v>
      </c>
      <c r="H27">
        <v>0</v>
      </c>
    </row>
    <row r="28" spans="1:8" x14ac:dyDescent="0.3">
      <c r="A28" s="43">
        <v>29.1</v>
      </c>
      <c r="B28" s="73" t="s">
        <v>133</v>
      </c>
      <c r="C28">
        <v>2922</v>
      </c>
      <c r="D28">
        <v>106361</v>
      </c>
      <c r="E28">
        <v>1</v>
      </c>
      <c r="F28">
        <v>1</v>
      </c>
      <c r="G28">
        <v>3</v>
      </c>
      <c r="H28">
        <v>0</v>
      </c>
    </row>
    <row r="29" spans="1:8" x14ac:dyDescent="0.3">
      <c r="A29" s="42">
        <v>29.2</v>
      </c>
      <c r="B29" s="73" t="s">
        <v>133</v>
      </c>
      <c r="C29">
        <v>2922</v>
      </c>
      <c r="D29">
        <v>106361</v>
      </c>
      <c r="E29">
        <v>1</v>
      </c>
      <c r="F29">
        <v>1</v>
      </c>
      <c r="G29">
        <v>3</v>
      </c>
      <c r="H29">
        <v>0</v>
      </c>
    </row>
    <row r="30" spans="1:8" x14ac:dyDescent="0.3">
      <c r="A30" s="43">
        <v>87.9</v>
      </c>
      <c r="B30" s="73" t="s">
        <v>133</v>
      </c>
      <c r="C30">
        <v>1360</v>
      </c>
      <c r="D30">
        <v>51000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s="42">
        <v>129.69999999999999</v>
      </c>
      <c r="B31" s="73" t="s">
        <v>133</v>
      </c>
      <c r="C31">
        <v>1757</v>
      </c>
      <c r="D31">
        <v>76430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s="43">
        <v>173.1</v>
      </c>
      <c r="B32" s="73" t="s">
        <v>133</v>
      </c>
      <c r="C32">
        <v>4350</v>
      </c>
      <c r="D32">
        <v>80475</v>
      </c>
      <c r="E32">
        <v>0</v>
      </c>
      <c r="F32">
        <v>0</v>
      </c>
      <c r="G32">
        <v>1</v>
      </c>
      <c r="H32">
        <v>0</v>
      </c>
    </row>
    <row r="33" spans="1:8" x14ac:dyDescent="0.3">
      <c r="A33" s="42">
        <v>224.2</v>
      </c>
      <c r="B33" s="73" t="s">
        <v>133</v>
      </c>
      <c r="C33">
        <v>11314</v>
      </c>
      <c r="D33">
        <v>130111</v>
      </c>
      <c r="E33">
        <v>23</v>
      </c>
      <c r="F33">
        <v>1</v>
      </c>
      <c r="G33">
        <v>2</v>
      </c>
      <c r="H33">
        <v>19</v>
      </c>
    </row>
    <row r="34" spans="1:8" x14ac:dyDescent="0.3">
      <c r="A34" s="43">
        <v>262.60000000000002</v>
      </c>
      <c r="B34" s="73" t="s">
        <v>133</v>
      </c>
      <c r="C34">
        <v>14195</v>
      </c>
      <c r="D34">
        <v>679941</v>
      </c>
      <c r="E34">
        <v>2</v>
      </c>
      <c r="F34">
        <v>1</v>
      </c>
      <c r="G34">
        <v>0</v>
      </c>
      <c r="H34">
        <v>5</v>
      </c>
    </row>
    <row r="35" spans="1:8" x14ac:dyDescent="0.3">
      <c r="A35" s="42">
        <v>34</v>
      </c>
      <c r="B35" s="74" t="s">
        <v>132</v>
      </c>
      <c r="C35">
        <v>18875</v>
      </c>
      <c r="D35">
        <v>226500</v>
      </c>
      <c r="E35">
        <v>3</v>
      </c>
      <c r="F35">
        <v>1</v>
      </c>
      <c r="G35">
        <v>4</v>
      </c>
      <c r="H35">
        <v>4</v>
      </c>
    </row>
    <row r="36" spans="1:8" x14ac:dyDescent="0.3">
      <c r="A36" s="43">
        <v>34.4</v>
      </c>
      <c r="B36" s="74" t="s">
        <v>132</v>
      </c>
      <c r="C36">
        <v>18875</v>
      </c>
      <c r="D36">
        <v>226500</v>
      </c>
      <c r="E36">
        <v>3</v>
      </c>
      <c r="F36">
        <v>1</v>
      </c>
      <c r="G36">
        <v>4</v>
      </c>
      <c r="H36">
        <v>4</v>
      </c>
    </row>
    <row r="37" spans="1:8" x14ac:dyDescent="0.3">
      <c r="A37" s="42">
        <v>73.3</v>
      </c>
      <c r="B37" s="42" t="s">
        <v>132</v>
      </c>
      <c r="C37">
        <v>16256</v>
      </c>
      <c r="D37">
        <v>165811</v>
      </c>
      <c r="E37">
        <v>0</v>
      </c>
      <c r="F37">
        <v>1</v>
      </c>
      <c r="G37">
        <v>0</v>
      </c>
      <c r="H37">
        <v>0</v>
      </c>
    </row>
    <row r="38" spans="1:8" x14ac:dyDescent="0.3">
      <c r="A38" s="43">
        <v>73.349999999999994</v>
      </c>
      <c r="B38" s="43" t="s">
        <v>132</v>
      </c>
      <c r="C38">
        <v>16256</v>
      </c>
      <c r="D38">
        <v>165811</v>
      </c>
      <c r="E38">
        <v>0</v>
      </c>
      <c r="F38">
        <v>1</v>
      </c>
      <c r="G38">
        <v>0</v>
      </c>
      <c r="H38">
        <v>0</v>
      </c>
    </row>
    <row r="39" spans="1:8" x14ac:dyDescent="0.3">
      <c r="A39" s="42">
        <v>83.2</v>
      </c>
      <c r="B39" s="74" t="s">
        <v>132</v>
      </c>
      <c r="C39">
        <v>5868</v>
      </c>
      <c r="D39">
        <v>221224</v>
      </c>
      <c r="E39">
        <v>0</v>
      </c>
      <c r="F39">
        <v>1</v>
      </c>
      <c r="G39">
        <v>0</v>
      </c>
      <c r="H39">
        <v>0</v>
      </c>
    </row>
    <row r="40" spans="1:8" x14ac:dyDescent="0.3">
      <c r="A40" s="43">
        <v>83.26</v>
      </c>
      <c r="B40" s="74" t="s">
        <v>132</v>
      </c>
      <c r="C40">
        <v>5868</v>
      </c>
      <c r="D40">
        <v>221224</v>
      </c>
      <c r="E40">
        <v>0</v>
      </c>
      <c r="F40">
        <v>1</v>
      </c>
      <c r="G40">
        <v>0</v>
      </c>
      <c r="H40">
        <v>0</v>
      </c>
    </row>
    <row r="41" spans="1:8" x14ac:dyDescent="0.3">
      <c r="A41" s="42">
        <v>188.9</v>
      </c>
      <c r="B41" s="42" t="s">
        <v>132</v>
      </c>
      <c r="C41">
        <v>5830</v>
      </c>
      <c r="D41">
        <v>221540</v>
      </c>
      <c r="E41">
        <v>0</v>
      </c>
      <c r="F41">
        <v>0</v>
      </c>
      <c r="G41">
        <v>0</v>
      </c>
      <c r="H41">
        <v>1</v>
      </c>
    </row>
    <row r="42" spans="1:8" x14ac:dyDescent="0.3">
      <c r="A42" s="43">
        <v>189</v>
      </c>
      <c r="B42" s="74" t="s">
        <v>132</v>
      </c>
      <c r="C42">
        <v>5830</v>
      </c>
      <c r="D42">
        <v>221540</v>
      </c>
      <c r="E42">
        <v>0</v>
      </c>
      <c r="F42">
        <v>0</v>
      </c>
      <c r="G42">
        <v>0</v>
      </c>
      <c r="H42">
        <v>1</v>
      </c>
    </row>
    <row r="43" spans="1:8" x14ac:dyDescent="0.3">
      <c r="A43" s="42">
        <v>18.8</v>
      </c>
      <c r="B43" s="42" t="s">
        <v>364</v>
      </c>
      <c r="C43">
        <v>17448</v>
      </c>
      <c r="D43">
        <v>350705</v>
      </c>
      <c r="E43">
        <v>0</v>
      </c>
      <c r="F43">
        <v>0</v>
      </c>
      <c r="G43">
        <v>0</v>
      </c>
      <c r="H43">
        <v>0</v>
      </c>
    </row>
    <row r="44" spans="1:8" x14ac:dyDescent="0.3">
      <c r="A44" s="43">
        <v>4.9000000000000004</v>
      </c>
      <c r="B44" s="43" t="s">
        <v>364</v>
      </c>
      <c r="C44">
        <v>17448</v>
      </c>
      <c r="D44">
        <v>350705</v>
      </c>
      <c r="E44">
        <v>0</v>
      </c>
      <c r="F44">
        <v>0</v>
      </c>
      <c r="G44">
        <v>0</v>
      </c>
      <c r="H44">
        <v>0</v>
      </c>
    </row>
    <row r="45" spans="1:8" x14ac:dyDescent="0.3">
      <c r="A45" s="42">
        <v>103.2</v>
      </c>
      <c r="B45" s="64" t="s">
        <v>134</v>
      </c>
      <c r="C45">
        <v>10166</v>
      </c>
      <c r="D45">
        <v>302947</v>
      </c>
      <c r="E45">
        <v>3</v>
      </c>
      <c r="F45">
        <v>1</v>
      </c>
      <c r="G45">
        <v>4</v>
      </c>
      <c r="H45">
        <v>7</v>
      </c>
    </row>
    <row r="46" spans="1:8" x14ac:dyDescent="0.3">
      <c r="A46" s="43">
        <v>424.5</v>
      </c>
      <c r="B46" s="64" t="s">
        <v>134</v>
      </c>
      <c r="C46">
        <v>7044</v>
      </c>
      <c r="D46">
        <v>239496</v>
      </c>
      <c r="E46">
        <v>1</v>
      </c>
      <c r="F46">
        <v>1</v>
      </c>
      <c r="G46">
        <v>4</v>
      </c>
      <c r="H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H3" sqref="H3"/>
    </sheetView>
  </sheetViews>
  <sheetFormatPr baseColWidth="10" defaultRowHeight="14.4" x14ac:dyDescent="0.3"/>
  <cols>
    <col min="1" max="1" width="17.33203125" customWidth="1"/>
    <col min="3" max="3" width="30.44140625" customWidth="1"/>
    <col min="9" max="9" width="21.6640625" bestFit="1" customWidth="1"/>
  </cols>
  <sheetData>
    <row r="1" spans="1:9" ht="57.6" x14ac:dyDescent="0.3">
      <c r="A1" s="20" t="s">
        <v>226</v>
      </c>
      <c r="B1" s="8" t="s">
        <v>128</v>
      </c>
      <c r="C1" s="11" t="s">
        <v>129</v>
      </c>
      <c r="D1" s="8" t="s">
        <v>130</v>
      </c>
      <c r="E1" s="8" t="s">
        <v>131</v>
      </c>
      <c r="F1" s="16" t="s">
        <v>366</v>
      </c>
      <c r="G1" s="16" t="s">
        <v>367</v>
      </c>
      <c r="H1" s="55" t="s">
        <v>368</v>
      </c>
      <c r="I1" s="56" t="s">
        <v>369</v>
      </c>
    </row>
    <row r="2" spans="1:9" ht="28.8" x14ac:dyDescent="0.3">
      <c r="A2" s="21">
        <v>1</v>
      </c>
      <c r="B2" s="8" t="s">
        <v>102</v>
      </c>
      <c r="C2" s="11" t="s">
        <v>26</v>
      </c>
      <c r="D2" s="8" t="s">
        <v>27</v>
      </c>
      <c r="E2" s="8" t="s">
        <v>28</v>
      </c>
      <c r="F2">
        <v>6</v>
      </c>
      <c r="G2" t="s">
        <v>370</v>
      </c>
      <c r="H2" t="s">
        <v>371</v>
      </c>
      <c r="I2" t="s">
        <v>372</v>
      </c>
    </row>
    <row r="3" spans="1:9" ht="57.6" x14ac:dyDescent="0.3">
      <c r="A3" s="28">
        <f>A2+1</f>
        <v>2</v>
      </c>
      <c r="B3" s="8" t="s">
        <v>103</v>
      </c>
      <c r="C3" s="11" t="s">
        <v>29</v>
      </c>
      <c r="D3" s="8" t="s">
        <v>27</v>
      </c>
      <c r="E3" s="8" t="s">
        <v>30</v>
      </c>
      <c r="I3" t="s">
        <v>373</v>
      </c>
    </row>
    <row r="4" spans="1:9" ht="57.6" x14ac:dyDescent="0.3">
      <c r="A4" s="28">
        <f t="shared" ref="A4:A67" si="0">A3+1</f>
        <v>3</v>
      </c>
      <c r="B4" s="8" t="s">
        <v>298</v>
      </c>
      <c r="C4" s="11" t="s">
        <v>316</v>
      </c>
      <c r="D4" s="49" t="s">
        <v>333</v>
      </c>
      <c r="E4" s="50" t="s">
        <v>334</v>
      </c>
      <c r="I4" t="s">
        <v>374</v>
      </c>
    </row>
    <row r="5" spans="1:9" ht="72" x14ac:dyDescent="0.3">
      <c r="A5" s="28">
        <f t="shared" si="0"/>
        <v>4</v>
      </c>
      <c r="B5" s="8" t="s">
        <v>299</v>
      </c>
      <c r="C5" s="11" t="s">
        <v>317</v>
      </c>
      <c r="D5" s="49" t="s">
        <v>333</v>
      </c>
      <c r="E5" s="50" t="s">
        <v>335</v>
      </c>
      <c r="I5" t="s">
        <v>375</v>
      </c>
    </row>
    <row r="6" spans="1:9" x14ac:dyDescent="0.3">
      <c r="A6" s="28">
        <f t="shared" si="0"/>
        <v>5</v>
      </c>
      <c r="B6" s="8" t="s">
        <v>110</v>
      </c>
      <c r="C6" s="11" t="s">
        <v>46</v>
      </c>
      <c r="D6" s="8" t="s">
        <v>47</v>
      </c>
      <c r="E6" s="8" t="s">
        <v>48</v>
      </c>
      <c r="I6" t="s">
        <v>376</v>
      </c>
    </row>
    <row r="7" spans="1:9" ht="28.8" x14ac:dyDescent="0.3">
      <c r="A7" s="28">
        <f t="shared" si="0"/>
        <v>6</v>
      </c>
      <c r="B7" s="8" t="s">
        <v>121</v>
      </c>
      <c r="C7" s="11" t="s">
        <v>75</v>
      </c>
      <c r="D7" s="8" t="s">
        <v>76</v>
      </c>
      <c r="E7" s="8" t="s">
        <v>77</v>
      </c>
      <c r="I7" t="s">
        <v>377</v>
      </c>
    </row>
    <row r="8" spans="1:9" ht="28.8" x14ac:dyDescent="0.3">
      <c r="A8" s="28">
        <f t="shared" si="0"/>
        <v>7</v>
      </c>
      <c r="B8" s="8" t="s">
        <v>111</v>
      </c>
      <c r="C8" s="11" t="s">
        <v>49</v>
      </c>
      <c r="D8" s="8" t="s">
        <v>47</v>
      </c>
      <c r="E8" s="8" t="s">
        <v>48</v>
      </c>
      <c r="I8" t="s">
        <v>378</v>
      </c>
    </row>
    <row r="9" spans="1:9" ht="28.8" x14ac:dyDescent="0.3">
      <c r="A9" s="28">
        <f t="shared" si="0"/>
        <v>8</v>
      </c>
      <c r="B9" s="8" t="s">
        <v>112</v>
      </c>
      <c r="C9" s="11" t="s">
        <v>50</v>
      </c>
      <c r="D9" s="8" t="s">
        <v>47</v>
      </c>
      <c r="E9" s="8" t="s">
        <v>51</v>
      </c>
      <c r="I9" t="s">
        <v>379</v>
      </c>
    </row>
    <row r="10" spans="1:9" ht="28.8" x14ac:dyDescent="0.3">
      <c r="A10" s="28">
        <f t="shared" si="0"/>
        <v>9</v>
      </c>
      <c r="B10" s="8" t="s">
        <v>300</v>
      </c>
      <c r="C10" s="11" t="s">
        <v>327</v>
      </c>
      <c r="D10" s="49" t="s">
        <v>336</v>
      </c>
      <c r="E10" s="50" t="s">
        <v>337</v>
      </c>
      <c r="I10" t="s">
        <v>218</v>
      </c>
    </row>
    <row r="11" spans="1:9" ht="28.8" x14ac:dyDescent="0.3">
      <c r="A11" s="28">
        <f t="shared" si="0"/>
        <v>10</v>
      </c>
      <c r="B11" s="8" t="s">
        <v>301</v>
      </c>
      <c r="C11" s="11" t="s">
        <v>318</v>
      </c>
      <c r="D11" s="49" t="s">
        <v>338</v>
      </c>
      <c r="E11" s="50" t="s">
        <v>339</v>
      </c>
      <c r="I11" t="s">
        <v>218</v>
      </c>
    </row>
    <row r="12" spans="1:9" x14ac:dyDescent="0.3">
      <c r="A12" s="28">
        <f t="shared" si="0"/>
        <v>11</v>
      </c>
      <c r="B12" s="8" t="s">
        <v>104</v>
      </c>
      <c r="C12" s="11" t="s">
        <v>31</v>
      </c>
      <c r="D12" s="8"/>
      <c r="E12" s="8"/>
      <c r="I12" t="s">
        <v>380</v>
      </c>
    </row>
    <row r="13" spans="1:9" ht="28.8" x14ac:dyDescent="0.3">
      <c r="A13" s="28">
        <f t="shared" si="0"/>
        <v>12</v>
      </c>
      <c r="B13" s="8" t="s">
        <v>105</v>
      </c>
      <c r="C13" s="11" t="s">
        <v>32</v>
      </c>
      <c r="D13" s="8" t="s">
        <v>33</v>
      </c>
      <c r="E13" s="8" t="s">
        <v>34</v>
      </c>
      <c r="I13" t="s">
        <v>218</v>
      </c>
    </row>
    <row r="14" spans="1:9" ht="28.8" x14ac:dyDescent="0.3">
      <c r="A14" s="28">
        <f t="shared" si="0"/>
        <v>13</v>
      </c>
      <c r="B14" s="8" t="s">
        <v>99</v>
      </c>
      <c r="C14" s="11" t="s">
        <v>17</v>
      </c>
      <c r="D14" s="8" t="s">
        <v>18</v>
      </c>
      <c r="E14" s="8" t="s">
        <v>19</v>
      </c>
      <c r="I14" t="s">
        <v>381</v>
      </c>
    </row>
    <row r="15" spans="1:9" x14ac:dyDescent="0.3">
      <c r="A15" s="28">
        <f t="shared" si="0"/>
        <v>14</v>
      </c>
      <c r="B15" s="8" t="s">
        <v>115</v>
      </c>
      <c r="C15" s="11" t="s">
        <v>57</v>
      </c>
      <c r="D15" s="8" t="s">
        <v>58</v>
      </c>
      <c r="E15" s="8" t="s">
        <v>59</v>
      </c>
      <c r="I15" t="s">
        <v>382</v>
      </c>
    </row>
    <row r="16" spans="1:9" x14ac:dyDescent="0.3">
      <c r="A16" s="28">
        <f t="shared" si="0"/>
        <v>15</v>
      </c>
      <c r="B16" s="8" t="s">
        <v>116</v>
      </c>
      <c r="C16" s="11" t="s">
        <v>60</v>
      </c>
      <c r="D16" s="8" t="s">
        <v>61</v>
      </c>
      <c r="E16" s="8" t="s">
        <v>62</v>
      </c>
      <c r="I16" t="s">
        <v>383</v>
      </c>
    </row>
    <row r="17" spans="1:5" x14ac:dyDescent="0.3">
      <c r="A17" s="28">
        <f t="shared" si="0"/>
        <v>16</v>
      </c>
      <c r="B17" s="8" t="s">
        <v>302</v>
      </c>
      <c r="C17" s="11" t="s">
        <v>319</v>
      </c>
      <c r="D17" s="49" t="s">
        <v>340</v>
      </c>
      <c r="E17" s="50" t="s">
        <v>341</v>
      </c>
    </row>
    <row r="18" spans="1:5" x14ac:dyDescent="0.3">
      <c r="A18" s="28">
        <f t="shared" si="0"/>
        <v>17</v>
      </c>
      <c r="B18" s="8" t="s">
        <v>108</v>
      </c>
      <c r="C18" s="11" t="s">
        <v>41</v>
      </c>
      <c r="D18" s="8" t="s">
        <v>42</v>
      </c>
      <c r="E18" s="8" t="s">
        <v>43</v>
      </c>
    </row>
    <row r="19" spans="1:5" x14ac:dyDescent="0.3">
      <c r="A19" s="28">
        <f t="shared" si="0"/>
        <v>18</v>
      </c>
      <c r="B19" s="8" t="s">
        <v>109</v>
      </c>
      <c r="C19" s="11" t="s">
        <v>44</v>
      </c>
      <c r="D19" s="8" t="s">
        <v>42</v>
      </c>
      <c r="E19" s="8" t="s">
        <v>45</v>
      </c>
    </row>
    <row r="20" spans="1:5" x14ac:dyDescent="0.3">
      <c r="A20" s="28">
        <f t="shared" si="0"/>
        <v>19</v>
      </c>
      <c r="B20" s="8" t="s">
        <v>100</v>
      </c>
      <c r="C20" s="11" t="s">
        <v>20</v>
      </c>
      <c r="D20" s="8" t="s">
        <v>21</v>
      </c>
      <c r="E20" s="8" t="s">
        <v>22</v>
      </c>
    </row>
    <row r="21" spans="1:5" x14ac:dyDescent="0.3">
      <c r="A21" s="28">
        <f t="shared" si="0"/>
        <v>20</v>
      </c>
      <c r="B21" s="8" t="s">
        <v>106</v>
      </c>
      <c r="C21" s="11" t="s">
        <v>35</v>
      </c>
      <c r="D21" s="8" t="s">
        <v>36</v>
      </c>
      <c r="E21" s="8" t="s">
        <v>37</v>
      </c>
    </row>
    <row r="22" spans="1:5" x14ac:dyDescent="0.3">
      <c r="A22" s="28">
        <f t="shared" si="0"/>
        <v>21</v>
      </c>
      <c r="B22" s="8" t="s">
        <v>118</v>
      </c>
      <c r="C22" s="11" t="s">
        <v>66</v>
      </c>
      <c r="D22" s="8" t="s">
        <v>67</v>
      </c>
      <c r="E22" s="8" t="s">
        <v>68</v>
      </c>
    </row>
    <row r="23" spans="1:5" x14ac:dyDescent="0.3">
      <c r="A23" s="28">
        <f t="shared" si="0"/>
        <v>22</v>
      </c>
      <c r="B23" s="8" t="s">
        <v>303</v>
      </c>
      <c r="C23" s="11" t="s">
        <v>320</v>
      </c>
      <c r="D23" s="49" t="s">
        <v>64</v>
      </c>
      <c r="E23" s="50" t="s">
        <v>342</v>
      </c>
    </row>
    <row r="24" spans="1:5" x14ac:dyDescent="0.3">
      <c r="A24" s="28">
        <f t="shared" si="0"/>
        <v>23</v>
      </c>
      <c r="B24" s="8" t="s">
        <v>117</v>
      </c>
      <c r="C24" s="11" t="s">
        <v>63</v>
      </c>
      <c r="D24" s="8" t="s">
        <v>64</v>
      </c>
      <c r="E24" s="8" t="s">
        <v>65</v>
      </c>
    </row>
    <row r="25" spans="1:5" x14ac:dyDescent="0.3">
      <c r="A25" s="28">
        <f t="shared" si="0"/>
        <v>24</v>
      </c>
      <c r="B25" s="8" t="s">
        <v>122</v>
      </c>
      <c r="C25" s="11" t="s">
        <v>78</v>
      </c>
      <c r="D25" s="8" t="s">
        <v>79</v>
      </c>
      <c r="E25" s="8" t="s">
        <v>80</v>
      </c>
    </row>
    <row r="26" spans="1:5" x14ac:dyDescent="0.3">
      <c r="A26" s="28">
        <f t="shared" si="0"/>
        <v>25</v>
      </c>
      <c r="B26" s="8" t="s">
        <v>123</v>
      </c>
      <c r="C26" s="11" t="s">
        <v>81</v>
      </c>
      <c r="D26" s="8" t="s">
        <v>82</v>
      </c>
      <c r="E26" s="8" t="s">
        <v>83</v>
      </c>
    </row>
    <row r="27" spans="1:5" ht="28.8" x14ac:dyDescent="0.3">
      <c r="A27" s="28">
        <f t="shared" si="0"/>
        <v>26</v>
      </c>
      <c r="B27" s="8" t="s">
        <v>304</v>
      </c>
      <c r="C27" s="11" t="s">
        <v>328</v>
      </c>
      <c r="D27" s="49" t="s">
        <v>343</v>
      </c>
      <c r="E27" s="50" t="s">
        <v>344</v>
      </c>
    </row>
    <row r="28" spans="1:5" ht="28.8" x14ac:dyDescent="0.3">
      <c r="A28" s="28">
        <f t="shared" si="0"/>
        <v>27</v>
      </c>
      <c r="B28" s="8" t="s">
        <v>305</v>
      </c>
      <c r="C28" s="11" t="s">
        <v>329</v>
      </c>
      <c r="D28" s="49" t="s">
        <v>343</v>
      </c>
      <c r="E28" s="50" t="s">
        <v>345</v>
      </c>
    </row>
    <row r="29" spans="1:5" x14ac:dyDescent="0.3">
      <c r="A29" s="28">
        <f t="shared" si="0"/>
        <v>28</v>
      </c>
      <c r="B29" s="8" t="s">
        <v>113</v>
      </c>
      <c r="C29" s="11" t="s">
        <v>52</v>
      </c>
      <c r="D29" s="8" t="s">
        <v>53</v>
      </c>
      <c r="E29" s="8" t="s">
        <v>54</v>
      </c>
    </row>
    <row r="30" spans="1:5" x14ac:dyDescent="0.3">
      <c r="A30" s="28">
        <f t="shared" si="0"/>
        <v>29</v>
      </c>
      <c r="B30" s="8" t="s">
        <v>114</v>
      </c>
      <c r="C30" s="11" t="s">
        <v>55</v>
      </c>
      <c r="D30" s="8" t="s">
        <v>53</v>
      </c>
      <c r="E30" s="8" t="s">
        <v>56</v>
      </c>
    </row>
    <row r="31" spans="1:5" x14ac:dyDescent="0.3">
      <c r="A31" s="28">
        <f t="shared" si="0"/>
        <v>30</v>
      </c>
      <c r="B31" s="8" t="s">
        <v>124</v>
      </c>
      <c r="C31" s="11" t="s">
        <v>84</v>
      </c>
      <c r="D31" s="8" t="s">
        <v>85</v>
      </c>
      <c r="E31" s="8" t="s">
        <v>86</v>
      </c>
    </row>
    <row r="32" spans="1:5" x14ac:dyDescent="0.3">
      <c r="A32" s="28">
        <f t="shared" si="0"/>
        <v>31</v>
      </c>
      <c r="B32" s="8" t="s">
        <v>125</v>
      </c>
      <c r="C32" s="11" t="s">
        <v>87</v>
      </c>
      <c r="D32" s="8" t="s">
        <v>88</v>
      </c>
      <c r="E32" s="8" t="s">
        <v>89</v>
      </c>
    </row>
    <row r="33" spans="1:5" x14ac:dyDescent="0.3">
      <c r="A33" s="28">
        <f t="shared" si="0"/>
        <v>32</v>
      </c>
      <c r="B33" s="8" t="s">
        <v>119</v>
      </c>
      <c r="C33" s="11" t="s">
        <v>69</v>
      </c>
      <c r="D33" s="8" t="s">
        <v>70</v>
      </c>
      <c r="E33" s="8" t="s">
        <v>71</v>
      </c>
    </row>
    <row r="34" spans="1:5" ht="28.8" x14ac:dyDescent="0.3">
      <c r="A34" s="28">
        <f t="shared" si="0"/>
        <v>33</v>
      </c>
      <c r="B34" s="8" t="s">
        <v>97</v>
      </c>
      <c r="C34" s="11" t="s">
        <v>11</v>
      </c>
      <c r="D34" s="8" t="s">
        <v>12</v>
      </c>
      <c r="E34" s="8" t="s">
        <v>13</v>
      </c>
    </row>
    <row r="35" spans="1:5" ht="28.8" x14ac:dyDescent="0.3">
      <c r="A35" s="28">
        <f t="shared" si="0"/>
        <v>34</v>
      </c>
      <c r="B35" s="47" t="s">
        <v>98</v>
      </c>
      <c r="C35" s="11" t="s">
        <v>14</v>
      </c>
      <c r="D35" s="8" t="s">
        <v>15</v>
      </c>
      <c r="E35" s="8" t="s">
        <v>16</v>
      </c>
    </row>
    <row r="36" spans="1:5" x14ac:dyDescent="0.3">
      <c r="A36" s="28">
        <f t="shared" si="0"/>
        <v>35</v>
      </c>
      <c r="B36" s="47" t="s">
        <v>95</v>
      </c>
      <c r="C36" s="11" t="s">
        <v>6</v>
      </c>
      <c r="D36" s="8" t="s">
        <v>7</v>
      </c>
      <c r="E36" s="8" t="s">
        <v>8</v>
      </c>
    </row>
    <row r="37" spans="1:5" x14ac:dyDescent="0.3">
      <c r="A37" s="28">
        <f t="shared" si="0"/>
        <v>36</v>
      </c>
      <c r="B37" s="8" t="s">
        <v>96</v>
      </c>
      <c r="C37" s="11" t="s">
        <v>9</v>
      </c>
      <c r="D37" s="8" t="s">
        <v>7</v>
      </c>
      <c r="E37" s="8" t="s">
        <v>10</v>
      </c>
    </row>
    <row r="38" spans="1:5" x14ac:dyDescent="0.3">
      <c r="A38" s="28">
        <f t="shared" si="0"/>
        <v>37</v>
      </c>
      <c r="B38" s="8" t="s">
        <v>306</v>
      </c>
      <c r="C38" s="11" t="s">
        <v>330</v>
      </c>
      <c r="D38" s="49" t="s">
        <v>346</v>
      </c>
      <c r="E38" s="50" t="s">
        <v>347</v>
      </c>
    </row>
    <row r="39" spans="1:5" x14ac:dyDescent="0.3">
      <c r="A39" s="28">
        <f t="shared" si="0"/>
        <v>38</v>
      </c>
      <c r="B39" s="8" t="s">
        <v>307</v>
      </c>
      <c r="C39" s="11" t="s">
        <v>331</v>
      </c>
      <c r="D39" s="49" t="s">
        <v>346</v>
      </c>
      <c r="E39" s="50" t="s">
        <v>348</v>
      </c>
    </row>
    <row r="40" spans="1:5" x14ac:dyDescent="0.3">
      <c r="A40" s="28">
        <f t="shared" si="0"/>
        <v>39</v>
      </c>
      <c r="B40" s="8" t="s">
        <v>126</v>
      </c>
      <c r="C40" s="11" t="s">
        <v>90</v>
      </c>
      <c r="D40" s="8" t="s">
        <v>91</v>
      </c>
      <c r="E40" s="8" t="s">
        <v>92</v>
      </c>
    </row>
    <row r="41" spans="1:5" x14ac:dyDescent="0.3">
      <c r="A41" s="28">
        <f t="shared" si="0"/>
        <v>40</v>
      </c>
      <c r="B41" s="8" t="s">
        <v>127</v>
      </c>
      <c r="C41" s="11" t="s">
        <v>93</v>
      </c>
      <c r="D41" s="8" t="s">
        <v>91</v>
      </c>
      <c r="E41" s="8" t="s">
        <v>94</v>
      </c>
    </row>
    <row r="42" spans="1:5" ht="28.8" x14ac:dyDescent="0.3">
      <c r="A42" s="28">
        <f t="shared" si="0"/>
        <v>41</v>
      </c>
      <c r="B42" s="8" t="s">
        <v>308</v>
      </c>
      <c r="C42" s="11" t="s">
        <v>332</v>
      </c>
      <c r="D42" s="49" t="s">
        <v>73</v>
      </c>
      <c r="E42" s="50" t="s">
        <v>349</v>
      </c>
    </row>
    <row r="43" spans="1:5" x14ac:dyDescent="0.3">
      <c r="A43" s="28">
        <f t="shared" si="0"/>
        <v>42</v>
      </c>
      <c r="B43" s="8" t="s">
        <v>120</v>
      </c>
      <c r="C43" s="11" t="s">
        <v>72</v>
      </c>
      <c r="D43" s="8" t="s">
        <v>73</v>
      </c>
      <c r="E43" s="8" t="s">
        <v>74</v>
      </c>
    </row>
    <row r="44" spans="1:5" x14ac:dyDescent="0.3">
      <c r="A44" s="28">
        <f t="shared" si="0"/>
        <v>43</v>
      </c>
      <c r="B44" s="8" t="s">
        <v>309</v>
      </c>
      <c r="C44" s="11" t="s">
        <v>321</v>
      </c>
      <c r="D44" s="49" t="s">
        <v>350</v>
      </c>
      <c r="E44" s="50" t="s">
        <v>351</v>
      </c>
    </row>
    <row r="45" spans="1:5" x14ac:dyDescent="0.3">
      <c r="A45" s="28">
        <f t="shared" si="0"/>
        <v>44</v>
      </c>
      <c r="B45" s="47" t="s">
        <v>310</v>
      </c>
      <c r="C45" s="11" t="s">
        <v>322</v>
      </c>
      <c r="D45" s="49" t="s">
        <v>352</v>
      </c>
      <c r="E45" s="50" t="s">
        <v>353</v>
      </c>
    </row>
    <row r="46" spans="1:5" ht="28.8" x14ac:dyDescent="0.3">
      <c r="A46" s="28">
        <f t="shared" si="0"/>
        <v>45</v>
      </c>
      <c r="B46" s="47" t="s">
        <v>107</v>
      </c>
      <c r="C46" s="11" t="s">
        <v>38</v>
      </c>
      <c r="D46" s="8" t="s">
        <v>39</v>
      </c>
      <c r="E46" s="8" t="s">
        <v>40</v>
      </c>
    </row>
    <row r="47" spans="1:5" ht="28.8" x14ac:dyDescent="0.3">
      <c r="A47" s="28">
        <f t="shared" si="0"/>
        <v>46</v>
      </c>
      <c r="B47" s="47" t="s">
        <v>101</v>
      </c>
      <c r="C47" s="11" t="s">
        <v>23</v>
      </c>
      <c r="D47" s="8" t="s">
        <v>24</v>
      </c>
      <c r="E47" s="8" t="s">
        <v>25</v>
      </c>
    </row>
    <row r="48" spans="1:5" x14ac:dyDescent="0.3">
      <c r="A48" s="28">
        <f t="shared" si="0"/>
        <v>47</v>
      </c>
      <c r="B48" s="41" t="s">
        <v>229</v>
      </c>
      <c r="C48" s="11" t="s">
        <v>227</v>
      </c>
      <c r="D48" s="10" t="s">
        <v>286</v>
      </c>
      <c r="E48" s="10" t="s">
        <v>231</v>
      </c>
    </row>
    <row r="49" spans="1:5" x14ac:dyDescent="0.3">
      <c r="A49" s="28">
        <f t="shared" si="0"/>
        <v>48</v>
      </c>
      <c r="B49" s="41" t="s">
        <v>230</v>
      </c>
      <c r="C49" s="11" t="s">
        <v>228</v>
      </c>
      <c r="D49" s="9" t="s">
        <v>232</v>
      </c>
      <c r="E49" s="10" t="s">
        <v>233</v>
      </c>
    </row>
    <row r="50" spans="1:5" x14ac:dyDescent="0.3">
      <c r="A50" s="28">
        <f t="shared" si="0"/>
        <v>49</v>
      </c>
      <c r="B50" s="54" t="s">
        <v>181</v>
      </c>
      <c r="C50" s="19" t="s">
        <v>223</v>
      </c>
      <c r="D50" s="14" t="s">
        <v>203</v>
      </c>
      <c r="E50" s="15" t="s">
        <v>204</v>
      </c>
    </row>
    <row r="51" spans="1:5" x14ac:dyDescent="0.3">
      <c r="A51" s="28">
        <f t="shared" si="0"/>
        <v>50</v>
      </c>
      <c r="B51" s="54" t="s">
        <v>182</v>
      </c>
      <c r="C51" s="11" t="s">
        <v>175</v>
      </c>
      <c r="D51" s="9" t="s">
        <v>205</v>
      </c>
      <c r="E51" s="10" t="s">
        <v>206</v>
      </c>
    </row>
    <row r="52" spans="1:5" x14ac:dyDescent="0.3">
      <c r="A52" s="28">
        <f t="shared" si="0"/>
        <v>51</v>
      </c>
      <c r="B52" s="53" t="s">
        <v>183</v>
      </c>
      <c r="C52" s="11" t="s">
        <v>176</v>
      </c>
      <c r="D52" s="9" t="s">
        <v>205</v>
      </c>
      <c r="E52" s="10" t="s">
        <v>206</v>
      </c>
    </row>
    <row r="53" spans="1:5" ht="28.8" x14ac:dyDescent="0.3">
      <c r="A53" s="28">
        <f t="shared" si="0"/>
        <v>52</v>
      </c>
      <c r="B53" s="47" t="s">
        <v>184</v>
      </c>
      <c r="C53" s="18" t="s">
        <v>222</v>
      </c>
      <c r="D53" s="9" t="s">
        <v>195</v>
      </c>
      <c r="E53" s="10" t="s">
        <v>196</v>
      </c>
    </row>
    <row r="54" spans="1:5" ht="28.8" x14ac:dyDescent="0.3">
      <c r="A54" s="28">
        <f t="shared" si="0"/>
        <v>53</v>
      </c>
      <c r="B54" s="54" t="s">
        <v>185</v>
      </c>
      <c r="C54" s="19" t="s">
        <v>221</v>
      </c>
      <c r="D54" s="9" t="s">
        <v>197</v>
      </c>
      <c r="E54" s="10" t="s">
        <v>198</v>
      </c>
    </row>
    <row r="55" spans="1:5" ht="28.8" x14ac:dyDescent="0.3">
      <c r="A55" s="28">
        <f t="shared" si="0"/>
        <v>54</v>
      </c>
      <c r="B55" s="47" t="s">
        <v>311</v>
      </c>
      <c r="C55" s="11" t="s">
        <v>365</v>
      </c>
      <c r="D55" s="9" t="s">
        <v>354</v>
      </c>
      <c r="E55" s="10" t="s">
        <v>355</v>
      </c>
    </row>
    <row r="56" spans="1:5" ht="28.8" x14ac:dyDescent="0.3">
      <c r="A56" s="28">
        <f t="shared" si="0"/>
        <v>55</v>
      </c>
      <c r="B56" s="8" t="s">
        <v>186</v>
      </c>
      <c r="C56" s="18" t="s">
        <v>219</v>
      </c>
      <c r="D56" s="9" t="s">
        <v>193</v>
      </c>
      <c r="E56" s="10" t="s">
        <v>194</v>
      </c>
    </row>
    <row r="57" spans="1:5" x14ac:dyDescent="0.3">
      <c r="A57" s="28">
        <f t="shared" si="0"/>
        <v>56</v>
      </c>
      <c r="B57" s="32" t="s">
        <v>187</v>
      </c>
      <c r="C57" s="11" t="s">
        <v>177</v>
      </c>
      <c r="D57" s="9" t="s">
        <v>191</v>
      </c>
      <c r="E57" s="10" t="s">
        <v>192</v>
      </c>
    </row>
    <row r="58" spans="1:5" ht="28.8" x14ac:dyDescent="0.3">
      <c r="A58" s="28">
        <f t="shared" si="0"/>
        <v>57</v>
      </c>
      <c r="B58" s="53" t="s">
        <v>188</v>
      </c>
      <c r="C58" s="11" t="s">
        <v>178</v>
      </c>
      <c r="D58" s="9" t="s">
        <v>191</v>
      </c>
      <c r="E58" s="10" t="s">
        <v>192</v>
      </c>
    </row>
    <row r="59" spans="1:5" ht="28.8" x14ac:dyDescent="0.3">
      <c r="A59" s="28">
        <f t="shared" si="0"/>
        <v>58</v>
      </c>
      <c r="B59" s="47" t="s">
        <v>312</v>
      </c>
      <c r="C59" s="11" t="s">
        <v>323</v>
      </c>
      <c r="D59" s="9" t="s">
        <v>356</v>
      </c>
      <c r="E59" s="10" t="s">
        <v>357</v>
      </c>
    </row>
    <row r="60" spans="1:5" x14ac:dyDescent="0.3">
      <c r="A60" s="28">
        <f t="shared" si="0"/>
        <v>59</v>
      </c>
      <c r="B60" s="41" t="s">
        <v>235</v>
      </c>
      <c r="C60" s="11" t="s">
        <v>246</v>
      </c>
      <c r="D60" s="9" t="s">
        <v>257</v>
      </c>
      <c r="E60" s="10" t="s">
        <v>258</v>
      </c>
    </row>
    <row r="61" spans="1:5" ht="28.8" x14ac:dyDescent="0.3">
      <c r="A61" s="28">
        <f t="shared" si="0"/>
        <v>60</v>
      </c>
      <c r="B61" s="41" t="s">
        <v>236</v>
      </c>
      <c r="C61" s="11" t="s">
        <v>247</v>
      </c>
      <c r="D61" s="9" t="s">
        <v>259</v>
      </c>
      <c r="E61" s="10" t="s">
        <v>260</v>
      </c>
    </row>
    <row r="62" spans="1:5" ht="28.8" x14ac:dyDescent="0.3">
      <c r="A62" s="28">
        <f t="shared" si="0"/>
        <v>61</v>
      </c>
      <c r="B62" s="41" t="s">
        <v>237</v>
      </c>
      <c r="C62" s="11" t="s">
        <v>248</v>
      </c>
      <c r="D62" s="9" t="s">
        <v>261</v>
      </c>
      <c r="E62" s="10" t="s">
        <v>262</v>
      </c>
    </row>
    <row r="63" spans="1:5" ht="28.8" x14ac:dyDescent="0.3">
      <c r="A63" s="28">
        <f t="shared" si="0"/>
        <v>62</v>
      </c>
      <c r="B63" s="41" t="s">
        <v>238</v>
      </c>
      <c r="C63" s="11" t="s">
        <v>249</v>
      </c>
      <c r="D63" s="9" t="s">
        <v>263</v>
      </c>
      <c r="E63" s="10" t="s">
        <v>264</v>
      </c>
    </row>
    <row r="64" spans="1:5" x14ac:dyDescent="0.3">
      <c r="A64" s="28">
        <f t="shared" si="0"/>
        <v>63</v>
      </c>
      <c r="B64" s="41" t="s">
        <v>239</v>
      </c>
      <c r="C64" s="11" t="s">
        <v>250</v>
      </c>
      <c r="D64" s="9" t="s">
        <v>265</v>
      </c>
      <c r="E64" s="10" t="s">
        <v>266</v>
      </c>
    </row>
    <row r="65" spans="1:5" x14ac:dyDescent="0.3">
      <c r="A65" s="28">
        <f t="shared" si="0"/>
        <v>64</v>
      </c>
      <c r="B65" s="41" t="s">
        <v>240</v>
      </c>
      <c r="C65" s="11" t="s">
        <v>251</v>
      </c>
      <c r="D65" s="9" t="s">
        <v>267</v>
      </c>
      <c r="E65" s="10" t="s">
        <v>268</v>
      </c>
    </row>
    <row r="66" spans="1:5" ht="28.8" x14ac:dyDescent="0.3">
      <c r="A66" s="28">
        <f t="shared" si="0"/>
        <v>65</v>
      </c>
      <c r="B66" s="41" t="s">
        <v>241</v>
      </c>
      <c r="C66" s="11" t="s">
        <v>252</v>
      </c>
      <c r="D66" s="9" t="s">
        <v>269</v>
      </c>
      <c r="E66" s="10" t="s">
        <v>270</v>
      </c>
    </row>
    <row r="67" spans="1:5" ht="28.8" x14ac:dyDescent="0.3">
      <c r="A67" s="28">
        <f t="shared" si="0"/>
        <v>66</v>
      </c>
      <c r="B67" s="41" t="s">
        <v>242</v>
      </c>
      <c r="C67" s="11" t="s">
        <v>253</v>
      </c>
      <c r="D67" s="9" t="s">
        <v>271</v>
      </c>
      <c r="E67" s="10" t="s">
        <v>272</v>
      </c>
    </row>
    <row r="68" spans="1:5" ht="28.8" x14ac:dyDescent="0.3">
      <c r="A68" s="28">
        <f t="shared" ref="A68:A75" si="1">A67+1</f>
        <v>67</v>
      </c>
      <c r="B68" s="47" t="s">
        <v>313</v>
      </c>
      <c r="C68" s="11" t="s">
        <v>324</v>
      </c>
      <c r="D68" s="9" t="s">
        <v>358</v>
      </c>
      <c r="E68" s="10" t="s">
        <v>359</v>
      </c>
    </row>
    <row r="69" spans="1:5" ht="28.8" x14ac:dyDescent="0.3">
      <c r="A69" s="28">
        <f t="shared" si="1"/>
        <v>68</v>
      </c>
      <c r="B69" s="47" t="s">
        <v>314</v>
      </c>
      <c r="C69" s="11" t="s">
        <v>325</v>
      </c>
      <c r="D69" s="9" t="s">
        <v>360</v>
      </c>
      <c r="E69" s="10" t="s">
        <v>361</v>
      </c>
    </row>
    <row r="70" spans="1:5" ht="28.8" x14ac:dyDescent="0.3">
      <c r="A70" s="28">
        <f t="shared" si="1"/>
        <v>69</v>
      </c>
      <c r="B70" s="41" t="s">
        <v>243</v>
      </c>
      <c r="C70" s="11" t="s">
        <v>254</v>
      </c>
      <c r="D70" s="9" t="s">
        <v>273</v>
      </c>
      <c r="E70" s="10" t="s">
        <v>274</v>
      </c>
    </row>
    <row r="71" spans="1:5" x14ac:dyDescent="0.3">
      <c r="A71" s="28">
        <f t="shared" si="1"/>
        <v>70</v>
      </c>
      <c r="B71" s="41" t="s">
        <v>244</v>
      </c>
      <c r="C71" s="11" t="s">
        <v>255</v>
      </c>
      <c r="D71" s="9" t="s">
        <v>275</v>
      </c>
      <c r="E71" s="10" t="s">
        <v>276</v>
      </c>
    </row>
    <row r="72" spans="1:5" ht="28.8" x14ac:dyDescent="0.3">
      <c r="A72" s="28">
        <f t="shared" si="1"/>
        <v>71</v>
      </c>
      <c r="B72" s="41" t="s">
        <v>245</v>
      </c>
      <c r="C72" s="11" t="s">
        <v>256</v>
      </c>
      <c r="D72" s="9" t="s">
        <v>277</v>
      </c>
      <c r="E72" s="10" t="s">
        <v>278</v>
      </c>
    </row>
    <row r="73" spans="1:5" ht="28.8" x14ac:dyDescent="0.3">
      <c r="A73" s="28">
        <f t="shared" si="1"/>
        <v>72</v>
      </c>
      <c r="B73" s="54" t="s">
        <v>189</v>
      </c>
      <c r="C73" s="11" t="s">
        <v>179</v>
      </c>
      <c r="D73" s="9" t="s">
        <v>199</v>
      </c>
      <c r="E73" s="10" t="s">
        <v>200</v>
      </c>
    </row>
    <row r="74" spans="1:5" x14ac:dyDescent="0.3">
      <c r="A74" s="28">
        <f t="shared" si="1"/>
        <v>73</v>
      </c>
      <c r="B74" s="54" t="s">
        <v>190</v>
      </c>
      <c r="C74" s="11" t="s">
        <v>180</v>
      </c>
      <c r="D74" s="9" t="s">
        <v>201</v>
      </c>
      <c r="E74" s="10" t="s">
        <v>202</v>
      </c>
    </row>
    <row r="75" spans="1:5" ht="28.8" x14ac:dyDescent="0.3">
      <c r="A75" s="28">
        <f t="shared" si="1"/>
        <v>74</v>
      </c>
      <c r="B75" s="8" t="s">
        <v>315</v>
      </c>
      <c r="C75" s="11" t="s">
        <v>326</v>
      </c>
      <c r="D75" s="9" t="s">
        <v>362</v>
      </c>
      <c r="E75" s="1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L48" sqref="L48"/>
    </sheetView>
  </sheetViews>
  <sheetFormatPr baseColWidth="10" defaultRowHeight="14.4" x14ac:dyDescent="0.3"/>
  <cols>
    <col min="1" max="1" width="16.5546875" customWidth="1"/>
    <col min="8" max="8" width="14" bestFit="1" customWidth="1"/>
    <col min="9" max="9" width="17.44140625" customWidth="1"/>
  </cols>
  <sheetData>
    <row r="1" spans="1:16" s="2" customFormat="1" ht="43.2" x14ac:dyDescent="0.3">
      <c r="A1" s="57" t="s">
        <v>226</v>
      </c>
      <c r="B1" s="57" t="s">
        <v>5</v>
      </c>
      <c r="C1" s="57" t="s">
        <v>281</v>
      </c>
      <c r="D1" s="57" t="s">
        <v>280</v>
      </c>
      <c r="E1" s="57" t="s">
        <v>282</v>
      </c>
      <c r="F1" s="59" t="s">
        <v>366</v>
      </c>
      <c r="G1" s="59" t="s">
        <v>367</v>
      </c>
      <c r="H1" s="59" t="s">
        <v>437</v>
      </c>
      <c r="I1" s="57" t="s">
        <v>439</v>
      </c>
      <c r="J1" s="57" t="s">
        <v>450</v>
      </c>
      <c r="K1" s="57" t="s">
        <v>463</v>
      </c>
      <c r="L1" s="57" t="s">
        <v>451</v>
      </c>
      <c r="M1" s="57" t="s">
        <v>464</v>
      </c>
      <c r="N1" s="75" t="s">
        <v>465</v>
      </c>
      <c r="O1" s="75" t="s">
        <v>466</v>
      </c>
      <c r="P1" s="75" t="s">
        <v>467</v>
      </c>
    </row>
    <row r="2" spans="1:16" x14ac:dyDescent="0.3">
      <c r="A2" s="21">
        <v>1</v>
      </c>
      <c r="B2" s="42">
        <v>60</v>
      </c>
      <c r="C2" s="52">
        <v>0.34</v>
      </c>
      <c r="D2" s="42">
        <v>0</v>
      </c>
      <c r="E2" s="52">
        <v>13.8</v>
      </c>
      <c r="F2" s="42">
        <v>6</v>
      </c>
      <c r="G2" s="42">
        <v>0</v>
      </c>
      <c r="H2" s="42">
        <v>0</v>
      </c>
      <c r="I2" s="42">
        <f>IF(Tableau14[[#This Row],[Moyenne Journalière Infrations 2016]]&gt;0, Tableau14[[#This Row],[Moyenne Journalière Infrations 2016]]-Tableau14[[#This Row],[Moyenne Journalière Infrations 2017]],0)</f>
        <v>1206</v>
      </c>
      <c r="J2" s="69">
        <f>(Tableau14[[#This Row],[F &amp; S crashes2015]]/Tableau14[[#This Row],[BILLION VEH KM TRAVELLED2015]])</f>
        <v>41.40789892939187</v>
      </c>
      <c r="K2" s="66">
        <f>Tableau14[[#This Row],[F &amp; S crashes2015]]/4</f>
        <v>0.75</v>
      </c>
      <c r="L2" s="76">
        <f>(Tableau14[[#This Row],[F &amp; S crashes2016]]/Tableau14[[#This Row],[BILLION VEH KM TRAVELLED2016]])</f>
        <v>53.759383616411213</v>
      </c>
      <c r="M2" s="76">
        <f>Tableau14[[#This Row],[F &amp; S crashes2016]]/4</f>
        <v>1</v>
      </c>
      <c r="N2">
        <f>IF(J2&gt;0,J2-L2,0)</f>
        <v>-12.351484687019344</v>
      </c>
      <c r="O2">
        <f>IF(K2&gt;0, K2-M2,0)</f>
        <v>-0.25</v>
      </c>
      <c r="P2">
        <f>(O2+N2)*0.5+I2*0.5</f>
        <v>596.69925765649032</v>
      </c>
    </row>
    <row r="3" spans="1:16" x14ac:dyDescent="0.3">
      <c r="A3" s="28">
        <f>A2+1</f>
        <v>2</v>
      </c>
      <c r="B3" s="43">
        <v>60</v>
      </c>
      <c r="C3" s="51">
        <v>0.34</v>
      </c>
      <c r="D3" s="43">
        <v>0</v>
      </c>
      <c r="E3" s="51">
        <v>13.8</v>
      </c>
      <c r="F3" s="43">
        <v>6</v>
      </c>
      <c r="G3" s="43">
        <v>0</v>
      </c>
      <c r="H3" s="43">
        <v>0</v>
      </c>
      <c r="I3" s="43">
        <f>IF(Tableau14[[#This Row],[Moyenne Journalière Infrations 2016]]&gt;0, Tableau14[[#This Row],[Moyenne Journalière Infrations 2016]]-Tableau14[[#This Row],[Moyenne Journalière Infrations 2017]],0)</f>
        <v>649</v>
      </c>
      <c r="J3" s="65">
        <f>(Tableau14[[#This Row],[F &amp; S crashes2015]]/Tableau14[[#This Row],[BILLION VEH KM TRAVELLED2015]])</f>
        <v>41.40789892939187</v>
      </c>
      <c r="K3" s="63">
        <f>Tableau14[[#This Row],[F &amp; S crashes2015]]/4</f>
        <v>0.75</v>
      </c>
      <c r="L3" s="43">
        <f>(Tableau14[[#This Row],[F &amp; S crashes2016]]/Tableau14[[#This Row],[BILLION VEH KM TRAVELLED2016]])</f>
        <v>53.759383616411213</v>
      </c>
      <c r="M3" s="43">
        <f>Tableau14[[#This Row],[F &amp; S crashes2016]]/4</f>
        <v>1</v>
      </c>
      <c r="N3">
        <f t="shared" ref="N3:N46" si="0">IF(J3&gt;0,J3-L3,0)</f>
        <v>-12.351484687019344</v>
      </c>
      <c r="O3">
        <f t="shared" ref="O3:O46" si="1">IF(K3&gt;0, K3-M3,0)</f>
        <v>-0.25</v>
      </c>
      <c r="P3">
        <f t="shared" ref="P3:P46" si="2">(O3+N3)*0.5+I3*0.5</f>
        <v>318.19925765649032</v>
      </c>
    </row>
    <row r="4" spans="1:16" x14ac:dyDescent="0.3">
      <c r="A4" s="28">
        <f t="shared" ref="A4:A11" si="3">A3+1</f>
        <v>3</v>
      </c>
      <c r="B4" s="42">
        <v>80</v>
      </c>
      <c r="C4" s="52">
        <v>1.55</v>
      </c>
      <c r="D4" s="42">
        <v>1</v>
      </c>
      <c r="E4" s="52">
        <v>2</v>
      </c>
      <c r="F4" s="42">
        <v>3</v>
      </c>
      <c r="G4" s="42">
        <v>1</v>
      </c>
      <c r="H4" s="42">
        <v>0</v>
      </c>
      <c r="I4" s="42">
        <f>IF(Tableau14[[#This Row],[Moyenne Journalière Infrations 2016]]&gt;0, Tableau14[[#This Row],[Moyenne Journalière Infrations 2016]]-Tableau14[[#This Row],[Moyenne Journalière Infrations 2017]],0)</f>
        <v>26</v>
      </c>
      <c r="J4" s="67">
        <f>(Tableau14[[#This Row],[F &amp; S crashes2015]]/Tableau14[[#This Row],[BILLION VEH KM TRAVELLED2015]])</f>
        <v>0</v>
      </c>
      <c r="K4" s="68">
        <f>Tableau14[[#This Row],[F &amp; S crashes2015]]/4</f>
        <v>0</v>
      </c>
      <c r="L4" s="42">
        <f>(Tableau14[[#This Row],[F &amp; S crashes2016]]/Tableau14[[#This Row],[BILLION VEH KM TRAVELLED2016]])</f>
        <v>9.7514763125669948</v>
      </c>
      <c r="M4" s="42">
        <f>Tableau14[[#This Row],[F &amp; S crashes2016]]/4</f>
        <v>0.25</v>
      </c>
      <c r="N4">
        <f t="shared" si="0"/>
        <v>0</v>
      </c>
      <c r="O4">
        <f t="shared" si="1"/>
        <v>0</v>
      </c>
      <c r="P4">
        <f t="shared" si="2"/>
        <v>13</v>
      </c>
    </row>
    <row r="5" spans="1:16" x14ac:dyDescent="0.3">
      <c r="A5" s="28">
        <f t="shared" si="3"/>
        <v>4</v>
      </c>
      <c r="B5" s="43">
        <v>80</v>
      </c>
      <c r="C5" s="51">
        <v>1.55</v>
      </c>
      <c r="D5" s="43">
        <v>1</v>
      </c>
      <c r="E5" s="51">
        <v>2</v>
      </c>
      <c r="F5" s="43">
        <v>2</v>
      </c>
      <c r="G5" s="43">
        <v>1</v>
      </c>
      <c r="H5" s="43">
        <v>0</v>
      </c>
      <c r="I5" s="43">
        <f>IF(Tableau14[[#This Row],[Moyenne Journalière Infrations 2016]]&gt;0, Tableau14[[#This Row],[Moyenne Journalière Infrations 2016]]-Tableau14[[#This Row],[Moyenne Journalière Infrations 2017]],0)</f>
        <v>1</v>
      </c>
      <c r="J5" s="70">
        <f>(Tableau14[[#This Row],[F &amp; S crashes2015]]/Tableau14[[#This Row],[BILLION VEH KM TRAVELLED2015]])</f>
        <v>0</v>
      </c>
      <c r="K5" s="71">
        <f>Tableau14[[#This Row],[F &amp; S crashes2015]]/4</f>
        <v>0</v>
      </c>
      <c r="L5" s="43">
        <f>(Tableau14[[#This Row],[F &amp; S crashes2016]]/Tableau14[[#This Row],[BILLION VEH KM TRAVELLED2016]])</f>
        <v>9.7514763125669948</v>
      </c>
      <c r="M5" s="43">
        <f>Tableau14[[#This Row],[F &amp; S crashes2016]]/4</f>
        <v>0.25</v>
      </c>
      <c r="N5">
        <f t="shared" si="0"/>
        <v>0</v>
      </c>
      <c r="O5">
        <f t="shared" si="1"/>
        <v>0</v>
      </c>
      <c r="P5">
        <f t="shared" si="2"/>
        <v>0.5</v>
      </c>
    </row>
    <row r="6" spans="1:16" x14ac:dyDescent="0.3">
      <c r="A6" s="28">
        <f t="shared" si="3"/>
        <v>5</v>
      </c>
      <c r="B6" s="42">
        <v>60</v>
      </c>
      <c r="C6" s="52">
        <v>1.56</v>
      </c>
      <c r="D6" s="42">
        <v>1</v>
      </c>
      <c r="E6" s="52">
        <v>1</v>
      </c>
      <c r="F6" s="42">
        <v>2</v>
      </c>
      <c r="G6" s="42">
        <v>1</v>
      </c>
      <c r="H6" s="43">
        <v>0</v>
      </c>
      <c r="I6" s="42">
        <f>IF(Tableau14[[#This Row],[Moyenne Journalière Infrations 2016]]&gt;0, Tableau14[[#This Row],[Moyenne Journalière Infrations 2016]]-Tableau14[[#This Row],[Moyenne Journalière Infrations 2017]],0)</f>
        <v>68</v>
      </c>
      <c r="J6" s="69">
        <f>(Tableau14[[#This Row],[F &amp; S crashes2015]]/Tableau14[[#This Row],[BILLION VEH KM TRAVELLED2015]])</f>
        <v>51.803882416065726</v>
      </c>
      <c r="K6" s="66">
        <f>Tableau14[[#This Row],[F &amp; S crashes2015]]/4</f>
        <v>0.5</v>
      </c>
      <c r="L6" s="42">
        <f>(Tableau14[[#This Row],[F &amp; S crashes2016]]/Tableau14[[#This Row],[BILLION VEH KM TRAVELLED2016]])</f>
        <v>50.446998239651997</v>
      </c>
      <c r="M6" s="42">
        <f>Tableau14[[#This Row],[F &amp; S crashes2016]]/4</f>
        <v>0.5</v>
      </c>
      <c r="N6">
        <f t="shared" si="0"/>
        <v>1.3568841764137289</v>
      </c>
      <c r="O6">
        <f t="shared" si="1"/>
        <v>0</v>
      </c>
      <c r="P6">
        <f t="shared" si="2"/>
        <v>34.678442088206864</v>
      </c>
    </row>
    <row r="7" spans="1:16" x14ac:dyDescent="0.3">
      <c r="A7" s="28">
        <f t="shared" si="3"/>
        <v>6</v>
      </c>
      <c r="B7" s="43">
        <v>60</v>
      </c>
      <c r="C7" s="51">
        <v>0.44</v>
      </c>
      <c r="D7" s="43">
        <v>0</v>
      </c>
      <c r="E7" s="51">
        <v>5.68</v>
      </c>
      <c r="F7" s="43">
        <v>2</v>
      </c>
      <c r="G7" s="43">
        <v>0</v>
      </c>
      <c r="H7" s="43">
        <v>0</v>
      </c>
      <c r="I7" s="43">
        <f>IF(Tableau14[[#This Row],[Moyenne Journalière Infrations 2016]]&gt;0, Tableau14[[#This Row],[Moyenne Journalière Infrations 2016]]-Tableau14[[#This Row],[Moyenne Journalière Infrations 2017]],0)</f>
        <v>69</v>
      </c>
      <c r="J7" s="43">
        <f>(Tableau14[[#This Row],[F &amp; S crashes2015]]/Tableau14[[#This Row],[BILLION VEH KM TRAVELLED2015]])</f>
        <v>0</v>
      </c>
      <c r="K7" s="63">
        <f>Tableau14[[#This Row],[F &amp; S crashes2015]]/4</f>
        <v>0</v>
      </c>
      <c r="L7" s="43">
        <f>(Tableau14[[#This Row],[F &amp; S crashes2016]]/Tableau14[[#This Row],[BILLION VEH KM TRAVELLED2016]])</f>
        <v>0</v>
      </c>
      <c r="M7" s="43">
        <f>Tableau14[[#This Row],[F &amp; S crashes2016]]/4</f>
        <v>0</v>
      </c>
      <c r="N7">
        <f t="shared" si="0"/>
        <v>0</v>
      </c>
      <c r="O7">
        <f t="shared" si="1"/>
        <v>0</v>
      </c>
      <c r="P7">
        <f t="shared" si="2"/>
        <v>34.5</v>
      </c>
    </row>
    <row r="8" spans="1:16" x14ac:dyDescent="0.3">
      <c r="A8" s="28">
        <f t="shared" si="3"/>
        <v>7</v>
      </c>
      <c r="B8" s="42">
        <v>60</v>
      </c>
      <c r="C8" s="52">
        <v>1.56</v>
      </c>
      <c r="D8" s="42">
        <v>1</v>
      </c>
      <c r="E8" s="52">
        <v>1</v>
      </c>
      <c r="F8" s="42">
        <v>2</v>
      </c>
      <c r="G8" s="42">
        <v>1</v>
      </c>
      <c r="H8" s="43">
        <v>0</v>
      </c>
      <c r="I8" s="42">
        <f>IF(Tableau14[[#This Row],[Moyenne Journalière Infrations 2016]]&gt;0, Tableau14[[#This Row],[Moyenne Journalière Infrations 2016]]-Tableau14[[#This Row],[Moyenne Journalière Infrations 2017]],0)</f>
        <v>86</v>
      </c>
      <c r="J8" s="69">
        <f>(Tableau14[[#This Row],[F &amp; S crashes2015]]/Tableau14[[#This Row],[BILLION VEH KM TRAVELLED2015]])</f>
        <v>18.575043407554563</v>
      </c>
      <c r="K8" s="66">
        <f>Tableau14[[#This Row],[F &amp; S crashes2015]]/4</f>
        <v>0.5</v>
      </c>
      <c r="L8" s="42">
        <f>(Tableau14[[#This Row],[F &amp; S crashes2016]]/Tableau14[[#This Row],[BILLION VEH KM TRAVELLED2016]])</f>
        <v>9.0435819710948131</v>
      </c>
      <c r="M8" s="42">
        <f>Tableau14[[#This Row],[F &amp; S crashes2016]]/4</f>
        <v>0.25</v>
      </c>
      <c r="N8">
        <f t="shared" si="0"/>
        <v>9.5314614364597503</v>
      </c>
      <c r="O8">
        <f t="shared" si="1"/>
        <v>0.25</v>
      </c>
      <c r="P8">
        <f t="shared" si="2"/>
        <v>47.890730718229875</v>
      </c>
    </row>
    <row r="9" spans="1:16" x14ac:dyDescent="0.3">
      <c r="A9" s="28">
        <f t="shared" si="3"/>
        <v>8</v>
      </c>
      <c r="B9" s="43">
        <v>60</v>
      </c>
      <c r="C9" s="51">
        <v>1.56</v>
      </c>
      <c r="D9" s="43">
        <v>1</v>
      </c>
      <c r="E9" s="51">
        <v>1</v>
      </c>
      <c r="F9" s="43">
        <v>2</v>
      </c>
      <c r="G9" s="43">
        <v>1</v>
      </c>
      <c r="H9" s="43">
        <v>0</v>
      </c>
      <c r="I9" s="43">
        <f>IF(Tableau14[[#This Row],[Moyenne Journalière Infrations 2016]]&gt;0, Tableau14[[#This Row],[Moyenne Journalière Infrations 2016]]-Tableau14[[#This Row],[Moyenne Journalière Infrations 2017]],0)</f>
        <v>78</v>
      </c>
      <c r="J9" s="65">
        <f>(Tableau14[[#This Row],[F &amp; S crashes2015]]/Tableau14[[#This Row],[BILLION VEH KM TRAVELLED2015]])</f>
        <v>18.575043407554563</v>
      </c>
      <c r="K9" s="63">
        <f>Tableau14[[#This Row],[F &amp; S crashes2015]]/4</f>
        <v>0.5</v>
      </c>
      <c r="L9" s="43">
        <f>(Tableau14[[#This Row],[F &amp; S crashes2016]]/Tableau14[[#This Row],[BILLION VEH KM TRAVELLED2016]])</f>
        <v>9.0435819710948131</v>
      </c>
      <c r="M9" s="43">
        <f>Tableau14[[#This Row],[F &amp; S crashes2016]]/4</f>
        <v>0.25</v>
      </c>
      <c r="N9">
        <f t="shared" si="0"/>
        <v>9.5314614364597503</v>
      </c>
      <c r="O9">
        <f t="shared" si="1"/>
        <v>0.25</v>
      </c>
      <c r="P9">
        <f t="shared" si="2"/>
        <v>43.890730718229875</v>
      </c>
    </row>
    <row r="10" spans="1:16" x14ac:dyDescent="0.3">
      <c r="A10" s="28">
        <f t="shared" si="3"/>
        <v>9</v>
      </c>
      <c r="B10" s="42">
        <v>60</v>
      </c>
      <c r="C10" s="52">
        <v>14</v>
      </c>
      <c r="D10" s="42">
        <v>0</v>
      </c>
      <c r="E10" s="52">
        <v>12.2</v>
      </c>
      <c r="F10" s="42">
        <v>-1</v>
      </c>
      <c r="G10" s="42">
        <v>-1</v>
      </c>
      <c r="H10" s="42">
        <v>-1</v>
      </c>
      <c r="I10" s="42">
        <f>IF(Tableau14[[#This Row],[Moyenne Journalière Infrations 2016]]&gt;0, Tableau14[[#This Row],[Moyenne Journalière Infrations 2016]]-Tableau14[[#This Row],[Moyenne Journalière Infrations 2017]],0)</f>
        <v>0</v>
      </c>
      <c r="J10" s="67">
        <f>(Tableau14[[#This Row],[F &amp; S crashes2015]]/Tableau14[[#This Row],[BILLION VEH KM TRAVELLED2015]])</f>
        <v>18.575043407554563</v>
      </c>
      <c r="K10" s="68">
        <f>Tableau14[[#This Row],[F &amp; S crashes2015]]/4</f>
        <v>0.5</v>
      </c>
      <c r="L10" s="42">
        <f>(Tableau14[[#This Row],[F &amp; S crashes2016]]/Tableau14[[#This Row],[BILLION VEH KM TRAVELLED2016]])</f>
        <v>81.392237739853314</v>
      </c>
      <c r="M10" s="42">
        <f>Tableau14[[#This Row],[F &amp; S crashes2016]]/4</f>
        <v>2.25</v>
      </c>
      <c r="N10">
        <f t="shared" si="0"/>
        <v>-62.817194332298754</v>
      </c>
      <c r="O10">
        <f t="shared" si="1"/>
        <v>-1.75</v>
      </c>
      <c r="P10">
        <f t="shared" si="2"/>
        <v>-32.283597166149377</v>
      </c>
    </row>
    <row r="11" spans="1:16" x14ac:dyDescent="0.3">
      <c r="A11" s="28">
        <f t="shared" si="3"/>
        <v>10</v>
      </c>
      <c r="B11" s="43">
        <v>60</v>
      </c>
      <c r="C11" s="51">
        <v>24</v>
      </c>
      <c r="D11" s="43">
        <v>1</v>
      </c>
      <c r="E11" s="51">
        <v>1</v>
      </c>
      <c r="F11" s="43">
        <v>-1</v>
      </c>
      <c r="G11" s="43">
        <v>-1</v>
      </c>
      <c r="H11" s="42">
        <v>-1</v>
      </c>
      <c r="I11" s="43">
        <f>IF(Tableau14[[#This Row],[Moyenne Journalière Infrations 2016]]&gt;0, Tableau14[[#This Row],[Moyenne Journalière Infrations 2016]]-Tableau14[[#This Row],[Moyenne Journalière Infrations 2017]],0)</f>
        <v>0</v>
      </c>
      <c r="J11" s="70">
        <f>(Tableau14[[#This Row],[F &amp; S crashes2015]]/Tableau14[[#This Row],[BILLION VEH KM TRAVELLED2015]])</f>
        <v>43.069326972855123</v>
      </c>
      <c r="K11" s="71">
        <f>Tableau14[[#This Row],[F &amp; S crashes2015]]/4</f>
        <v>1.5</v>
      </c>
      <c r="L11" s="43">
        <f>(Tableau14[[#This Row],[F &amp; S crashes2016]]/Tableau14[[#This Row],[BILLION VEH KM TRAVELLED2016]])</f>
        <v>35.709938879463785</v>
      </c>
      <c r="M11" s="43">
        <f>Tableau14[[#This Row],[F &amp; S crashes2016]]/4</f>
        <v>1.5</v>
      </c>
      <c r="N11">
        <f t="shared" si="0"/>
        <v>7.3593880933913383</v>
      </c>
      <c r="O11">
        <f t="shared" si="1"/>
        <v>0</v>
      </c>
      <c r="P11">
        <f t="shared" si="2"/>
        <v>3.6796940466956691</v>
      </c>
    </row>
    <row r="12" spans="1:16" x14ac:dyDescent="0.3">
      <c r="A12" s="8">
        <v>12</v>
      </c>
      <c r="B12" s="43">
        <v>60</v>
      </c>
      <c r="C12" s="51">
        <v>1.23</v>
      </c>
      <c r="D12" s="43">
        <v>1</v>
      </c>
      <c r="E12" s="51">
        <v>1</v>
      </c>
      <c r="F12" s="43">
        <v>-1</v>
      </c>
      <c r="G12" s="43">
        <v>-1</v>
      </c>
      <c r="H12" s="42">
        <v>-1</v>
      </c>
      <c r="I12" s="43">
        <f>IF(Tableau14[[#This Row],[Moyenne Journalière Infrations 2016]]&gt;0, Tableau14[[#This Row],[Moyenne Journalière Infrations 2016]]-Tableau14[[#This Row],[Moyenne Journalière Infrations 2017]],0)</f>
        <v>0</v>
      </c>
      <c r="J12" s="69">
        <f>(Tableau14[[#This Row],[F &amp; S crashes2015]]/Tableau14[[#This Row],[BILLION VEH KM TRAVELLED2015]])</f>
        <v>462.401017282238</v>
      </c>
      <c r="K12" s="66">
        <f>Tableau14[[#This Row],[F &amp; S crashes2015]]/4</f>
        <v>1.75</v>
      </c>
      <c r="L12" s="43">
        <f>(Tableau14[[#This Row],[F &amp; S crashes2016]]/Tableau14[[#This Row],[BILLION VEH KM TRAVELLED2016]])</f>
        <v>127.68448652641376</v>
      </c>
      <c r="M12" s="43">
        <f>Tableau14[[#This Row],[F &amp; S crashes2016]]/4</f>
        <v>0.5</v>
      </c>
      <c r="N12">
        <f t="shared" si="0"/>
        <v>334.71653075582424</v>
      </c>
      <c r="O12">
        <f t="shared" si="1"/>
        <v>1.25</v>
      </c>
      <c r="P12">
        <f t="shared" si="2"/>
        <v>167.98326537791212</v>
      </c>
    </row>
    <row r="13" spans="1:16" x14ac:dyDescent="0.3">
      <c r="A13" s="8">
        <v>13</v>
      </c>
      <c r="B13" s="42">
        <v>80</v>
      </c>
      <c r="C13" s="52">
        <v>3.5</v>
      </c>
      <c r="D13" s="42">
        <v>1</v>
      </c>
      <c r="E13" s="52">
        <v>1</v>
      </c>
      <c r="F13" s="42">
        <v>2</v>
      </c>
      <c r="G13" s="42">
        <v>0</v>
      </c>
      <c r="H13" s="42">
        <v>0</v>
      </c>
      <c r="I13" s="42">
        <f>IF(Tableau14[[#This Row],[Moyenne Journalière Infrations 2016]]&gt;0, Tableau14[[#This Row],[Moyenne Journalière Infrations 2016]]-Tableau14[[#This Row],[Moyenne Journalière Infrations 2017]],0)</f>
        <v>0</v>
      </c>
      <c r="J13" s="65">
        <f>(Tableau14[[#This Row],[F &amp; S crashes2015]]/Tableau14[[#This Row],[BILLION VEH KM TRAVELLED2015]])</f>
        <v>462.401017282238</v>
      </c>
      <c r="K13" s="63">
        <f>Tableau14[[#This Row],[F &amp; S crashes2015]]/4</f>
        <v>1.75</v>
      </c>
      <c r="L13" s="42">
        <f>(Tableau14[[#This Row],[F &amp; S crashes2016]]/Tableau14[[#This Row],[BILLION VEH KM TRAVELLED2016]])</f>
        <v>127.68448652641376</v>
      </c>
      <c r="M13" s="42">
        <f>Tableau14[[#This Row],[F &amp; S crashes2016]]/4</f>
        <v>0.5</v>
      </c>
      <c r="N13">
        <f t="shared" si="0"/>
        <v>334.71653075582424</v>
      </c>
      <c r="O13">
        <f t="shared" si="1"/>
        <v>1.25</v>
      </c>
      <c r="P13">
        <f t="shared" si="2"/>
        <v>167.98326537791212</v>
      </c>
    </row>
    <row r="14" spans="1:16" x14ac:dyDescent="0.3">
      <c r="A14" s="8">
        <v>14</v>
      </c>
      <c r="B14" s="43">
        <v>60</v>
      </c>
      <c r="C14" s="51">
        <v>0.55000000000000004</v>
      </c>
      <c r="D14" s="43">
        <v>1</v>
      </c>
      <c r="E14" s="51">
        <v>1</v>
      </c>
      <c r="F14" s="43">
        <v>4</v>
      </c>
      <c r="G14" s="43">
        <v>0</v>
      </c>
      <c r="H14" s="43">
        <v>1</v>
      </c>
      <c r="I14" s="43">
        <f>IF(Tableau14[[#This Row],[Moyenne Journalière Infrations 2016]]&gt;0, Tableau14[[#This Row],[Moyenne Journalière Infrations 2016]]-Tableau14[[#This Row],[Moyenne Journalière Infrations 2017]],0)</f>
        <v>0</v>
      </c>
      <c r="J14" s="69">
        <f>(Tableau14[[#This Row],[F &amp; S crashes2015]]/Tableau14[[#This Row],[BILLION VEH KM TRAVELLED2015]])</f>
        <v>44.360130622840636</v>
      </c>
      <c r="K14" s="66">
        <f>Tableau14[[#This Row],[F &amp; S crashes2015]]/4</f>
        <v>1</v>
      </c>
      <c r="L14" s="43">
        <f>(Tableau14[[#This Row],[F &amp; S crashes2016]]/Tableau14[[#This Row],[BILLION VEH KM TRAVELLED2016]])</f>
        <v>22.879096330604771</v>
      </c>
      <c r="M14" s="43">
        <f>Tableau14[[#This Row],[F &amp; S crashes2016]]/4</f>
        <v>0.5</v>
      </c>
      <c r="N14">
        <f t="shared" si="0"/>
        <v>21.481034292235865</v>
      </c>
      <c r="O14">
        <f t="shared" si="1"/>
        <v>0.5</v>
      </c>
      <c r="P14">
        <f t="shared" si="2"/>
        <v>10.990517146117933</v>
      </c>
    </row>
    <row r="15" spans="1:16" x14ac:dyDescent="0.3">
      <c r="A15" s="8">
        <v>15</v>
      </c>
      <c r="B15" s="42">
        <v>60</v>
      </c>
      <c r="C15" s="52">
        <v>0.55000000000000004</v>
      </c>
      <c r="D15" s="42">
        <v>1</v>
      </c>
      <c r="E15" s="52">
        <v>1</v>
      </c>
      <c r="F15" s="42">
        <v>4</v>
      </c>
      <c r="G15" s="42">
        <v>0</v>
      </c>
      <c r="H15" s="42">
        <v>1</v>
      </c>
      <c r="I15" s="42">
        <f>IF(Tableau14[[#This Row],[Moyenne Journalière Infrations 2016]]&gt;0, Tableau14[[#This Row],[Moyenne Journalière Infrations 2016]]-Tableau14[[#This Row],[Moyenne Journalière Infrations 2017]],0)</f>
        <v>0</v>
      </c>
      <c r="J15" s="65">
        <f>(Tableau14[[#This Row],[F &amp; S crashes2015]]/Tableau14[[#This Row],[BILLION VEH KM TRAVELLED2015]])</f>
        <v>10.386602321665285</v>
      </c>
      <c r="K15" s="63">
        <f>Tableau14[[#This Row],[F &amp; S crashes2015]]/4</f>
        <v>0.25</v>
      </c>
      <c r="L15" s="42">
        <f>(Tableau14[[#This Row],[F &amp; S crashes2016]]/Tableau14[[#This Row],[BILLION VEH KM TRAVELLED2016]])</f>
        <v>10.114355431092793</v>
      </c>
      <c r="M15" s="42">
        <f>Tableau14[[#This Row],[F &amp; S crashes2016]]/4</f>
        <v>0.25</v>
      </c>
      <c r="N15">
        <f t="shared" si="0"/>
        <v>0.2722468905724913</v>
      </c>
      <c r="O15">
        <f t="shared" si="1"/>
        <v>0</v>
      </c>
      <c r="P15">
        <f t="shared" si="2"/>
        <v>0.13612344528624565</v>
      </c>
    </row>
    <row r="16" spans="1:16" x14ac:dyDescent="0.3">
      <c r="A16" s="8">
        <v>16</v>
      </c>
      <c r="B16" s="43">
        <v>80</v>
      </c>
      <c r="C16" s="51">
        <v>2.7</v>
      </c>
      <c r="D16" s="43">
        <v>1</v>
      </c>
      <c r="E16" s="51">
        <v>2.2000000000000002</v>
      </c>
      <c r="F16" s="43">
        <v>2</v>
      </c>
      <c r="G16" s="43">
        <v>0</v>
      </c>
      <c r="H16" s="43">
        <v>0</v>
      </c>
      <c r="I16" s="43">
        <f>IF(Tableau14[[#This Row],[Moyenne Journalière Infrations 2016]]&gt;0, Tableau14[[#This Row],[Moyenne Journalière Infrations 2016]]-Tableau14[[#This Row],[Moyenne Journalière Infrations 2017]],0)</f>
        <v>0</v>
      </c>
      <c r="J16" s="42">
        <v>15</v>
      </c>
      <c r="K16" s="66">
        <f>Tableau14[[#This Row],[F &amp; S crashes2015]]/4</f>
        <v>0.25</v>
      </c>
      <c r="L16" s="43">
        <f>(Tableau14[[#This Row],[F &amp; S crashes2016]]/Tableau14[[#This Row],[BILLION VEH KM TRAVELLED2016]])</f>
        <v>10.114355431092793</v>
      </c>
      <c r="M16" s="43">
        <f>Tableau14[[#This Row],[F &amp; S crashes2016]]/4</f>
        <v>0.25</v>
      </c>
      <c r="N16">
        <f t="shared" si="0"/>
        <v>4.8856445689072068</v>
      </c>
      <c r="O16">
        <f t="shared" si="1"/>
        <v>0</v>
      </c>
      <c r="P16">
        <f t="shared" si="2"/>
        <v>2.4428222844536034</v>
      </c>
    </row>
    <row r="17" spans="1:16" x14ac:dyDescent="0.3">
      <c r="A17" s="8">
        <v>17</v>
      </c>
      <c r="B17" s="42">
        <v>80</v>
      </c>
      <c r="C17" s="52">
        <v>0.31</v>
      </c>
      <c r="D17" s="42">
        <v>1</v>
      </c>
      <c r="E17" s="52">
        <v>1</v>
      </c>
      <c r="F17" s="42">
        <v>2</v>
      </c>
      <c r="G17" s="42">
        <v>1</v>
      </c>
      <c r="H17" s="43">
        <v>0</v>
      </c>
      <c r="I17" s="42">
        <f>IF(Tableau14[[#This Row],[Moyenne Journalière Infrations 2016]]&gt;0, Tableau14[[#This Row],[Moyenne Journalière Infrations 2016]]-Tableau14[[#This Row],[Moyenne Journalière Infrations 2017]],0)</f>
        <v>32</v>
      </c>
      <c r="J17" s="70">
        <f>(Tableau14[[#This Row],[F &amp; S crashes2015]]/Tableau14[[#This Row],[BILLION VEH KM TRAVELLED2015]])</f>
        <v>0</v>
      </c>
      <c r="K17" s="71">
        <f>Tableau14[[#This Row],[F &amp; S crashes2015]]/4</f>
        <v>0</v>
      </c>
      <c r="L17" s="42">
        <f>(Tableau14[[#This Row],[F &amp; S crashes2016]]/Tableau14[[#This Row],[BILLION VEH KM TRAVELLED2016]])</f>
        <v>0</v>
      </c>
      <c r="M17" s="42">
        <f>Tableau14[[#This Row],[F &amp; S crashes2016]]/4</f>
        <v>0</v>
      </c>
      <c r="N17">
        <f t="shared" si="0"/>
        <v>0</v>
      </c>
      <c r="O17">
        <f t="shared" si="1"/>
        <v>0</v>
      </c>
      <c r="P17">
        <f t="shared" si="2"/>
        <v>16</v>
      </c>
    </row>
    <row r="18" spans="1:16" x14ac:dyDescent="0.3">
      <c r="A18" s="8">
        <v>18</v>
      </c>
      <c r="B18" s="43">
        <v>80</v>
      </c>
      <c r="C18" s="51">
        <v>0.31</v>
      </c>
      <c r="D18" s="43">
        <v>1</v>
      </c>
      <c r="E18" s="51">
        <v>1</v>
      </c>
      <c r="F18" s="43">
        <v>2</v>
      </c>
      <c r="G18" s="43">
        <v>1</v>
      </c>
      <c r="H18" s="43">
        <v>0</v>
      </c>
      <c r="I18" s="43">
        <f>IF(Tableau14[[#This Row],[Moyenne Journalière Infrations 2016]]&gt;0, Tableau14[[#This Row],[Moyenne Journalière Infrations 2016]]-Tableau14[[#This Row],[Moyenne Journalière Infrations 2017]],0)</f>
        <v>6</v>
      </c>
      <c r="J18" s="42">
        <f>(Tableau14[[#This Row],[F &amp; S crashes2015]]/Tableau14[[#This Row],[BILLION VEH KM TRAVELLED2015]])</f>
        <v>81.334515033465081</v>
      </c>
      <c r="K18" s="66">
        <f>Tableau14[[#This Row],[F &amp; S crashes2015]]/4</f>
        <v>0.75</v>
      </c>
      <c r="L18" s="43">
        <f>(Tableau14[[#This Row],[F &amp; S crashes2016]]/Tableau14[[#This Row],[BILLION VEH KM TRAVELLED2016]])</f>
        <v>105.59949227764113</v>
      </c>
      <c r="M18" s="43">
        <f>Tableau14[[#This Row],[F &amp; S crashes2016]]/4</f>
        <v>1</v>
      </c>
      <c r="N18">
        <f t="shared" si="0"/>
        <v>-24.264977244176052</v>
      </c>
      <c r="O18">
        <f t="shared" si="1"/>
        <v>-0.25</v>
      </c>
      <c r="P18">
        <f t="shared" si="2"/>
        <v>-9.2574886220880259</v>
      </c>
    </row>
    <row r="19" spans="1:16" x14ac:dyDescent="0.3">
      <c r="A19" s="8">
        <v>19</v>
      </c>
      <c r="B19" s="42">
        <v>80</v>
      </c>
      <c r="C19" s="52">
        <v>0.31</v>
      </c>
      <c r="D19" s="42">
        <v>0</v>
      </c>
      <c r="E19" s="52">
        <v>6</v>
      </c>
      <c r="F19" s="42">
        <v>2</v>
      </c>
      <c r="G19" s="42">
        <v>0</v>
      </c>
      <c r="H19" s="43">
        <v>0</v>
      </c>
      <c r="I19" s="42">
        <f>IF(Tableau14[[#This Row],[Moyenne Journalière Infrations 2016]]&gt;0, Tableau14[[#This Row],[Moyenne Journalière Infrations 2016]]-Tableau14[[#This Row],[Moyenne Journalière Infrations 2017]],0)</f>
        <v>22</v>
      </c>
      <c r="J19" s="43">
        <f>(Tableau14[[#This Row],[F &amp; S crashes2015]]/Tableau14[[#This Row],[BILLION VEH KM TRAVELLED2015]])</f>
        <v>81.334515033465081</v>
      </c>
      <c r="K19" s="63">
        <f>Tableau14[[#This Row],[F &amp; S crashes2015]]/4</f>
        <v>0.75</v>
      </c>
      <c r="L19" s="42">
        <f>(Tableau14[[#This Row],[F &amp; S crashes2016]]/Tableau14[[#This Row],[BILLION VEH KM TRAVELLED2016]])</f>
        <v>105.59949227764113</v>
      </c>
      <c r="M19" s="42">
        <f>Tableau14[[#This Row],[F &amp; S crashes2016]]/4</f>
        <v>1</v>
      </c>
      <c r="N19">
        <f t="shared" si="0"/>
        <v>-24.264977244176052</v>
      </c>
      <c r="O19">
        <f t="shared" si="1"/>
        <v>-0.25</v>
      </c>
      <c r="P19">
        <f t="shared" si="2"/>
        <v>-1.2574886220880259</v>
      </c>
    </row>
    <row r="20" spans="1:16" x14ac:dyDescent="0.3">
      <c r="A20" s="8">
        <v>20</v>
      </c>
      <c r="B20" s="43">
        <v>60</v>
      </c>
      <c r="C20" s="51">
        <v>3.62</v>
      </c>
      <c r="D20" s="43">
        <v>1</v>
      </c>
      <c r="E20" s="51">
        <v>1</v>
      </c>
      <c r="F20" s="43">
        <v>2</v>
      </c>
      <c r="G20" s="43">
        <v>0</v>
      </c>
      <c r="H20" s="43">
        <v>0</v>
      </c>
      <c r="I20" s="43">
        <f>IF(Tableau14[[#This Row],[Moyenne Journalière Infrations 2016]]&gt;0, Tableau14[[#This Row],[Moyenne Journalière Infrations 2016]]-Tableau14[[#This Row],[Moyenne Journalière Infrations 2017]],0)</f>
        <v>2</v>
      </c>
      <c r="J20" s="69">
        <f>(Tableau14[[#This Row],[F &amp; S crashes2015]]/Tableau14[[#This Row],[BILLION VEH KM TRAVELLED2015]])</f>
        <v>75.666840038313907</v>
      </c>
      <c r="K20" s="66">
        <f>Tableau14[[#This Row],[F &amp; S crashes2015]]/4</f>
        <v>1</v>
      </c>
      <c r="L20" s="43">
        <f>(Tableau14[[#This Row],[F &amp; S crashes2016]]/Tableau14[[#This Row],[BILLION VEH KM TRAVELLED2016]])</f>
        <v>61.211985061827164</v>
      </c>
      <c r="M20" s="43">
        <f>Tableau14[[#This Row],[F &amp; S crashes2016]]/4</f>
        <v>0.75</v>
      </c>
      <c r="N20">
        <f t="shared" si="0"/>
        <v>14.454854976486743</v>
      </c>
      <c r="O20">
        <f t="shared" si="1"/>
        <v>0.25</v>
      </c>
      <c r="P20">
        <f t="shared" si="2"/>
        <v>8.3524274882433716</v>
      </c>
    </row>
    <row r="21" spans="1:16" x14ac:dyDescent="0.3">
      <c r="A21" s="8">
        <v>21</v>
      </c>
      <c r="B21" s="42">
        <v>100</v>
      </c>
      <c r="C21" s="52">
        <v>2.77</v>
      </c>
      <c r="D21" s="42">
        <v>0</v>
      </c>
      <c r="E21" s="52">
        <v>5.72</v>
      </c>
      <c r="F21" s="42">
        <v>2</v>
      </c>
      <c r="G21" s="42">
        <v>0</v>
      </c>
      <c r="H21" s="43">
        <v>0</v>
      </c>
      <c r="I21" s="42">
        <f>IF(Tableau14[[#This Row],[Moyenne Journalière Infrations 2016]]&gt;0, Tableau14[[#This Row],[Moyenne Journalière Infrations 2016]]-Tableau14[[#This Row],[Moyenne Journalière Infrations 2017]],0)</f>
        <v>102</v>
      </c>
      <c r="J21" s="65">
        <f>(Tableau14[[#This Row],[F &amp; S crashes2015]]/Tableau14[[#This Row],[BILLION VEH KM TRAVELLED2015]])</f>
        <v>163.08621083663022</v>
      </c>
      <c r="K21" s="63">
        <f>Tableau14[[#This Row],[F &amp; S crashes2015]]/4</f>
        <v>2</v>
      </c>
      <c r="L21" s="42">
        <f>(Tableau14[[#This Row],[F &amp; S crashes2016]]/Tableau14[[#This Row],[BILLION VEH KM TRAVELLED2016]])</f>
        <v>48.0995448941311</v>
      </c>
      <c r="M21" s="42">
        <f>Tableau14[[#This Row],[F &amp; S crashes2016]]/4</f>
        <v>0.5</v>
      </c>
      <c r="N21">
        <f t="shared" si="0"/>
        <v>114.98666594249912</v>
      </c>
      <c r="O21">
        <f t="shared" si="1"/>
        <v>1.5</v>
      </c>
      <c r="P21">
        <f t="shared" si="2"/>
        <v>109.24333297124956</v>
      </c>
    </row>
    <row r="22" spans="1:16" x14ac:dyDescent="0.3">
      <c r="A22" s="8">
        <v>22</v>
      </c>
      <c r="B22" s="43">
        <v>60</v>
      </c>
      <c r="C22" s="51">
        <v>1</v>
      </c>
      <c r="D22" s="43">
        <v>1</v>
      </c>
      <c r="E22" s="51">
        <v>1</v>
      </c>
      <c r="F22" s="43">
        <v>2</v>
      </c>
      <c r="G22" s="43">
        <v>1</v>
      </c>
      <c r="H22" s="43">
        <v>0</v>
      </c>
      <c r="I22" s="43">
        <f>IF(Tableau14[[#This Row],[Moyenne Journalière Infrations 2016]]&gt;0, Tableau14[[#This Row],[Moyenne Journalière Infrations 2016]]-Tableau14[[#This Row],[Moyenne Journalière Infrations 2017]],0)</f>
        <v>7</v>
      </c>
      <c r="J22" s="69">
        <f>(Tableau14[[#This Row],[F &amp; S crashes2015]]/Tableau14[[#This Row],[BILLION VEH KM TRAVELLED2015]])</f>
        <v>14.085922578276</v>
      </c>
      <c r="K22" s="66">
        <f>Tableau14[[#This Row],[F &amp; S crashes2015]]/4</f>
        <v>0.25</v>
      </c>
      <c r="L22" s="43">
        <f>(Tableau14[[#This Row],[F &amp; S crashes2016]]/Tableau14[[#This Row],[BILLION VEH KM TRAVELLED2016]])</f>
        <v>0</v>
      </c>
      <c r="M22" s="43">
        <f>Tableau14[[#This Row],[F &amp; S crashes2016]]/4</f>
        <v>0</v>
      </c>
      <c r="N22">
        <f t="shared" si="0"/>
        <v>14.085922578276</v>
      </c>
      <c r="O22">
        <f t="shared" si="1"/>
        <v>0.25</v>
      </c>
      <c r="P22">
        <f t="shared" si="2"/>
        <v>10.667961289137999</v>
      </c>
    </row>
    <row r="23" spans="1:16" x14ac:dyDescent="0.3">
      <c r="A23" s="8">
        <v>23</v>
      </c>
      <c r="B23" s="42">
        <v>60</v>
      </c>
      <c r="C23" s="52">
        <v>0.69</v>
      </c>
      <c r="D23" s="42">
        <v>1</v>
      </c>
      <c r="E23" s="52">
        <v>1</v>
      </c>
      <c r="F23" s="42">
        <v>2</v>
      </c>
      <c r="G23" s="42">
        <v>0</v>
      </c>
      <c r="H23" s="43">
        <v>0</v>
      </c>
      <c r="I23" s="42">
        <f>IF(Tableau14[[#This Row],[Moyenne Journalière Infrations 2016]]&gt;0, Tableau14[[#This Row],[Moyenne Journalière Infrations 2016]]-Tableau14[[#This Row],[Moyenne Journalière Infrations 2017]],0)</f>
        <v>103</v>
      </c>
      <c r="J23" s="70">
        <f>(Tableau14[[#This Row],[F &amp; S crashes2015]]/Tableau14[[#This Row],[BILLION VEH KM TRAVELLED2015]])</f>
        <v>0</v>
      </c>
      <c r="K23" s="71">
        <f>Tableau14[[#This Row],[F &amp; S crashes2015]]/4</f>
        <v>0</v>
      </c>
      <c r="L23" s="42">
        <f>(Tableau14[[#This Row],[F &amp; S crashes2016]]/Tableau14[[#This Row],[BILLION VEH KM TRAVELLED2016]])</f>
        <v>13.717354325640802</v>
      </c>
      <c r="M23" s="42">
        <f>Tableau14[[#This Row],[F &amp; S crashes2016]]/4</f>
        <v>0.25</v>
      </c>
      <c r="N23">
        <f t="shared" si="0"/>
        <v>0</v>
      </c>
      <c r="O23">
        <f t="shared" si="1"/>
        <v>0</v>
      </c>
      <c r="P23">
        <f t="shared" si="2"/>
        <v>51.5</v>
      </c>
    </row>
    <row r="24" spans="1:16" x14ac:dyDescent="0.3">
      <c r="A24" s="8">
        <v>24</v>
      </c>
      <c r="B24" s="43">
        <v>60</v>
      </c>
      <c r="C24" s="51">
        <v>2.2799999999999998</v>
      </c>
      <c r="D24" s="43">
        <v>1</v>
      </c>
      <c r="E24" s="51">
        <v>3</v>
      </c>
      <c r="F24" s="43">
        <v>4</v>
      </c>
      <c r="G24" s="43">
        <v>0</v>
      </c>
      <c r="H24" s="43">
        <v>0</v>
      </c>
      <c r="I24" s="43">
        <f>IF(Tableau14[[#This Row],[Moyenne Journalière Infrations 2016]]&gt;0, Tableau14[[#This Row],[Moyenne Journalière Infrations 2016]]-Tableau14[[#This Row],[Moyenne Journalière Infrations 2017]],0)</f>
        <v>7</v>
      </c>
      <c r="J24" s="69">
        <f>(Tableau14[[#This Row],[F &amp; S crashes2015]]/Tableau14[[#This Row],[BILLION VEH KM TRAVELLED2015]])</f>
        <v>87.119245338249186</v>
      </c>
      <c r="K24" s="66">
        <f>Tableau14[[#This Row],[F &amp; S crashes2015]]/4</f>
        <v>0.75</v>
      </c>
      <c r="L24" s="43">
        <f>(Tableau14[[#This Row],[F &amp; S crashes2016]]/Tableau14[[#This Row],[BILLION VEH KM TRAVELLED2016]])</f>
        <v>31.215545841277692</v>
      </c>
      <c r="M24" s="43">
        <f>Tableau14[[#This Row],[F &amp; S crashes2016]]/4</f>
        <v>0.25</v>
      </c>
      <c r="N24">
        <f t="shared" si="0"/>
        <v>55.903699496971498</v>
      </c>
      <c r="O24">
        <f t="shared" si="1"/>
        <v>0.5</v>
      </c>
      <c r="P24">
        <f t="shared" si="2"/>
        <v>31.701849748485749</v>
      </c>
    </row>
    <row r="25" spans="1:16" x14ac:dyDescent="0.3">
      <c r="A25" s="8">
        <v>25</v>
      </c>
      <c r="B25" s="42">
        <v>60</v>
      </c>
      <c r="C25" s="52">
        <v>2.2799999999999998</v>
      </c>
      <c r="D25" s="42">
        <v>1</v>
      </c>
      <c r="E25" s="52">
        <v>3</v>
      </c>
      <c r="F25" s="42">
        <v>3</v>
      </c>
      <c r="G25" s="42">
        <v>0</v>
      </c>
      <c r="H25" s="43">
        <v>0</v>
      </c>
      <c r="I25" s="42">
        <f>IF(Tableau14[[#This Row],[Moyenne Journalière Infrations 2016]]&gt;0, Tableau14[[#This Row],[Moyenne Journalière Infrations 2016]]-Tableau14[[#This Row],[Moyenne Journalière Infrations 2017]],0)</f>
        <v>116</v>
      </c>
      <c r="J25" s="43">
        <f>(Tableau14[[#This Row],[F &amp; S crashes2015]]/Tableau14[[#This Row],[BILLION VEH KM TRAVELLED2015]])</f>
        <v>0</v>
      </c>
      <c r="K25" s="63">
        <f>Tableau14[[#This Row],[F &amp; S crashes2015]]/4</f>
        <v>0</v>
      </c>
      <c r="L25" s="42">
        <f>(Tableau14[[#This Row],[F &amp; S crashes2016]]/Tableau14[[#This Row],[BILLION VEH KM TRAVELLED2016]])</f>
        <v>0</v>
      </c>
      <c r="M25" s="42">
        <f>Tableau14[[#This Row],[F &amp; S crashes2016]]/4</f>
        <v>0</v>
      </c>
      <c r="N25">
        <f t="shared" si="0"/>
        <v>0</v>
      </c>
      <c r="O25">
        <f t="shared" si="1"/>
        <v>0</v>
      </c>
      <c r="P25">
        <f t="shared" si="2"/>
        <v>58</v>
      </c>
    </row>
    <row r="26" spans="1:16" x14ac:dyDescent="0.3">
      <c r="A26" s="8">
        <v>26</v>
      </c>
      <c r="B26" s="43">
        <v>60</v>
      </c>
      <c r="C26" s="51">
        <v>2.6</v>
      </c>
      <c r="D26" s="43">
        <v>1</v>
      </c>
      <c r="E26" s="51">
        <v>1.7</v>
      </c>
      <c r="F26" s="43">
        <v>2</v>
      </c>
      <c r="G26" s="43">
        <v>1</v>
      </c>
      <c r="H26" s="43">
        <v>0</v>
      </c>
      <c r="I26" s="43">
        <f>IF(Tableau14[[#This Row],[Moyenne Journalière Infrations 2016]]&gt;0, Tableau14[[#This Row],[Moyenne Journalière Infrations 2016]]-Tableau14[[#This Row],[Moyenne Journalière Infrations 2017]],0)</f>
        <v>39</v>
      </c>
      <c r="J26" s="42">
        <f>(Tableau14[[#This Row],[F &amp; S crashes2015]]/Tableau14[[#This Row],[BILLION VEH KM TRAVELLED2015]])</f>
        <v>0</v>
      </c>
      <c r="K26" s="66">
        <f>Tableau14[[#This Row],[F &amp; S crashes2015]]/4</f>
        <v>0</v>
      </c>
      <c r="L26" s="43">
        <f>(Tableau14[[#This Row],[F &amp; S crashes2016]]/Tableau14[[#This Row],[BILLION VEH KM TRAVELLED2016]])</f>
        <v>0</v>
      </c>
      <c r="M26" s="43">
        <f>Tableau14[[#This Row],[F &amp; S crashes2016]]/4</f>
        <v>0</v>
      </c>
      <c r="N26">
        <f t="shared" si="0"/>
        <v>0</v>
      </c>
      <c r="O26">
        <f t="shared" si="1"/>
        <v>0</v>
      </c>
      <c r="P26">
        <f t="shared" si="2"/>
        <v>19.5</v>
      </c>
    </row>
    <row r="27" spans="1:16" x14ac:dyDescent="0.3">
      <c r="A27" s="8">
        <v>27</v>
      </c>
      <c r="B27" s="42">
        <v>80</v>
      </c>
      <c r="C27" s="52">
        <v>2.6</v>
      </c>
      <c r="D27" s="42">
        <v>1</v>
      </c>
      <c r="E27" s="52">
        <v>1.7</v>
      </c>
      <c r="F27" s="42">
        <v>2</v>
      </c>
      <c r="G27" s="42">
        <v>0</v>
      </c>
      <c r="H27" s="43">
        <v>0</v>
      </c>
      <c r="I27" s="42">
        <f>IF(Tableau14[[#This Row],[Moyenne Journalière Infrations 2016]]&gt;0, Tableau14[[#This Row],[Moyenne Journalière Infrations 2016]]-Tableau14[[#This Row],[Moyenne Journalière Infrations 2017]],0)</f>
        <v>17</v>
      </c>
      <c r="J27" s="70">
        <f>(Tableau14[[#This Row],[F &amp; S crashes2015]]/Tableau14[[#This Row],[BILLION VEH KM TRAVELLED2015]])</f>
        <v>0</v>
      </c>
      <c r="K27" s="71">
        <f>Tableau14[[#This Row],[F &amp; S crashes2015]]/4</f>
        <v>0</v>
      </c>
      <c r="L27" s="42">
        <f>(Tableau14[[#This Row],[F &amp; S crashes2016]]/Tableau14[[#This Row],[BILLION VEH KM TRAVELLED2016]])</f>
        <v>0</v>
      </c>
      <c r="M27" s="42">
        <f>Tableau14[[#This Row],[F &amp; S crashes2016]]/4</f>
        <v>0</v>
      </c>
      <c r="N27">
        <f t="shared" si="0"/>
        <v>0</v>
      </c>
      <c r="O27">
        <f t="shared" si="1"/>
        <v>0</v>
      </c>
      <c r="P27">
        <f t="shared" si="2"/>
        <v>8.5</v>
      </c>
    </row>
    <row r="28" spans="1:16" x14ac:dyDescent="0.3">
      <c r="A28" s="8">
        <v>28</v>
      </c>
      <c r="B28" s="43">
        <v>80</v>
      </c>
      <c r="C28" s="51">
        <v>0.9</v>
      </c>
      <c r="D28" s="43">
        <v>1</v>
      </c>
      <c r="E28" s="51">
        <v>1</v>
      </c>
      <c r="F28" s="43">
        <v>2</v>
      </c>
      <c r="G28" s="43">
        <v>0</v>
      </c>
      <c r="H28" s="43">
        <v>0</v>
      </c>
      <c r="I28" s="43">
        <f>IF(Tableau14[[#This Row],[Moyenne Journalière Infrations 2016]]&gt;0, Tableau14[[#This Row],[Moyenne Journalière Infrations 2016]]-Tableau14[[#This Row],[Moyenne Journalière Infrations 2017]],0)</f>
        <v>-61</v>
      </c>
      <c r="J28" s="67">
        <f>(Tableau14[[#This Row],[F &amp; S crashes2015]]/Tableau14[[#This Row],[BILLION VEH KM TRAVELLED2015]])</f>
        <v>0</v>
      </c>
      <c r="K28" s="68">
        <f>Tableau14[[#This Row],[F &amp; S crashes2015]]/4</f>
        <v>0</v>
      </c>
      <c r="L28" s="43">
        <f>(Tableau14[[#This Row],[F &amp; S crashes2016]]/Tableau14[[#This Row],[BILLION VEH KM TRAVELLED2016]])</f>
        <v>0</v>
      </c>
      <c r="M28" s="43">
        <f>Tableau14[[#This Row],[F &amp; S crashes2016]]/4</f>
        <v>0</v>
      </c>
      <c r="N28">
        <f t="shared" si="0"/>
        <v>0</v>
      </c>
      <c r="O28">
        <f t="shared" si="1"/>
        <v>0</v>
      </c>
      <c r="P28">
        <f t="shared" si="2"/>
        <v>-30.5</v>
      </c>
    </row>
    <row r="29" spans="1:16" x14ac:dyDescent="0.3">
      <c r="A29" s="8">
        <v>29</v>
      </c>
      <c r="B29" s="42">
        <v>80</v>
      </c>
      <c r="C29" s="52">
        <v>0.9</v>
      </c>
      <c r="D29" s="42">
        <v>1</v>
      </c>
      <c r="E29" s="52">
        <v>1</v>
      </c>
      <c r="F29" s="42">
        <v>2</v>
      </c>
      <c r="G29" s="42">
        <v>0</v>
      </c>
      <c r="H29" s="43">
        <v>0</v>
      </c>
      <c r="I29" s="42">
        <f>IF(Tableau14[[#This Row],[Moyenne Journalière Infrations 2016]]&gt;0, Tableau14[[#This Row],[Moyenne Journalière Infrations 2016]]-Tableau14[[#This Row],[Moyenne Journalière Infrations 2017]],0)</f>
        <v>48</v>
      </c>
      <c r="J29" s="65">
        <f>(Tableau14[[#This Row],[F &amp; S crashes2015]]/Tableau14[[#This Row],[BILLION VEH KM TRAVELLED2015]])</f>
        <v>80.903792446174705</v>
      </c>
      <c r="K29" s="63">
        <f>Tableau14[[#This Row],[F &amp; S crashes2015]]/4</f>
        <v>0.75</v>
      </c>
      <c r="L29" s="42">
        <f>(Tableau14[[#This Row],[F &amp; S crashes2016]]/Tableau14[[#This Row],[BILLION VEH KM TRAVELLED2016]])</f>
        <v>51.517492829086983</v>
      </c>
      <c r="M29" s="42">
        <f>Tableau14[[#This Row],[F &amp; S crashes2016]]/4</f>
        <v>0.5</v>
      </c>
      <c r="N29">
        <f t="shared" si="0"/>
        <v>29.386299617087722</v>
      </c>
      <c r="O29">
        <f t="shared" si="1"/>
        <v>0.25</v>
      </c>
      <c r="P29">
        <f t="shared" si="2"/>
        <v>38.818149808543865</v>
      </c>
    </row>
    <row r="30" spans="1:16" x14ac:dyDescent="0.3">
      <c r="A30" s="8">
        <v>30</v>
      </c>
      <c r="B30" s="43">
        <v>60</v>
      </c>
      <c r="C30" s="51">
        <v>5.5</v>
      </c>
      <c r="D30" s="43">
        <v>0</v>
      </c>
      <c r="E30" s="51">
        <v>4.6500000000000004</v>
      </c>
      <c r="F30" s="43">
        <v>2</v>
      </c>
      <c r="G30" s="43">
        <v>1</v>
      </c>
      <c r="H30" s="43">
        <v>0</v>
      </c>
      <c r="I30" s="43">
        <f>IF(Tableau14[[#This Row],[Moyenne Journalière Infrations 2016]]&gt;0, Tableau14[[#This Row],[Moyenne Journalière Infrations 2016]]-Tableau14[[#This Row],[Moyenne Journalière Infrations 2017]],0)</f>
        <v>45</v>
      </c>
      <c r="J30" s="69">
        <f>(Tableau14[[#This Row],[F &amp; S crashes2015]]/Tableau14[[#This Row],[BILLION VEH KM TRAVELLED2015]])</f>
        <v>80.903792446174705</v>
      </c>
      <c r="K30" s="66">
        <f>Tableau14[[#This Row],[F &amp; S crashes2015]]/4</f>
        <v>0.75</v>
      </c>
      <c r="L30" s="43">
        <f>(Tableau14[[#This Row],[F &amp; S crashes2016]]/Tableau14[[#This Row],[BILLION VEH KM TRAVELLED2016]])</f>
        <v>51.517492829086983</v>
      </c>
      <c r="M30" s="43">
        <f>Tableau14[[#This Row],[F &amp; S crashes2016]]/4</f>
        <v>0.5</v>
      </c>
      <c r="N30">
        <f t="shared" si="0"/>
        <v>29.386299617087722</v>
      </c>
      <c r="O30">
        <f t="shared" si="1"/>
        <v>0.25</v>
      </c>
      <c r="P30">
        <f t="shared" si="2"/>
        <v>37.318149808543865</v>
      </c>
    </row>
    <row r="31" spans="1:16" x14ac:dyDescent="0.3">
      <c r="A31" s="8">
        <v>31</v>
      </c>
      <c r="B31" s="42">
        <v>60</v>
      </c>
      <c r="C31" s="52">
        <v>1.65</v>
      </c>
      <c r="D31" s="42">
        <v>1</v>
      </c>
      <c r="E31" s="52">
        <v>1.8</v>
      </c>
      <c r="F31" s="42">
        <v>2</v>
      </c>
      <c r="G31" s="42">
        <v>1</v>
      </c>
      <c r="H31" s="43">
        <v>0</v>
      </c>
      <c r="I31" s="42">
        <f>IF(Tableau14[[#This Row],[Moyenne Journalière Infrations 2016]]&gt;0, Tableau14[[#This Row],[Moyenne Journalière Infrations 2016]]-Tableau14[[#This Row],[Moyenne Journalière Infrations 2017]],0)</f>
        <v>34</v>
      </c>
      <c r="J31" s="43">
        <f>(Tableau14[[#This Row],[F &amp; S crashes2015]]/Tableau14[[#This Row],[BILLION VEH KM TRAVELLED2015]])</f>
        <v>0</v>
      </c>
      <c r="K31" s="63">
        <f>Tableau14[[#This Row],[F &amp; S crashes2015]]/4</f>
        <v>0</v>
      </c>
      <c r="L31" s="42">
        <f>(Tableau14[[#This Row],[F &amp; S crashes2016]]/Tableau14[[#This Row],[BILLION VEH KM TRAVELLED2016]])</f>
        <v>0</v>
      </c>
      <c r="M31" s="42">
        <f>Tableau14[[#This Row],[F &amp; S crashes2016]]/4</f>
        <v>0</v>
      </c>
      <c r="N31">
        <f t="shared" si="0"/>
        <v>0</v>
      </c>
      <c r="O31">
        <f t="shared" si="1"/>
        <v>0</v>
      </c>
      <c r="P31">
        <f t="shared" si="2"/>
        <v>17</v>
      </c>
    </row>
    <row r="32" spans="1:16" x14ac:dyDescent="0.3">
      <c r="A32" s="8">
        <v>32</v>
      </c>
      <c r="B32" s="43">
        <v>60</v>
      </c>
      <c r="C32" s="51">
        <v>2.89</v>
      </c>
      <c r="D32" s="43">
        <v>1</v>
      </c>
      <c r="E32" s="51">
        <v>1</v>
      </c>
      <c r="F32" s="43">
        <v>2</v>
      </c>
      <c r="G32" s="43">
        <v>1</v>
      </c>
      <c r="H32" s="43">
        <v>0</v>
      </c>
      <c r="I32" s="43">
        <f>IF(Tableau14[[#This Row],[Moyenne Journalière Infrations 2016]]&gt;0, Tableau14[[#This Row],[Moyenne Journalière Infrations 2016]]-Tableau14[[#This Row],[Moyenne Journalière Infrations 2017]],0)</f>
        <v>35</v>
      </c>
      <c r="J32" s="42">
        <f>(Tableau14[[#This Row],[F &amp; S crashes2015]]/Tableau14[[#This Row],[BILLION VEH KM TRAVELLED2015]])</f>
        <v>0</v>
      </c>
      <c r="K32" s="66">
        <f>Tableau14[[#This Row],[F &amp; S crashes2015]]/4</f>
        <v>0</v>
      </c>
      <c r="L32" s="43">
        <f>(Tableau14[[#This Row],[F &amp; S crashes2016]]/Tableau14[[#This Row],[BILLION VEH KM TRAVELLED2016]])</f>
        <v>0</v>
      </c>
      <c r="M32" s="43">
        <f>Tableau14[[#This Row],[F &amp; S crashes2016]]/4</f>
        <v>0</v>
      </c>
      <c r="N32">
        <f t="shared" si="0"/>
        <v>0</v>
      </c>
      <c r="O32">
        <f t="shared" si="1"/>
        <v>0</v>
      </c>
      <c r="P32">
        <f t="shared" si="2"/>
        <v>17.5</v>
      </c>
    </row>
    <row r="33" spans="1:16" x14ac:dyDescent="0.3">
      <c r="A33" s="8">
        <v>33</v>
      </c>
      <c r="B33" s="42">
        <v>80</v>
      </c>
      <c r="C33" s="52">
        <v>2.25</v>
      </c>
      <c r="D33" s="42">
        <v>1</v>
      </c>
      <c r="E33" s="52">
        <v>3.5</v>
      </c>
      <c r="F33" s="42">
        <v>2</v>
      </c>
      <c r="G33" s="42">
        <v>0</v>
      </c>
      <c r="H33" s="43">
        <v>0</v>
      </c>
      <c r="I33" s="42">
        <f>IF(Tableau14[[#This Row],[Moyenne Journalière Infrations 2016]]&gt;0, Tableau14[[#This Row],[Moyenne Journalière Infrations 2016]]-Tableau14[[#This Row],[Moyenne Journalière Infrations 2017]],0)</f>
        <v>20</v>
      </c>
      <c r="J33" s="65">
        <f>(Tableau14[[#This Row],[F &amp; S crashes2015]]/Tableau14[[#This Row],[BILLION VEH KM TRAVELLED2015]])</f>
        <v>34.960646548212999</v>
      </c>
      <c r="K33" s="63">
        <f>Tableau14[[#This Row],[F &amp; S crashes2015]]/4</f>
        <v>0.25</v>
      </c>
      <c r="L33" s="42">
        <f>(Tableau14[[#This Row],[F &amp; S crashes2016]]/Tableau14[[#This Row],[BILLION VEH KM TRAVELLED2016]])</f>
        <v>0</v>
      </c>
      <c r="M33" s="42">
        <f>Tableau14[[#This Row],[F &amp; S crashes2016]]/4</f>
        <v>0</v>
      </c>
      <c r="N33">
        <f t="shared" si="0"/>
        <v>34.960646548212999</v>
      </c>
      <c r="O33">
        <f t="shared" si="1"/>
        <v>0.25</v>
      </c>
      <c r="P33">
        <f t="shared" si="2"/>
        <v>27.6053232741065</v>
      </c>
    </row>
    <row r="34" spans="1:16" x14ac:dyDescent="0.3">
      <c r="A34" s="8">
        <v>34</v>
      </c>
      <c r="B34" s="43">
        <v>80</v>
      </c>
      <c r="C34" s="51">
        <v>1.87</v>
      </c>
      <c r="D34" s="43">
        <v>1</v>
      </c>
      <c r="E34" s="51">
        <v>8</v>
      </c>
      <c r="F34" s="43">
        <v>4</v>
      </c>
      <c r="G34" s="43">
        <v>0</v>
      </c>
      <c r="H34" s="43">
        <v>1</v>
      </c>
      <c r="I34" s="43">
        <f>IF(Tableau14[[#This Row],[Moyenne Journalière Infrations 2016]]&gt;0, Tableau14[[#This Row],[Moyenne Journalière Infrations 2016]]-Tableau14[[#This Row],[Moyenne Journalière Infrations 2017]],0)</f>
        <v>10</v>
      </c>
      <c r="J34" s="69">
        <f>(Tableau14[[#This Row],[F &amp; S crashes2015]]/Tableau14[[#This Row],[BILLION VEH KM TRAVELLED2015]])</f>
        <v>454.11257320943412</v>
      </c>
      <c r="K34" s="66">
        <f>Tableau14[[#This Row],[F &amp; S crashes2015]]/4</f>
        <v>5.25</v>
      </c>
      <c r="L34" s="43">
        <f>(Tableau14[[#This Row],[F &amp; S crashes2016]]/Tableau14[[#This Row],[BILLION VEH KM TRAVELLED2016]])</f>
        <v>505.3640711203069</v>
      </c>
      <c r="M34" s="43">
        <f>Tableau14[[#This Row],[F &amp; S crashes2016]]/4</f>
        <v>6</v>
      </c>
      <c r="N34">
        <f t="shared" si="0"/>
        <v>-51.251497910872786</v>
      </c>
      <c r="O34">
        <f t="shared" si="1"/>
        <v>-0.75</v>
      </c>
      <c r="P34">
        <f t="shared" si="2"/>
        <v>-21.000748955436393</v>
      </c>
    </row>
    <row r="35" spans="1:16" x14ac:dyDescent="0.3">
      <c r="A35" s="8">
        <v>35</v>
      </c>
      <c r="B35" s="42">
        <v>60</v>
      </c>
      <c r="C35" s="52">
        <v>1.74</v>
      </c>
      <c r="D35" s="42">
        <v>1</v>
      </c>
      <c r="E35" s="52">
        <v>1</v>
      </c>
      <c r="F35" s="42">
        <v>2</v>
      </c>
      <c r="G35" s="42">
        <v>0</v>
      </c>
      <c r="H35" s="42">
        <v>0</v>
      </c>
      <c r="I35" s="42">
        <f>IF(Tableau14[[#This Row],[Moyenne Journalière Infrations 2016]]&gt;0, Tableau14[[#This Row],[Moyenne Journalière Infrations 2016]]-Tableau14[[#This Row],[Moyenne Journalière Infrations 2017]],0)</f>
        <v>38</v>
      </c>
      <c r="J35" s="65">
        <f>(Tableau14[[#This Row],[F &amp; S crashes2015]]/Tableau14[[#This Row],[BILLION VEH KM TRAVELLED2015]])</f>
        <v>20.192318099117792</v>
      </c>
      <c r="K35" s="63">
        <f>Tableau14[[#This Row],[F &amp; S crashes2015]]/4</f>
        <v>1.25</v>
      </c>
      <c r="L35" s="42">
        <f>(Tableau14[[#This Row],[F &amp; S crashes2016]]/Tableau14[[#This Row],[BILLION VEH KM TRAVELLED2016]])</f>
        <v>12.088075409766114</v>
      </c>
      <c r="M35" s="42">
        <f>Tableau14[[#This Row],[F &amp; S crashes2016]]/4</f>
        <v>0.75</v>
      </c>
      <c r="N35">
        <f t="shared" si="0"/>
        <v>8.1042426893516772</v>
      </c>
      <c r="O35">
        <f t="shared" si="1"/>
        <v>0.5</v>
      </c>
      <c r="P35">
        <f t="shared" si="2"/>
        <v>23.30212134467584</v>
      </c>
    </row>
    <row r="36" spans="1:16" x14ac:dyDescent="0.3">
      <c r="A36" s="8">
        <v>36</v>
      </c>
      <c r="B36" s="43">
        <v>60</v>
      </c>
      <c r="C36" s="51">
        <v>1.74</v>
      </c>
      <c r="D36" s="43">
        <v>1</v>
      </c>
      <c r="E36" s="51">
        <v>1</v>
      </c>
      <c r="F36" s="43">
        <v>2</v>
      </c>
      <c r="G36" s="43">
        <v>0</v>
      </c>
      <c r="H36" s="42">
        <v>0</v>
      </c>
      <c r="I36" s="43">
        <f>IF(Tableau14[[#This Row],[Moyenne Journalière Infrations 2016]]&gt;0, Tableau14[[#This Row],[Moyenne Journalière Infrations 2016]]-Tableau14[[#This Row],[Moyenne Journalière Infrations 2017]],0)</f>
        <v>56</v>
      </c>
      <c r="J36" s="69">
        <f>(Tableau14[[#This Row],[F &amp; S crashes2015]]/Tableau14[[#This Row],[BILLION VEH KM TRAVELLED2015]])</f>
        <v>97.667719280511207</v>
      </c>
      <c r="K36" s="66">
        <f>Tableau14[[#This Row],[F &amp; S crashes2015]]/4</f>
        <v>2</v>
      </c>
      <c r="L36" s="43">
        <f>(Tableau14[[#This Row],[F &amp; S crashes2016]]/Tableau14[[#This Row],[BILLION VEH KM TRAVELLED2016]])</f>
        <v>48.383682603042125</v>
      </c>
      <c r="M36" s="43">
        <f>Tableau14[[#This Row],[F &amp; S crashes2016]]/4</f>
        <v>1</v>
      </c>
      <c r="N36">
        <f t="shared" si="0"/>
        <v>49.284036677469082</v>
      </c>
      <c r="O36">
        <f t="shared" si="1"/>
        <v>1</v>
      </c>
      <c r="P36">
        <f t="shared" si="2"/>
        <v>53.142018338734545</v>
      </c>
    </row>
    <row r="37" spans="1:16" x14ac:dyDescent="0.3">
      <c r="A37" s="8">
        <v>37</v>
      </c>
      <c r="B37" s="42">
        <v>60</v>
      </c>
      <c r="C37" s="52">
        <v>7.66</v>
      </c>
      <c r="D37" s="42">
        <v>1</v>
      </c>
      <c r="E37" s="52">
        <v>1</v>
      </c>
      <c r="F37" s="42">
        <v>2</v>
      </c>
      <c r="G37" s="42">
        <v>1</v>
      </c>
      <c r="H37" s="42">
        <v>0</v>
      </c>
      <c r="I37" s="42">
        <f>IF(Tableau14[[#This Row],[Moyenne Journalière Infrations 2016]]&gt;0, Tableau14[[#This Row],[Moyenne Journalière Infrations 2016]]-Tableau14[[#This Row],[Moyenne Journalière Infrations 2017]],0)</f>
        <v>44</v>
      </c>
      <c r="J37" s="65">
        <f>(Tableau14[[#This Row],[F &amp; S crashes2015]]/Tableau14[[#This Row],[BILLION VEH KM TRAVELLED2015]])</f>
        <v>97.667719280511207</v>
      </c>
      <c r="K37" s="63">
        <f>Tableau14[[#This Row],[F &amp; S crashes2015]]/4</f>
        <v>2</v>
      </c>
      <c r="L37" s="42">
        <f>(Tableau14[[#This Row],[F &amp; S crashes2016]]/Tableau14[[#This Row],[BILLION VEH KM TRAVELLED2016]])</f>
        <v>48.383682603042125</v>
      </c>
      <c r="M37" s="42">
        <f>Tableau14[[#This Row],[F &amp; S crashes2016]]/4</f>
        <v>1</v>
      </c>
      <c r="N37">
        <f t="shared" si="0"/>
        <v>49.284036677469082</v>
      </c>
      <c r="O37">
        <f t="shared" si="1"/>
        <v>1</v>
      </c>
      <c r="P37">
        <f t="shared" si="2"/>
        <v>47.142018338734545</v>
      </c>
    </row>
    <row r="38" spans="1:16" x14ac:dyDescent="0.3">
      <c r="A38" s="8">
        <v>38</v>
      </c>
      <c r="B38" s="43">
        <v>60</v>
      </c>
      <c r="C38" s="51">
        <v>7.66</v>
      </c>
      <c r="D38" s="43">
        <v>1</v>
      </c>
      <c r="E38" s="51">
        <v>1</v>
      </c>
      <c r="F38" s="43">
        <v>2</v>
      </c>
      <c r="G38" s="43">
        <v>0</v>
      </c>
      <c r="H38" s="42">
        <v>0</v>
      </c>
      <c r="I38" s="43">
        <f>IF(Tableau14[[#This Row],[Moyenne Journalière Infrations 2016]]&gt;0, Tableau14[[#This Row],[Moyenne Journalière Infrations 2016]]-Tableau14[[#This Row],[Moyenne Journalière Infrations 2017]],0)</f>
        <v>194</v>
      </c>
      <c r="J38" s="67">
        <f>(Tableau14[[#This Row],[F &amp; S crashes2015]]/Tableau14[[#This Row],[BILLION VEH KM TRAVELLED2015]])</f>
        <v>0</v>
      </c>
      <c r="K38" s="68">
        <f>Tableau14[[#This Row],[F &amp; S crashes2015]]/4</f>
        <v>0</v>
      </c>
      <c r="L38" s="43">
        <f>(Tableau14[[#This Row],[F &amp; S crashes2016]]/Tableau14[[#This Row],[BILLION VEH KM TRAVELLED2016]])</f>
        <v>16.523186202346409</v>
      </c>
      <c r="M38" s="43">
        <f>Tableau14[[#This Row],[F &amp; S crashes2016]]/4</f>
        <v>0.25</v>
      </c>
      <c r="N38">
        <f t="shared" si="0"/>
        <v>0</v>
      </c>
      <c r="O38">
        <f t="shared" si="1"/>
        <v>0</v>
      </c>
      <c r="P38">
        <f t="shared" si="2"/>
        <v>97</v>
      </c>
    </row>
    <row r="39" spans="1:16" x14ac:dyDescent="0.3">
      <c r="A39" s="8">
        <v>39</v>
      </c>
      <c r="B39" s="42">
        <v>100</v>
      </c>
      <c r="C39" s="52">
        <v>6.57</v>
      </c>
      <c r="D39" s="42">
        <v>1</v>
      </c>
      <c r="E39" s="52">
        <v>3.59</v>
      </c>
      <c r="F39" s="42">
        <v>2</v>
      </c>
      <c r="G39" s="42">
        <v>0</v>
      </c>
      <c r="H39" s="42">
        <v>0</v>
      </c>
      <c r="I39" s="42">
        <f>IF(Tableau14[[#This Row],[Moyenne Journalière Infrations 2016]]&gt;0, Tableau14[[#This Row],[Moyenne Journalière Infrations 2016]]-Tableau14[[#This Row],[Moyenne Journalière Infrations 2017]],0)</f>
        <v>193</v>
      </c>
      <c r="J39" s="70">
        <f>(Tableau14[[#This Row],[F &amp; S crashes2015]]/Tableau14[[#This Row],[BILLION VEH KM TRAVELLED2015]])</f>
        <v>0</v>
      </c>
      <c r="K39" s="71">
        <f>Tableau14[[#This Row],[F &amp; S crashes2015]]/4</f>
        <v>0</v>
      </c>
      <c r="L39" s="42">
        <f>(Tableau14[[#This Row],[F &amp; S crashes2016]]/Tableau14[[#This Row],[BILLION VEH KM TRAVELLED2016]])</f>
        <v>16.523186202346409</v>
      </c>
      <c r="M39" s="42">
        <f>Tableau14[[#This Row],[F &amp; S crashes2016]]/4</f>
        <v>0.25</v>
      </c>
      <c r="N39">
        <f t="shared" si="0"/>
        <v>0</v>
      </c>
      <c r="O39">
        <f t="shared" si="1"/>
        <v>0</v>
      </c>
      <c r="P39">
        <f t="shared" si="2"/>
        <v>96.5</v>
      </c>
    </row>
    <row r="40" spans="1:16" x14ac:dyDescent="0.3">
      <c r="A40" s="8">
        <v>40</v>
      </c>
      <c r="B40" s="43">
        <v>80</v>
      </c>
      <c r="C40" s="51">
        <v>6.57</v>
      </c>
      <c r="D40" s="43">
        <v>1</v>
      </c>
      <c r="E40" s="51">
        <v>3.59</v>
      </c>
      <c r="F40" s="43">
        <v>2</v>
      </c>
      <c r="G40" s="43">
        <v>1</v>
      </c>
      <c r="H40" s="42">
        <v>0</v>
      </c>
      <c r="I40" s="43">
        <f>IF(Tableau14[[#This Row],[Moyenne Journalière Infrations 2016]]&gt;0, Tableau14[[#This Row],[Moyenne Journalière Infrations 2016]]-Tableau14[[#This Row],[Moyenne Journalière Infrations 2017]],0)</f>
        <v>-95</v>
      </c>
      <c r="J40" s="42">
        <f>(Tableau14[[#This Row],[F &amp; S crashes2015]]/Tableau14[[#This Row],[BILLION VEH KM TRAVELLED2015]])</f>
        <v>0</v>
      </c>
      <c r="K40" s="66">
        <f>Tableau14[[#This Row],[F &amp; S crashes2015]]/4</f>
        <v>0</v>
      </c>
      <c r="L40" s="43">
        <f>(Tableau14[[#This Row],[F &amp; S crashes2016]]/Tableau14[[#This Row],[BILLION VEH KM TRAVELLED2016]])</f>
        <v>12.384397838377664</v>
      </c>
      <c r="M40" s="43">
        <f>Tableau14[[#This Row],[F &amp; S crashes2016]]/4</f>
        <v>0.25</v>
      </c>
      <c r="N40">
        <f t="shared" si="0"/>
        <v>0</v>
      </c>
      <c r="O40">
        <f t="shared" si="1"/>
        <v>0</v>
      </c>
      <c r="P40">
        <f t="shared" si="2"/>
        <v>-47.5</v>
      </c>
    </row>
    <row r="41" spans="1:16" x14ac:dyDescent="0.3">
      <c r="A41" s="8">
        <v>41</v>
      </c>
      <c r="B41" s="42">
        <v>100</v>
      </c>
      <c r="C41" s="52">
        <v>1</v>
      </c>
      <c r="D41" s="42">
        <v>1</v>
      </c>
      <c r="E41" s="52">
        <v>1</v>
      </c>
      <c r="F41" s="42">
        <v>2</v>
      </c>
      <c r="G41" s="42">
        <v>0</v>
      </c>
      <c r="H41" s="42">
        <v>0</v>
      </c>
      <c r="I41" s="42">
        <f>IF(Tableau14[[#This Row],[Moyenne Journalière Infrations 2016]]&gt;0, Tableau14[[#This Row],[Moyenne Journalière Infrations 2016]]-Tableau14[[#This Row],[Moyenne Journalière Infrations 2017]],0)</f>
        <v>14</v>
      </c>
      <c r="J41" s="43">
        <f>(Tableau14[[#This Row],[F &amp; S crashes2015]]/Tableau14[[#This Row],[BILLION VEH KM TRAVELLED2015]])</f>
        <v>0</v>
      </c>
      <c r="K41" s="63">
        <f>Tableau14[[#This Row],[F &amp; S crashes2015]]/4</f>
        <v>0</v>
      </c>
      <c r="L41" s="42">
        <f>(Tableau14[[#This Row],[F &amp; S crashes2016]]/Tableau14[[#This Row],[BILLION VEH KM TRAVELLED2016]])</f>
        <v>12.384397838377664</v>
      </c>
      <c r="M41" s="42">
        <f>Tableau14[[#This Row],[F &amp; S crashes2016]]/4</f>
        <v>0.25</v>
      </c>
      <c r="N41">
        <f t="shared" si="0"/>
        <v>0</v>
      </c>
      <c r="O41">
        <f t="shared" si="1"/>
        <v>0</v>
      </c>
      <c r="P41">
        <f t="shared" si="2"/>
        <v>7</v>
      </c>
    </row>
    <row r="42" spans="1:16" x14ac:dyDescent="0.3">
      <c r="A42" s="8">
        <v>42</v>
      </c>
      <c r="B42" s="43">
        <v>100</v>
      </c>
      <c r="C42" s="51">
        <v>0.16</v>
      </c>
      <c r="D42" s="43">
        <v>1</v>
      </c>
      <c r="E42" s="51">
        <v>1</v>
      </c>
      <c r="F42" s="43">
        <v>2</v>
      </c>
      <c r="G42" s="43">
        <v>0</v>
      </c>
      <c r="H42" s="42">
        <v>0</v>
      </c>
      <c r="I42" s="43">
        <f>IF(Tableau14[[#This Row],[Moyenne Journalière Infrations 2016]]&gt;0, Tableau14[[#This Row],[Moyenne Journalière Infrations 2016]]-Tableau14[[#This Row],[Moyenne Journalière Infrations 2017]],0)</f>
        <v>6</v>
      </c>
      <c r="J42" s="67">
        <f>(Tableau14[[#This Row],[F &amp; S crashes2015]]/Tableau14[[#This Row],[BILLION VEH KM TRAVELLED2015]])</f>
        <v>13.743433730949196</v>
      </c>
      <c r="K42" s="68">
        <f>Tableau14[[#This Row],[F &amp; S crashes2015]]/4</f>
        <v>0.25</v>
      </c>
      <c r="L42" s="43">
        <f>(Tableau14[[#This Row],[F &amp; S crashes2016]]/Tableau14[[#This Row],[BILLION VEH KM TRAVELLED2016]])</f>
        <v>0</v>
      </c>
      <c r="M42" s="43">
        <f>Tableau14[[#This Row],[F &amp; S crashes2016]]/4</f>
        <v>0</v>
      </c>
      <c r="N42">
        <f t="shared" si="0"/>
        <v>13.743433730949196</v>
      </c>
      <c r="O42">
        <f t="shared" si="1"/>
        <v>0.25</v>
      </c>
      <c r="P42">
        <f t="shared" si="2"/>
        <v>9.9967168654745979</v>
      </c>
    </row>
    <row r="43" spans="1:16" x14ac:dyDescent="0.3">
      <c r="A43" s="8">
        <v>43</v>
      </c>
      <c r="B43" s="42">
        <v>60</v>
      </c>
      <c r="C43" s="52">
        <v>1.1299999999999999</v>
      </c>
      <c r="D43" s="42">
        <v>0</v>
      </c>
      <c r="E43" s="52">
        <v>4.5999999999999996</v>
      </c>
      <c r="F43" s="42">
        <v>4</v>
      </c>
      <c r="G43" s="42">
        <v>0</v>
      </c>
      <c r="H43" s="42">
        <v>0</v>
      </c>
      <c r="I43" s="42">
        <f>IF(Tableau14[[#This Row],[Moyenne Journalière Infrations 2016]]&gt;0, Tableau14[[#This Row],[Moyenne Journalière Infrations 2016]]-Tableau14[[#This Row],[Moyenne Journalière Infrations 2017]],0)</f>
        <v>-6</v>
      </c>
      <c r="J43" s="65">
        <f>(Tableau14[[#This Row],[F &amp; S crashes2015]]/Tableau14[[#This Row],[BILLION VEH KM TRAVELLED2015]])</f>
        <v>13.743433730949196</v>
      </c>
      <c r="K43" s="63">
        <f>Tableau14[[#This Row],[F &amp; S crashes2015]]/4</f>
        <v>0.25</v>
      </c>
      <c r="L43" s="42">
        <f>(Tableau14[[#This Row],[F &amp; S crashes2016]]/Tableau14[[#This Row],[BILLION VEH KM TRAVELLED2016]])</f>
        <v>0</v>
      </c>
      <c r="M43" s="42">
        <f>Tableau14[[#This Row],[F &amp; S crashes2016]]/4</f>
        <v>0</v>
      </c>
      <c r="N43">
        <f t="shared" si="0"/>
        <v>13.743433730949196</v>
      </c>
      <c r="O43">
        <f t="shared" si="1"/>
        <v>0.25</v>
      </c>
      <c r="P43">
        <f t="shared" si="2"/>
        <v>3.9967168654745979</v>
      </c>
    </row>
    <row r="44" spans="1:16" x14ac:dyDescent="0.3">
      <c r="A44" s="8">
        <v>44</v>
      </c>
      <c r="B44" s="43">
        <v>60</v>
      </c>
      <c r="C44" s="51">
        <v>1.18</v>
      </c>
      <c r="D44" s="43">
        <v>0</v>
      </c>
      <c r="E44" s="51">
        <v>2.83</v>
      </c>
      <c r="F44" s="43">
        <v>4</v>
      </c>
      <c r="G44" s="43">
        <v>0</v>
      </c>
      <c r="H44" s="42">
        <v>0</v>
      </c>
      <c r="I44" s="43">
        <f>IF(Tableau14[[#This Row],[Moyenne Journalière Infrations 2016]]&gt;0, Tableau14[[#This Row],[Moyenne Journalière Infrations 2016]]-Tableau14[[#This Row],[Moyenne Journalière Infrations 2017]],0)</f>
        <v>115</v>
      </c>
      <c r="J44" s="67">
        <f>(Tableau14[[#This Row],[F &amp; S crashes2015]]/Tableau14[[#This Row],[BILLION VEH KM TRAVELLED2015]])</f>
        <v>0</v>
      </c>
      <c r="K44" s="68">
        <f>Tableau14[[#This Row],[F &amp; S crashes2015]]/4</f>
        <v>0</v>
      </c>
      <c r="L44" s="43">
        <f>(Tableau14[[#This Row],[F &amp; S crashes2016]]/Tableau14[[#This Row],[BILLION VEH KM TRAVELLED2016]])</f>
        <v>0</v>
      </c>
      <c r="M44" s="43">
        <f>Tableau14[[#This Row],[F &amp; S crashes2016]]/4</f>
        <v>0</v>
      </c>
      <c r="N44">
        <f t="shared" si="0"/>
        <v>0</v>
      </c>
      <c r="O44">
        <f t="shared" si="1"/>
        <v>0</v>
      </c>
      <c r="P44">
        <f t="shared" si="2"/>
        <v>57.5</v>
      </c>
    </row>
    <row r="45" spans="1:16" x14ac:dyDescent="0.3">
      <c r="A45" s="8">
        <v>45</v>
      </c>
      <c r="B45" s="42">
        <v>60</v>
      </c>
      <c r="C45" s="52">
        <v>4.7699999999999996</v>
      </c>
      <c r="D45" s="42">
        <v>1</v>
      </c>
      <c r="E45" s="52">
        <v>1</v>
      </c>
      <c r="F45" s="42">
        <v>4</v>
      </c>
      <c r="G45" s="42">
        <v>1</v>
      </c>
      <c r="H45" s="42">
        <v>0</v>
      </c>
      <c r="I45" s="42">
        <f>IF(Tableau14[[#This Row],[Moyenne Journalière Infrations 2016]]&gt;0, Tableau14[[#This Row],[Moyenne Journalière Infrations 2016]]-Tableau14[[#This Row],[Moyenne Journalière Infrations 2017]],0)</f>
        <v>58</v>
      </c>
      <c r="J45" s="70">
        <f>(Tableau14[[#This Row],[F &amp; S crashes2015]]/Tableau14[[#This Row],[BILLION VEH KM TRAVELLED2015]])</f>
        <v>0</v>
      </c>
      <c r="K45" s="71">
        <f>Tableau14[[#This Row],[F &amp; S crashes2015]]/4</f>
        <v>0</v>
      </c>
      <c r="L45" s="42">
        <f>(Tableau14[[#This Row],[F &amp; S crashes2016]]/Tableau14[[#This Row],[BILLION VEH KM TRAVELLED2016]])</f>
        <v>0</v>
      </c>
      <c r="M45" s="42">
        <f>Tableau14[[#This Row],[F &amp; S crashes2016]]/4</f>
        <v>0</v>
      </c>
      <c r="N45">
        <f t="shared" si="0"/>
        <v>0</v>
      </c>
      <c r="O45">
        <f t="shared" si="1"/>
        <v>0</v>
      </c>
      <c r="P45">
        <f t="shared" si="2"/>
        <v>29</v>
      </c>
    </row>
    <row r="46" spans="1:16" x14ac:dyDescent="0.3">
      <c r="A46" s="8">
        <v>46</v>
      </c>
      <c r="B46" s="43">
        <v>60</v>
      </c>
      <c r="C46" s="51">
        <v>3.5</v>
      </c>
      <c r="D46" s="43">
        <v>1</v>
      </c>
      <c r="E46" s="51">
        <v>1</v>
      </c>
      <c r="F46" s="42">
        <v>-1</v>
      </c>
      <c r="G46" s="43">
        <v>-1</v>
      </c>
      <c r="H46" s="43">
        <v>-1</v>
      </c>
      <c r="I46" s="43">
        <f>IF(Tableau14[[#This Row],[Moyenne Journalière Infrations 2016]]&gt;0, Tableau14[[#This Row],[Moyenne Journalière Infrations 2016]]-Tableau14[[#This Row],[Moyenne Journalière Infrations 2017]],0)</f>
        <v>0</v>
      </c>
      <c r="J46" s="69">
        <f>(Tableau14[[#This Row],[F &amp; S crashes2015]]/Tableau14[[#This Row],[BILLION VEH KM TRAVELLED2015]])</f>
        <v>102.1627387415501</v>
      </c>
      <c r="K46" s="66">
        <f>Tableau14[[#This Row],[F &amp; S crashes2015]]/4</f>
        <v>2.75</v>
      </c>
      <c r="L46" s="43">
        <f>(Tableau14[[#This Row],[F &amp; S crashes2016]]/Tableau14[[#This Row],[BILLION VEH KM TRAVELLED2016]])</f>
        <v>36.174327884379252</v>
      </c>
      <c r="M46" s="43">
        <f>Tableau14[[#This Row],[F &amp; S crashes2016]]/4</f>
        <v>1</v>
      </c>
      <c r="N46">
        <f t="shared" si="0"/>
        <v>65.988410857170848</v>
      </c>
      <c r="O46">
        <f t="shared" si="1"/>
        <v>1.75</v>
      </c>
      <c r="P46">
        <f t="shared" si="2"/>
        <v>33.869205428585424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ALL_DATASET</vt:lpstr>
      <vt:lpstr>ALL ALL DATASET</vt:lpstr>
      <vt:lpstr>DATASET 102018</vt:lpstr>
      <vt:lpstr>DATASET RECAP 102018</vt:lpstr>
      <vt:lpstr>DATASET FINAL 102018</vt:lpstr>
      <vt:lpstr>SCORE</vt:lpstr>
      <vt:lpstr>Feuil1</vt:lpstr>
      <vt:lpstr>NV CARAC</vt:lpstr>
      <vt:lpstr>DATASET_2604_RN</vt:lpstr>
      <vt:lpstr>DATASET_2604_AU</vt:lpstr>
      <vt:lpstr>NEW_DATASET</vt:lpstr>
      <vt:lpstr>REFERENTIEL</vt:lpstr>
      <vt:lpstr>LIEUX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Asmae</dc:creator>
  <cp:lastModifiedBy>Asmae RHANIZAR</cp:lastModifiedBy>
  <dcterms:created xsi:type="dcterms:W3CDTF">2018-03-11T02:39:12Z</dcterms:created>
  <dcterms:modified xsi:type="dcterms:W3CDTF">2023-04-30T15:36:01Z</dcterms:modified>
</cp:coreProperties>
</file>