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utilisateur\Documents\ACOORDE\Site web\Site Revu\ACI-NMR\ACI, NMR, outils et textes\"/>
    </mc:Choice>
  </mc:AlternateContent>
  <xr:revisionPtr revIDLastSave="0" documentId="13_ncr:1_{7E5D0342-A34F-4DA6-B5B5-96A7BEE5CD60}" xr6:coauthVersionLast="47" xr6:coauthVersionMax="47" xr10:uidLastSave="{00000000-0000-0000-0000-000000000000}"/>
  <workbookProtection workbookAlgorithmName="SHA-512" workbookHashValue="BfdM41riO87meRRER1Qw+iwJ55n+s5iEOK1qR4XA10qDhoRY7NGlJpfNa5x4byCqN3TvAiRsSEEbpZVV5ZmmNQ==" workbookSaltValue="+o47FxD7opH73i1wj1OtrQ==" workbookSpinCount="100000" lockStructure="1"/>
  <bookViews>
    <workbookView xWindow="-120" yWindow="-120" windowWidth="25440" windowHeight="15390" xr2:uid="{00000000-000D-0000-FFFF-FFFF00000000}"/>
  </bookViews>
  <sheets>
    <sheet name="Feuil1" sheetId="1" r:id="rId1"/>
    <sheet name="Feuil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6" i="1" l="1"/>
  <c r="H48" i="1" l="1"/>
  <c r="H41" i="1"/>
  <c r="I41" i="1" s="1"/>
  <c r="F2" i="1"/>
  <c r="H10" i="1"/>
  <c r="I10" i="1" s="1"/>
  <c r="H37" i="1"/>
  <c r="I37" i="1" s="1"/>
  <c r="H44" i="1"/>
  <c r="I44" i="1" s="1"/>
  <c r="H42" i="1"/>
  <c r="I42" i="1" s="1"/>
  <c r="H21" i="1"/>
  <c r="I8" i="1"/>
  <c r="H39" i="1"/>
  <c r="I39" i="1" s="1"/>
  <c r="H47" i="1"/>
  <c r="I47" i="1" s="1"/>
  <c r="H49" i="1"/>
  <c r="I49" i="1" s="1"/>
  <c r="H17" i="1"/>
  <c r="H16" i="1"/>
  <c r="H15" i="1"/>
  <c r="H14" i="1"/>
  <c r="H29" i="1"/>
  <c r="H20" i="1"/>
  <c r="I20" i="1" s="1"/>
  <c r="H26" i="1"/>
  <c r="I26" i="1" s="1"/>
  <c r="H25" i="1"/>
  <c r="I25" i="1" s="1"/>
  <c r="H32" i="1"/>
  <c r="I32" i="1" s="1"/>
  <c r="H23" i="1"/>
  <c r="I23" i="1" s="1"/>
  <c r="H18" i="1"/>
  <c r="H11" i="1"/>
  <c r="I11" i="1" s="1"/>
  <c r="H13" i="1"/>
  <c r="I13" i="1" s="1"/>
  <c r="H12" i="1"/>
  <c r="I12" i="1" s="1"/>
  <c r="H24" i="1"/>
  <c r="I24" i="1" s="1"/>
  <c r="I48" i="1" l="1"/>
  <c r="F3" i="1"/>
  <c r="E4" i="1" l="1"/>
  <c r="I4" i="1" s="1"/>
  <c r="I29" i="1" l="1"/>
  <c r="I21" i="1"/>
  <c r="I18" i="1"/>
  <c r="I17" i="1"/>
  <c r="I16" i="1"/>
  <c r="I15" i="1"/>
  <c r="I14" i="1"/>
  <c r="I1" i="1"/>
  <c r="H36" i="1" s="1"/>
  <c r="H40" i="1" l="1"/>
  <c r="I40" i="1" s="1"/>
  <c r="I36" i="1"/>
  <c r="H43" i="1"/>
  <c r="I43" i="1" s="1"/>
  <c r="H22" i="1"/>
  <c r="I22" i="1" s="1"/>
  <c r="H38" i="1"/>
  <c r="I38" i="1" s="1"/>
  <c r="H30" i="1"/>
  <c r="I30" i="1" s="1"/>
  <c r="H31" i="1"/>
  <c r="H19" i="1"/>
  <c r="I19" i="1" l="1"/>
  <c r="I31" i="1"/>
  <c r="H52" i="1" l="1"/>
  <c r="I52" i="1" s="1"/>
</calcChain>
</file>

<file path=xl/sharedStrings.xml><?xml version="1.0" encoding="utf-8"?>
<sst xmlns="http://schemas.openxmlformats.org/spreadsheetml/2006/main" count="191" uniqueCount="145">
  <si>
    <t>Catégorie</t>
  </si>
  <si>
    <t>Libellé court</t>
  </si>
  <si>
    <t>Valorisation</t>
  </si>
  <si>
    <t>Justificatifs</t>
  </si>
  <si>
    <t>Socle et prérequis</t>
  </si>
  <si>
    <t>Horaires d’ouverture et soins non programmés</t>
  </si>
  <si>
    <t>800 points fixes si couverture de l’intégralité de l’amplitude horaire ou si une dérogation a été accordée au regard des modalités d’organisation de la permanence des soins ambulatoire.</t>
  </si>
  <si>
    <t>Application à ce nombre de points d’une minoration si la structure n’est pas ouverte sur la totalité de l’amplitude horaire :</t>
  </si>
  <si>
    <t>Optionnel</t>
  </si>
  <si>
    <t>Offre d’une diversité de services de soins médicaux spécialisés, pharmaciens ou de soins paramédicaux niveau 1.</t>
  </si>
  <si>
    <t>Offre d’une diversité de services de soins médicaux spécialisés, pharmaciens et de soins paramédicaux niveau 2.</t>
  </si>
  <si>
    <t>Consultations de spécialistes de second recours ou accès à sage-femme ou chirurgien-dentiste ou pharmacien extérieurs à la structure niveau 1.</t>
  </si>
  <si>
    <t>Consultations de spécialistes de second recours ou accès à sage-femme ou chirurgien-dentiste ou pharmacien extérieurs à la structure niveau 2.</t>
  </si>
  <si>
    <t>Accueil de médecins intervenant dans la structure dans le cadre d’un CSTM (contrat solidarité territoriale médecin)</t>
  </si>
  <si>
    <t>Missions de santé publique</t>
  </si>
  <si>
    <t>La (ou les) mission(s) retenue(s) est (sont) précisée(s) dans une annexe au contrat de la structure précisant le contenu, les modalités de mise en œuvre de la mission ainsi que les justificatifs à transmettre.</t>
  </si>
  <si>
    <t>Fonction de coordination</t>
  </si>
  <si>
    <t>Transmission des documents attestant de la mise en place d’une fonction de coordination assurée soit par des personnes exerçant au sein de la structure (y compris des professionnels de santé en exercice) ayant un temps identifié et dédié à cette fonction soit par du personnel recruté spécifiquement pour assurer cette fonction : contrat de travail, fiche de poste, … .</t>
  </si>
  <si>
    <t>Socle</t>
  </si>
  <si>
    <t>Transmission à l’organisme d’assurance maladie des protocoles élaborés.</t>
  </si>
  <si>
    <t xml:space="preserve">1 000 points variables </t>
  </si>
  <si>
    <t>Si au moins 6 réunions par an et un nombre de dossiers étudiés correspondant à 5 % des patients médecins traitants* présentant une affection de longue durée ou âgés de plus de 75 ans.</t>
  </si>
  <si>
    <t>Transmission par la structure du calendrier des réunions précisant pour chaque réunion le nombre de dossiers examinés.</t>
  </si>
  <si>
    <t>Les comptes rendus des réunions de concertations sont mis à disposition du service médical de l’assurance maladie à sa demande.</t>
  </si>
  <si>
    <t>Formation des jeunes professionnels</t>
  </si>
  <si>
    <t>Coordination externe</t>
  </si>
  <si>
    <t xml:space="preserve">200 points variables </t>
  </si>
  <si>
    <t>+150 points par professionnel de santé au-delà de 16 professionnels.</t>
  </si>
  <si>
    <t xml:space="preserve">Transmission de la copie des factures du logiciel, des bons de commande ou des contrats d’abonnement, de maintenance ou de location permettant de vérifier que le système d’information fait bien partie des logiciels labellisés par l’ASIP santé. </t>
  </si>
  <si>
    <t xml:space="preserve">Ces documents comportent la date d’acquisition de l’équipement. </t>
  </si>
  <si>
    <t>Système d’information niveau avancé</t>
  </si>
  <si>
    <t>100 points fixes</t>
  </si>
  <si>
    <r>
      <t>-</t>
    </r>
    <r>
      <rPr>
        <sz val="7"/>
        <color theme="1"/>
        <rFont val="Arial"/>
        <family val="2"/>
      </rPr>
      <t xml:space="preserve">        </t>
    </r>
    <r>
      <rPr>
        <sz val="12"/>
        <color theme="1"/>
        <rFont val="Arial"/>
        <family val="2"/>
      </rPr>
      <t>amplitude horaire d’ouverture entre 10h et 12h par jour en semaine et le samedi matin : minoration de 60 points</t>
    </r>
  </si>
  <si>
    <r>
      <t>-</t>
    </r>
    <r>
      <rPr>
        <sz val="7"/>
        <color theme="1"/>
        <rFont val="Arial"/>
        <family val="2"/>
      </rPr>
      <t xml:space="preserve">        </t>
    </r>
    <r>
      <rPr>
        <sz val="12"/>
        <color theme="1"/>
        <rFont val="Arial"/>
        <family val="2"/>
      </rPr>
      <t>amplitude horaire d’ouverture entre 8h et 10h par jour et le samedi matin : minoration de 150 points</t>
    </r>
  </si>
  <si>
    <r>
      <t>-</t>
    </r>
    <r>
      <rPr>
        <sz val="7"/>
        <color theme="1"/>
        <rFont val="Arial"/>
        <family val="2"/>
      </rPr>
      <t xml:space="preserve">        </t>
    </r>
    <r>
      <rPr>
        <sz val="12"/>
        <color theme="1"/>
        <rFont val="Arial"/>
        <family val="2"/>
      </rPr>
      <t>fermeture le samedi matin : minoration de 120 points</t>
    </r>
  </si>
  <si>
    <r>
      <t>-</t>
    </r>
    <r>
      <rPr>
        <sz val="7"/>
        <color theme="1"/>
        <rFont val="Arial"/>
        <family val="2"/>
      </rPr>
      <t xml:space="preserve">        </t>
    </r>
    <r>
      <rPr>
        <sz val="12"/>
        <color theme="1"/>
        <rFont val="Arial"/>
        <family val="2"/>
      </rPr>
      <t>fermeture maximum pendant 3 semaines pendant les congés scolaires dans l’année : minoration de 20 points</t>
    </r>
  </si>
  <si>
    <r>
      <t>La rémunération est proratisée au regard de ce taux d’atteinte</t>
    </r>
    <r>
      <rPr>
        <sz val="11"/>
        <color theme="1"/>
        <rFont val="Arial"/>
        <family val="2"/>
      </rPr>
      <t>.</t>
    </r>
  </si>
  <si>
    <t>Calculateur des points de l'ACI</t>
  </si>
  <si>
    <t>Nombre de patients MT :</t>
  </si>
  <si>
    <t>Facteur multiplicatif :</t>
  </si>
  <si>
    <t>Rémunération</t>
  </si>
  <si>
    <t>Points</t>
  </si>
  <si>
    <t>Taux de AME :</t>
  </si>
  <si>
    <t>Facteur multiplicatif CMU + AME :</t>
  </si>
  <si>
    <t>Nombre de stages</t>
  </si>
  <si>
    <t>% estimé ALD et &gt;75 ans</t>
  </si>
  <si>
    <t>non</t>
  </si>
  <si>
    <t>Concertation pluriprofessionnelle</t>
  </si>
  <si>
    <t>Réponse aux crise sanitaires graves</t>
  </si>
  <si>
    <t>100 points fixes (quel que soit la situation sanitaire) pour la rédaction d’un plan de préparation et ses mises à jour</t>
  </si>
  <si>
    <t>350 points variables (en cas de survenue d’une crise sanitaire grave caractérisée par l’ARS)</t>
  </si>
  <si>
    <t>Transmission de la copie du plan de préparation</t>
  </si>
  <si>
    <t>Tout document attestant de la mise en place des actions répondant aux besoins en soins des patients en lien avec le plan de préparation</t>
  </si>
  <si>
    <t>oui</t>
  </si>
  <si>
    <t>Question</t>
  </si>
  <si>
    <t>Copie transmise ?</t>
  </si>
  <si>
    <t>Actions si crise ?</t>
  </si>
  <si>
    <r>
      <t xml:space="preserve">Transmission de la copie de la charte d’engagement de la structure vis-à-vis des patients </t>
    </r>
    <r>
      <rPr>
        <i/>
        <sz val="12"/>
        <color theme="1"/>
        <rFont val="Arial"/>
        <family val="2"/>
      </rPr>
      <t>(modèle type joint en annexe 4 du présent accord)</t>
    </r>
    <r>
      <rPr>
        <sz val="12"/>
        <color theme="1"/>
        <rFont val="Arial"/>
        <family val="2"/>
      </rPr>
      <t>. Cette charte est affichée dans la structure.</t>
    </r>
  </si>
  <si>
    <t>Ouverture 10 à 12 h/j + Sa. Matin ?</t>
  </si>
  <si>
    <t>Ouverture 8 à 10 h/j + Sa. Matin ?</t>
  </si>
  <si>
    <t>Fermé Samedi Matin ?</t>
  </si>
  <si>
    <t>Fermeture plus de 3 semaines par an ?</t>
  </si>
  <si>
    <t>IPA ?</t>
  </si>
  <si>
    <t>Si ouverture moins de 12 h, ou pas le samedi matin, ou plus de 3 semaine de fermeture annuelle, remplir les cases ci-dessous par oui ou non :</t>
  </si>
  <si>
    <t xml:space="preserve">Transmission de la liste des professionnels de santé associés de la structure au 31 décembre de l’année avec pour chaque professionnel les informations suivantes : nom, prénom, numéro AM, numéro RPPS, profession ou spécialité médicale.  </t>
  </si>
  <si>
    <r>
      <t xml:space="preserve">Au moins une profession médicale (hors MG, sage-femme, chirurgien-dentiste, pharmacien) </t>
    </r>
    <r>
      <rPr>
        <b/>
        <sz val="14"/>
        <color rgb="FFFF0000"/>
        <rFont val="Arial"/>
        <family val="2"/>
      </rPr>
      <t>ou</t>
    </r>
    <r>
      <rPr>
        <b/>
        <sz val="11"/>
        <color theme="1"/>
        <rFont val="Arial"/>
        <family val="2"/>
      </rPr>
      <t xml:space="preserve"> 3 professions paramédicales différentes</t>
    </r>
  </si>
  <si>
    <r>
      <t xml:space="preserve">Au moins une profession médicale (hors MG, sage-femme, chirurgien-dentiste, pharmacien) </t>
    </r>
    <r>
      <rPr>
        <b/>
        <sz val="14"/>
        <color rgb="FFFF0000"/>
        <rFont val="Arial"/>
        <family val="2"/>
      </rPr>
      <t>et</t>
    </r>
    <r>
      <rPr>
        <b/>
        <sz val="11"/>
        <color theme="1"/>
        <rFont val="Arial"/>
        <family val="2"/>
      </rPr>
      <t xml:space="preserve"> 3 professions paramédicales différentes</t>
    </r>
  </si>
  <si>
    <r>
      <t xml:space="preserve">Consultations de spécialistes médicaux (hors MG), sage-femme, chirurgien-dentiste, pharmacien, </t>
    </r>
    <r>
      <rPr>
        <b/>
        <sz val="12"/>
        <color rgb="FFFF0000"/>
        <rFont val="Arial"/>
        <family val="2"/>
      </rPr>
      <t>en moyenne de 2 jours par mois</t>
    </r>
  </si>
  <si>
    <r>
      <t xml:space="preserve">Consultations de spécialistes médicaux (hors MG), sage-femme, chirurgien-dentiste, pharmacien, </t>
    </r>
    <r>
      <rPr>
        <b/>
        <sz val="12"/>
        <color rgb="FFFF0000"/>
        <rFont val="Arial"/>
        <family val="2"/>
      </rPr>
      <t>en moyenne de 2,5 jours par semaine</t>
    </r>
  </si>
  <si>
    <t>Un médecin de l'équipe signataire d'un CSTM ?</t>
  </si>
  <si>
    <t>350 points variables par mission réalisée dans l’année écoulée dans la limite de 2 sur des thèmes listés dans l'ACI, ou en cohérence avec les objectifs du plan régional de santé</t>
  </si>
  <si>
    <t>Oui/Non ou Nbre</t>
  </si>
  <si>
    <t>Nombre de missions de santé publique ?</t>
  </si>
  <si>
    <t>200 points fixes si au moins un médecin signataire du contrat de solidarité territoriale médecin : médecin installé hors zone sous dense qui vient prrêter main forte à des confrères en zones sous denses</t>
  </si>
  <si>
    <t>Existe-t-il une fonction de coordination ?</t>
  </si>
  <si>
    <t>Protocoles pluriprofessionnels</t>
  </si>
  <si>
    <t>Nombre de protocoles ?</t>
  </si>
  <si>
    <t>Nombre de dossiers traités ?</t>
  </si>
  <si>
    <t>Points sur cet item :</t>
  </si>
  <si>
    <t>Si plus de 8000 patients</t>
  </si>
  <si>
    <t>100 points fixes par protocole. 8 protocoles peuvent être rémunérés au maximum. + 40 points fixes par protocole dès lors que la structure intègre parmi ses professionnels de santé un IPA libéral ou salarié</t>
  </si>
  <si>
    <t>+ 200 points variables dès lors que la structure intègre parmi ses professionnels de santé un IPA libéral ou salarié.</t>
  </si>
  <si>
    <t>Transmission à l’organisme local d’assurance maladie de la photocopie des attestations de stages réalisés au sein de la structure ou de la photocopie des conventions de stages permettant d’identifier :le nom du stagiaire, la profession concernée par la formation, les dates de réalisation du stage</t>
  </si>
  <si>
    <t>Ouverture 8h-20h et samedi 8h-12h ?</t>
  </si>
  <si>
    <t>Soins non programmés</t>
  </si>
  <si>
    <t>Soins non programmés en relation avec le SAS, service d'accès aux soins.                                    200 points fixes si l’ensemble des médecins de la MSP s’engagent dans le dispositif SAS ou si la MSP prend en charge toutes les sollicitations du régulateur du SAS</t>
  </si>
  <si>
    <t>Soit transmission au SAS de la liste des médecins s’inscrivant dans le dispositif.                                  Soit vérification de la réponse aux sollicitations du régulateur du SAS opérée sur la base des informations issues des plateformes de régulation.</t>
  </si>
  <si>
    <t>Tous les MG engagés dans le SAS ?                        Ou la MSP prend en charge toute sollicitations du SAS ?</t>
  </si>
  <si>
    <t>La moitié seulement des MG de la MSP sont engagés dans le SAS ?</t>
  </si>
  <si>
    <t>+ 200 points fixes pour la réalisation de 2 missions dès lors que la structure intègre parmi ses professionnels de santé un infirmier en pratique avancée (IPA) libéral ou salarié</t>
  </si>
  <si>
    <t>Article 3.1 :  les indicateurs relatifs à l'accès aux soins</t>
  </si>
  <si>
    <t>Article 3.2 :  les indicateurs relatifs au travail en équipe et à la coordination</t>
  </si>
  <si>
    <t>1000 points fixes</t>
  </si>
  <si>
    <t>+ 1700 points variables jusqu’à 8 000 patients</t>
  </si>
  <si>
    <t>Si moins de 8000 patients</t>
  </si>
  <si>
    <t>+ 1 100 points variables au-delà de 8 000 patients.</t>
  </si>
  <si>
    <r>
      <t xml:space="preserve">300 points fixes si présence parmi les associés d'au moins une profession médicale (spécialité médicale hors MG, sage-femme, chirurgien-dentiste, pharmacien) </t>
    </r>
    <r>
      <rPr>
        <b/>
        <sz val="14"/>
        <color rgb="FFFF0000"/>
        <rFont val="Arial"/>
        <family val="2"/>
      </rPr>
      <t>ou</t>
    </r>
    <r>
      <rPr>
        <sz val="12"/>
        <color theme="1"/>
        <rFont val="Arial"/>
        <family val="2"/>
      </rPr>
      <t xml:space="preserve"> de 3 professions paramédicales différentes</t>
    </r>
  </si>
  <si>
    <r>
      <t xml:space="preserve">300 points fixes si présence parmi les associés d'au moins une profession médicale (spécialité médicale hors MG, sage-femme, chirurgien-dentiste, pharmacien) </t>
    </r>
    <r>
      <rPr>
        <b/>
        <sz val="14"/>
        <color rgb="FFFF0000"/>
        <rFont val="Arial"/>
        <family val="2"/>
      </rPr>
      <t>et</t>
    </r>
    <r>
      <rPr>
        <sz val="12"/>
        <color theme="1"/>
        <rFont val="Arial"/>
        <family val="2"/>
      </rPr>
      <t xml:space="preserve"> de 3 professions paramédicales différentes</t>
    </r>
  </si>
  <si>
    <t>300 points fixes si consultations de second recours de médecin (hors MG), sage-femme, chiorurgien-dentiste ou pharmacien extérieurs à la structure en moyenne de 2 jours par mois</t>
  </si>
  <si>
    <t>300 points fixes, idem, mais 2,5 jours par semaine</t>
  </si>
  <si>
    <t>450 points fixes pour deux stages. Un troisième et quatrième stage peut être valorisé au sein de la structure</t>
  </si>
  <si>
    <t>Taux de C2S :</t>
  </si>
  <si>
    <t>Majoration C2S + AME :</t>
  </si>
  <si>
    <t>Edition de VSM ?</t>
  </si>
  <si>
    <t>Article 3.3 :  les indicateurs relatifs au système d'information</t>
  </si>
  <si>
    <t>Système d'information  labélisé niveau avancé ?</t>
  </si>
  <si>
    <r>
      <t>500 points fixes                                                       + 200 points par professionnel de santé (au sens du code de santé publique) associés de la structure (</t>
    </r>
    <r>
      <rPr>
        <i/>
        <sz val="12"/>
        <color theme="1"/>
        <rFont val="Arial"/>
        <family val="2"/>
      </rPr>
      <t>et par dérogation pour les années 2017 et 2018, des professionnels de santé signataires du projet de santé exerçant au moins 50 % de leur activité au sein de la structure</t>
    </r>
    <r>
      <rPr>
        <sz val="12"/>
        <color theme="1"/>
        <rFont val="Arial"/>
        <family val="2"/>
      </rPr>
      <t>), ou salariés pour les centres de santé jusqu’à 16 professionnels,</t>
    </r>
  </si>
  <si>
    <t>Total des points ACI et montant de la dotation  :</t>
  </si>
  <si>
    <t>Démarche qualité</t>
  </si>
  <si>
    <r>
      <t>Transmission de tout document attestant de la mise en place de ces procédures</t>
    </r>
    <r>
      <rPr>
        <sz val="11"/>
        <color theme="1"/>
        <rFont val="Arial"/>
        <family val="2"/>
      </rPr>
      <t xml:space="preserve"> </t>
    </r>
    <r>
      <rPr>
        <sz val="12"/>
        <color theme="1"/>
        <rFont val="Arial"/>
        <family val="2"/>
      </rPr>
      <t>de transmission des données de santé nécessaires à la prise en charge des patients vers les professionnels de santé extérieurs à la structure, les services et établissements sanitaires, en cas d’hospitalisation, les structures et services médico-sociaux, les intervenants sociaux.</t>
    </r>
  </si>
  <si>
    <t>Avez-vous atteint le niveau 1 ?</t>
  </si>
  <si>
    <t>Avez-vous atteint le niveau 2 ?</t>
  </si>
  <si>
    <t>Avez-vous atteint le niveau 3 ?</t>
  </si>
  <si>
    <t>Nom du référent, état des lieux des forces et faiblesses de la dynamique pluriprofessionnelle et de la prise en charge des patients, grille d’autoévaluation remplie et synthèse des résultats.</t>
  </si>
  <si>
    <t>Données qualitatives et quantitatives – bilan avec les résultats de la démarche et les perspectives</t>
  </si>
  <si>
    <t>Implication des usagers</t>
  </si>
  <si>
    <t>Transmission de tout document permettant d’attester de la mise en place d’outils et/ ou actions. Exemples: pour le niveau 1: un questionnaire de satisfaction, un sondage, une boite à idée, affichages, flyers, site internet,</t>
  </si>
  <si>
    <t>Pour le niveau 2: désignation d’un référent usager dans les groupes de travail ou dans des ateliers d’ETP, création de comités d’usagers, présence d’un médiateur</t>
  </si>
  <si>
    <t>200 points fixes pour le niveau 1: mise en place d’outils ou actions visant à consulter, informer et sensibiliser les usagers sur les services offerts par la structure mais aussi dans le cadre de son parcours de soins. Il s’agit entre autres de permettre d’évaluer la satisfaction et les besoins exprimés par les patients (modalités d’accueil, de contact avec la structure, etc…),</t>
  </si>
  <si>
    <t>300 points variables pour le niveau 2: mise en place d’outils ou actions visant à la co- construction, le partenariat, la co-décision entre la structure et les usagers.</t>
  </si>
  <si>
    <t>Questionnaire de satisfaction, ou ou autres pour niveau 1 ?</t>
  </si>
  <si>
    <t>Protocoles nationaux de coopération des soins non programmés</t>
  </si>
  <si>
    <t>Tout document attestant de la mise en oeuvre par la structure dans au moins un des 6 protocoles auprès de l’ARS</t>
  </si>
  <si>
    <t>100 points fixes par valorisation de la mise en oeuvre de protocoles nationaux de coopération des soins non programmés ayant fait l’objet d’un avis favorable de la Haute Autorité de Santé le 29 janvier 2020 et d’une autorisation par arrêté ministériel le 6 mars 2020 (JO du 8 mars 2020). Maximum 6 protocoles</t>
  </si>
  <si>
    <t xml:space="preserve">Combien avez-vous de protocoles nationaux de coopération ? </t>
  </si>
  <si>
    <t>Parcours insuffisance cardiaque</t>
  </si>
  <si>
    <t>Transmission de documents comprenant le nombre de patients insuffisants cardiaques, le nombre de patients insuffisants cardiaques «incidents», le nombre de patients nouvellement diagnostiqués au décours de l’implémentation du programme d’accompagnement…</t>
  </si>
  <si>
    <t>100 points variables pour identification de la patientèle IC et/ou présentant une pathologie à risque d’évolution vers la constitution d’une insuffisance cardiaque, optimisation du diagnostic précoce, optimisation de la fréquence de suivi, proimotion de l'ETP, etc.</t>
  </si>
  <si>
    <t>Mise en place d'un parcours IC ?</t>
  </si>
  <si>
    <t>Coordination d’un parcours « surpoids ou obésité de l’enfant »</t>
  </si>
  <si>
    <t>100 points fixes si réponse à la mission de santé publique sur surpoids et obésité de l’enfant (thème listé à l’annexe 2).</t>
  </si>
  <si>
    <t>Transmission à l’organisme d’assurance maladie de documents attestant de son intégration dans le parcours</t>
  </si>
  <si>
    <t>Mise en place d'un parcours surpoids obésité de l'enfant ?</t>
  </si>
  <si>
    <t>Au moins 6 réunions ?</t>
  </si>
  <si>
    <t>Transmission de la liste des professionnels ayant réalisé des vacations au sein de la structure au cours de l’année écoulée précisant pour chaque professionnel les informations suivantes : nom, prénom, numéro AM, numéro RPPS, profession médicale ou spécialité médicale, temps moyen hebdomadaire de présence au sein de la structure</t>
  </si>
  <si>
    <t xml:space="preserve">Intervention dans le cadre d’un CSTM ou non (production de la copie du CSTM). </t>
  </si>
  <si>
    <t>Ou 100 points fixes si 50% des médecins de la MSP s’engagent dans le dispositif SAS</t>
  </si>
  <si>
    <t>Niveau 1: désigner un référent et identifier une action d’amélioration parmi les thèmes cités dans le texte. 100 points fixes</t>
  </si>
  <si>
    <t>Niveau 2: planification et mise en oeuvre : définir les points à améliorer et le plan d’actions à mettre en oeuvre, déployer le plan d’action. 200 points variables</t>
  </si>
  <si>
    <t>Niveau 3: production de résultats et conclusions : fournir des données qualitatives et quantitatives et une analyse critique des actions mises en place, établir si l’objectif est atteint ou si un nouveau plan d’actions doit être mis en place. 300 points variables</t>
  </si>
  <si>
    <t>Plan d’action / fiche action / planification / indicateurs d’avancée – Méthode mise en place</t>
  </si>
  <si>
    <t xml:space="preserve">      Saisissez vos données dans les cases jaunes</t>
  </si>
  <si>
    <t>Système d'information  labélisé niveau standard ou avancé ?</t>
  </si>
  <si>
    <r>
      <t xml:space="preserve">Système d’information niveau </t>
    </r>
    <r>
      <rPr>
        <b/>
        <i/>
        <sz val="14"/>
        <color rgb="FFFF0000"/>
        <rFont val="Arial"/>
        <family val="2"/>
      </rPr>
      <t>au moins</t>
    </r>
    <r>
      <rPr>
        <b/>
        <sz val="14"/>
        <color theme="1"/>
        <rFont val="Arial"/>
        <family val="2"/>
      </rPr>
      <t xml:space="preserve"> standard</t>
    </r>
  </si>
  <si>
    <t>Nombre total de professionnel &gt; 50% d'activité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</si>
</sst>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_-* #,##0\ &quot;€&quot;_-;\-* #,##0\ &quot;€&quot;_-;_-* &quot;-&quot;??\ &quot;€&quot;_-;_-@_-"/>
    <numFmt numFmtId="165" formatCode="0.000"/>
    <numFmt numFmtId="166" formatCode="_-* #,##0.00\ [$€-40C]_-;\-* #,##0.00\ [$€-40C]_-;_-* &quot;-&quot;??\ [$€-40C]_-;_-@_-"/>
  </numFmts>
  <fonts count="22" x14ac:knownFonts="1">
    <font>
      <sz val="11"/>
      <color theme="1"/>
      <name val="Calibri"/>
      <family val="2"/>
      <scheme val="minor"/>
    </font>
    <font>
      <sz val="11"/>
      <color theme="1"/>
      <name val="Arial"/>
      <family val="2"/>
    </font>
    <font>
      <sz val="12"/>
      <color theme="1"/>
      <name val="Arial"/>
      <family val="2"/>
    </font>
    <font>
      <i/>
      <sz val="12"/>
      <color theme="1"/>
      <name val="Arial"/>
      <family val="2"/>
    </font>
    <font>
      <sz val="7"/>
      <color theme="1"/>
      <name val="Arial"/>
      <family val="2"/>
    </font>
    <font>
      <b/>
      <sz val="14"/>
      <color theme="1"/>
      <name val="Arial"/>
      <family val="2"/>
    </font>
    <font>
      <b/>
      <sz val="20"/>
      <color theme="0"/>
      <name val="Arial"/>
      <family val="2"/>
    </font>
    <font>
      <sz val="11"/>
      <color theme="0"/>
      <name val="Arial"/>
      <family val="2"/>
    </font>
    <font>
      <sz val="11"/>
      <color theme="1"/>
      <name val="Calibri"/>
      <family val="2"/>
      <scheme val="minor"/>
    </font>
    <font>
      <b/>
      <sz val="12"/>
      <color theme="1"/>
      <name val="Arial"/>
      <family val="2"/>
    </font>
    <font>
      <b/>
      <sz val="10"/>
      <color theme="1"/>
      <name val="Arial"/>
      <family val="2"/>
    </font>
    <font>
      <b/>
      <sz val="11"/>
      <color theme="1"/>
      <name val="Arial"/>
      <family val="2"/>
    </font>
    <font>
      <b/>
      <i/>
      <sz val="8"/>
      <name val="Arial"/>
      <family val="2"/>
    </font>
    <font>
      <sz val="8"/>
      <name val="Calibri"/>
      <family val="2"/>
      <scheme val="minor"/>
    </font>
    <font>
      <b/>
      <i/>
      <sz val="10"/>
      <color theme="1"/>
      <name val="Arial"/>
      <family val="2"/>
    </font>
    <font>
      <b/>
      <sz val="20"/>
      <name val="Arial"/>
      <family val="2"/>
    </font>
    <font>
      <b/>
      <i/>
      <sz val="14"/>
      <color rgb="FFFF0000"/>
      <name val="Arial"/>
      <family val="2"/>
    </font>
    <font>
      <sz val="14"/>
      <color theme="1"/>
      <name val="Calibri"/>
      <family val="2"/>
      <scheme val="minor"/>
    </font>
    <font>
      <b/>
      <sz val="12"/>
      <color rgb="FFFF0000"/>
      <name val="Arial"/>
      <family val="2"/>
    </font>
    <font>
      <b/>
      <sz val="14"/>
      <color rgb="FFFF0000"/>
      <name val="Arial"/>
      <family val="2"/>
    </font>
    <font>
      <b/>
      <i/>
      <sz val="12"/>
      <color theme="1"/>
      <name val="Arial"/>
      <family val="2"/>
    </font>
    <font>
      <b/>
      <sz val="14"/>
      <name val="Arial"/>
      <family val="2"/>
    </font>
  </fonts>
  <fills count="6">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4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hair">
        <color rgb="FFFF0000"/>
      </top>
      <bottom style="hair">
        <color rgb="FFFF0000"/>
      </bottom>
      <diagonal/>
    </border>
    <border>
      <left/>
      <right/>
      <top style="hair">
        <color rgb="FFFF0000"/>
      </top>
      <bottom style="hair">
        <color rgb="FFFF0000"/>
      </bottom>
      <diagonal/>
    </border>
    <border>
      <left/>
      <right/>
      <top/>
      <bottom style="hair">
        <color rgb="FFFF0000"/>
      </bottom>
      <diagonal/>
    </border>
    <border>
      <left style="hair">
        <color rgb="FFFF0000"/>
      </left>
      <right/>
      <top style="hair">
        <color rgb="FFFF0000"/>
      </top>
      <bottom/>
      <diagonal/>
    </border>
    <border>
      <left style="medium">
        <color indexed="64"/>
      </left>
      <right style="hair">
        <color rgb="FFFF0000"/>
      </right>
      <top style="hair">
        <color rgb="FFFF0000"/>
      </top>
      <bottom style="medium">
        <color indexed="64"/>
      </bottom>
      <diagonal/>
    </border>
    <border>
      <left/>
      <right/>
      <top/>
      <bottom style="medium">
        <color indexed="64"/>
      </bottom>
      <diagonal/>
    </border>
    <border>
      <left/>
      <right/>
      <top style="hair">
        <color rgb="FFFF0000"/>
      </top>
      <bottom style="medium">
        <color indexed="64"/>
      </bottom>
      <diagonal/>
    </border>
    <border>
      <left/>
      <right style="medium">
        <color indexed="64"/>
      </right>
      <top style="medium">
        <color indexed="64"/>
      </top>
      <bottom style="hair">
        <color rgb="FFFF0000"/>
      </bottom>
      <diagonal/>
    </border>
    <border>
      <left/>
      <right style="medium">
        <color indexed="64"/>
      </right>
      <top style="hair">
        <color rgb="FFFF0000"/>
      </top>
      <bottom style="medium">
        <color indexed="64"/>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style="hair">
        <color rgb="FFFF0000"/>
      </bottom>
      <diagonal/>
    </border>
    <border>
      <left/>
      <right/>
      <top style="medium">
        <color indexed="64"/>
      </top>
      <bottom style="hair">
        <color rgb="FFFF0000"/>
      </bottom>
      <diagonal/>
    </border>
    <border>
      <left/>
      <right style="medium">
        <color indexed="64"/>
      </right>
      <top style="hair">
        <color rgb="FFFF0000"/>
      </top>
      <bottom style="hair">
        <color rgb="FFFF0000"/>
      </bottom>
      <diagonal/>
    </border>
    <border>
      <left style="medium">
        <color indexed="64"/>
      </left>
      <right style="hair">
        <color rgb="FFFF0000"/>
      </right>
      <top style="hair">
        <color rgb="FFFF0000"/>
      </top>
      <bottom style="hair">
        <color rgb="FFFF0000"/>
      </bottom>
      <diagonal/>
    </border>
    <border>
      <left style="medium">
        <color indexed="64"/>
      </left>
      <right style="hair">
        <color rgb="FFFF0000"/>
      </right>
      <top/>
      <bottom style="hair">
        <color rgb="FFFF0000"/>
      </bottom>
      <diagonal/>
    </border>
    <border>
      <left style="medium">
        <color indexed="64"/>
      </left>
      <right/>
      <top/>
      <bottom style="medium">
        <color indexed="64"/>
      </bottom>
      <diagonal/>
    </border>
    <border>
      <left/>
      <right style="medium">
        <color indexed="64"/>
      </right>
      <top/>
      <bottom style="hair">
        <color rgb="FFFF0000"/>
      </bottom>
      <diagonal/>
    </border>
    <border>
      <left style="medium">
        <color indexed="64"/>
      </left>
      <right/>
      <top style="medium">
        <color indexed="64"/>
      </top>
      <bottom style="medium">
        <color indexed="64"/>
      </bottom>
      <diagonal/>
    </border>
    <border>
      <left/>
      <right style="medium">
        <color auto="1"/>
      </right>
      <top style="hair">
        <color rgb="FFFF0000"/>
      </top>
      <bottom/>
      <diagonal/>
    </border>
    <border>
      <left style="medium">
        <color indexed="64"/>
      </left>
      <right style="medium">
        <color indexed="64"/>
      </right>
      <top/>
      <bottom style="hair">
        <color rgb="FFFF0000"/>
      </bottom>
      <diagonal/>
    </border>
    <border>
      <left style="thick">
        <color rgb="FFFF0000"/>
      </left>
      <right style="thick">
        <color rgb="FFFF0000"/>
      </right>
      <top style="thick">
        <color rgb="FFFF0000"/>
      </top>
      <bottom style="thick">
        <color rgb="FFFF0000"/>
      </bottom>
      <diagonal/>
    </border>
    <border>
      <left/>
      <right/>
      <top style="hair">
        <color rgb="FFFF0000"/>
      </top>
      <bottom/>
      <diagonal/>
    </border>
    <border>
      <left style="medium">
        <color indexed="64"/>
      </left>
      <right/>
      <top style="medium">
        <color indexed="64"/>
      </top>
      <bottom style="hair">
        <color rgb="FFFF0000"/>
      </bottom>
      <diagonal/>
    </border>
    <border>
      <left style="medium">
        <color indexed="64"/>
      </left>
      <right/>
      <top style="hair">
        <color rgb="FFFF0000"/>
      </top>
      <bottom style="medium">
        <color indexed="64"/>
      </bottom>
      <diagonal/>
    </border>
    <border>
      <left style="medium">
        <color indexed="64"/>
      </left>
      <right/>
      <top/>
      <bottom style="hair">
        <color rgb="FFFF0000"/>
      </bottom>
      <diagonal/>
    </border>
    <border>
      <left style="medium">
        <color indexed="64"/>
      </left>
      <right/>
      <top style="medium">
        <color indexed="64"/>
      </top>
      <bottom/>
      <diagonal/>
    </border>
    <border>
      <left style="medium">
        <color indexed="64"/>
      </left>
      <right/>
      <top/>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s>
  <cellStyleXfs count="3">
    <xf numFmtId="0" fontId="0" fillId="0" borderId="0"/>
    <xf numFmtId="44" fontId="8" fillId="0" borderId="0" applyFont="0" applyFill="0" applyBorder="0" applyAlignment="0" applyProtection="0"/>
    <xf numFmtId="9" fontId="8" fillId="0" borderId="0" applyFont="0" applyFill="0" applyBorder="0" applyAlignment="0" applyProtection="0"/>
  </cellStyleXfs>
  <cellXfs count="166">
    <xf numFmtId="0" fontId="0" fillId="0" borderId="0" xfId="0"/>
    <xf numFmtId="0" fontId="5" fillId="0" borderId="14" xfId="0" applyFont="1" applyBorder="1" applyAlignment="1" applyProtection="1">
      <alignment horizontal="center" vertical="center"/>
      <protection locked="0"/>
    </xf>
    <xf numFmtId="0" fontId="5" fillId="0" borderId="13" xfId="0" applyFont="1" applyBorder="1" applyAlignment="1" applyProtection="1">
      <alignment horizontal="center" vertical="center"/>
      <protection locked="0"/>
    </xf>
    <xf numFmtId="0" fontId="5" fillId="0" borderId="19" xfId="0" applyFont="1" applyBorder="1" applyAlignment="1" applyProtection="1">
      <alignment horizontal="center" vertical="center"/>
      <protection locked="0"/>
    </xf>
    <xf numFmtId="0" fontId="5" fillId="0" borderId="21" xfId="0" applyFont="1" applyBorder="1" applyAlignment="1" applyProtection="1">
      <alignment horizontal="center" vertical="center"/>
      <protection locked="0"/>
    </xf>
    <xf numFmtId="0" fontId="17" fillId="0" borderId="0" xfId="0" applyFont="1"/>
    <xf numFmtId="0" fontId="5" fillId="0" borderId="10" xfId="0" applyFont="1" applyBorder="1" applyAlignment="1" applyProtection="1">
      <alignment horizontal="center" vertical="center" wrapText="1"/>
      <protection locked="0"/>
    </xf>
    <xf numFmtId="0" fontId="17" fillId="0" borderId="0" xfId="0" applyFont="1" applyAlignment="1">
      <alignment horizontal="center"/>
    </xf>
    <xf numFmtId="0" fontId="5" fillId="0" borderId="9" xfId="0" applyFont="1" applyBorder="1" applyAlignment="1" applyProtection="1">
      <alignment horizontal="center" vertical="center"/>
      <protection locked="0"/>
    </xf>
    <xf numFmtId="0" fontId="1" fillId="0" borderId="10" xfId="0" applyFont="1" applyBorder="1" applyProtection="1">
      <protection locked="0"/>
    </xf>
    <xf numFmtId="0" fontId="1" fillId="0" borderId="13" xfId="0" applyFont="1" applyBorder="1" applyProtection="1">
      <protection locked="0"/>
    </xf>
    <xf numFmtId="0" fontId="1" fillId="0" borderId="17" xfId="0" applyFont="1" applyBorder="1" applyProtection="1">
      <protection locked="0"/>
    </xf>
    <xf numFmtId="0" fontId="11" fillId="0" borderId="0" xfId="0" applyFont="1" applyAlignment="1" applyProtection="1">
      <alignment horizontal="center" vertical="center" wrapText="1"/>
      <protection locked="0"/>
    </xf>
    <xf numFmtId="0" fontId="5" fillId="2" borderId="19" xfId="0" applyFont="1" applyFill="1" applyBorder="1" applyAlignment="1" applyProtection="1">
      <alignment horizontal="center" vertical="center" wrapText="1"/>
      <protection locked="0"/>
    </xf>
    <xf numFmtId="0" fontId="5" fillId="0" borderId="11" xfId="0" applyFont="1" applyBorder="1" applyAlignment="1" applyProtection="1">
      <alignment horizontal="center" vertical="center"/>
      <protection locked="0"/>
    </xf>
    <xf numFmtId="0" fontId="1" fillId="0" borderId="9" xfId="0" applyFont="1" applyBorder="1" applyProtection="1">
      <protection locked="0"/>
    </xf>
    <xf numFmtId="1" fontId="5" fillId="0" borderId="14" xfId="0" applyNumberFormat="1" applyFont="1" applyBorder="1" applyAlignment="1" applyProtection="1">
      <alignment horizontal="center" vertical="center"/>
      <protection locked="0"/>
    </xf>
    <xf numFmtId="0" fontId="5" fillId="0" borderId="0" xfId="0" applyFont="1" applyAlignment="1" applyProtection="1">
      <alignment horizontal="center" vertical="center"/>
      <protection locked="0"/>
    </xf>
    <xf numFmtId="0" fontId="1" fillId="0" borderId="19" xfId="0" applyFont="1" applyBorder="1" applyProtection="1">
      <protection locked="0"/>
    </xf>
    <xf numFmtId="0" fontId="5" fillId="2" borderId="0" xfId="0" applyFont="1" applyFill="1" applyAlignment="1" applyProtection="1">
      <alignment horizontal="right" vertical="center"/>
      <protection locked="0"/>
    </xf>
    <xf numFmtId="0" fontId="5" fillId="2" borderId="0" xfId="0" applyFont="1" applyFill="1" applyAlignment="1" applyProtection="1">
      <alignment horizontal="center" vertical="center"/>
      <protection locked="0"/>
    </xf>
    <xf numFmtId="0" fontId="5" fillId="5" borderId="0" xfId="0" applyFont="1" applyFill="1" applyAlignment="1" applyProtection="1">
      <alignment horizontal="center" vertical="center"/>
      <protection locked="0"/>
    </xf>
    <xf numFmtId="0" fontId="1" fillId="0" borderId="0" xfId="0" applyFont="1" applyProtection="1">
      <protection locked="0"/>
    </xf>
    <xf numFmtId="10" fontId="10" fillId="2" borderId="0" xfId="0" applyNumberFormat="1" applyFont="1" applyFill="1" applyAlignment="1" applyProtection="1">
      <alignment horizontal="right" vertical="center"/>
      <protection locked="0"/>
    </xf>
    <xf numFmtId="0" fontId="1" fillId="0" borderId="0" xfId="0" applyFont="1" applyAlignment="1" applyProtection="1">
      <alignment horizontal="center" vertical="center"/>
      <protection locked="0"/>
    </xf>
    <xf numFmtId="0" fontId="5" fillId="2" borderId="2" xfId="0" applyFont="1" applyFill="1" applyBorder="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10" fontId="5" fillId="5" borderId="0" xfId="2" applyNumberFormat="1" applyFont="1" applyFill="1" applyAlignment="1" applyProtection="1">
      <alignment horizontal="center" vertical="center"/>
    </xf>
    <xf numFmtId="0" fontId="5" fillId="0" borderId="10" xfId="0" applyFont="1" applyBorder="1" applyAlignment="1" applyProtection="1">
      <alignment horizontal="center" vertical="center"/>
      <protection locked="0"/>
    </xf>
    <xf numFmtId="10" fontId="10" fillId="2" borderId="0" xfId="0" applyNumberFormat="1" applyFont="1" applyFill="1" applyAlignment="1">
      <alignment horizontal="right" vertical="center"/>
    </xf>
    <xf numFmtId="0" fontId="5" fillId="5" borderId="0" xfId="0" applyFont="1" applyFill="1" applyAlignment="1">
      <alignment horizontal="center" vertical="center"/>
    </xf>
    <xf numFmtId="0" fontId="5" fillId="0" borderId="10" xfId="0" applyFont="1" applyBorder="1" applyAlignment="1">
      <alignment horizontal="center" vertical="center"/>
    </xf>
    <xf numFmtId="164" fontId="5" fillId="0" borderId="26" xfId="1" applyNumberFormat="1" applyFont="1" applyBorder="1" applyAlignment="1" applyProtection="1">
      <alignment horizontal="center" vertical="center"/>
    </xf>
    <xf numFmtId="0" fontId="5" fillId="0" borderId="9" xfId="0" applyFont="1" applyBorder="1" applyAlignment="1">
      <alignment horizontal="center" vertical="center"/>
    </xf>
    <xf numFmtId="164" fontId="5" fillId="0" borderId="22" xfId="1" applyNumberFormat="1" applyFont="1" applyBorder="1" applyAlignment="1" applyProtection="1">
      <alignment horizontal="center" vertical="center"/>
    </xf>
    <xf numFmtId="0" fontId="5" fillId="0" borderId="21" xfId="0" applyFont="1" applyBorder="1" applyAlignment="1">
      <alignment horizontal="center" vertical="center"/>
    </xf>
    <xf numFmtId="164" fontId="5" fillId="0" borderId="15" xfId="1" applyNumberFormat="1" applyFont="1" applyBorder="1" applyAlignment="1" applyProtection="1">
      <alignment horizontal="center" vertical="center"/>
    </xf>
    <xf numFmtId="1" fontId="5" fillId="0" borderId="13" xfId="0" applyNumberFormat="1" applyFont="1" applyBorder="1" applyAlignment="1">
      <alignment horizontal="center" vertical="center"/>
    </xf>
    <xf numFmtId="1" fontId="5" fillId="0" borderId="19" xfId="0" applyNumberFormat="1" applyFont="1" applyBorder="1" applyAlignment="1">
      <alignment horizontal="center" vertical="center"/>
    </xf>
    <xf numFmtId="1" fontId="5" fillId="0" borderId="21" xfId="0" applyNumberFormat="1" applyFont="1" applyBorder="1" applyAlignment="1">
      <alignment horizontal="center" vertical="center"/>
    </xf>
    <xf numFmtId="1" fontId="5" fillId="0" borderId="14" xfId="0" applyNumberFormat="1" applyFont="1" applyBorder="1" applyAlignment="1">
      <alignment horizontal="center" vertical="center"/>
    </xf>
    <xf numFmtId="0" fontId="5" fillId="0" borderId="0" xfId="0" applyFont="1" applyAlignment="1">
      <alignment horizontal="center" vertical="center"/>
    </xf>
    <xf numFmtId="0" fontId="5" fillId="0" borderId="17" xfId="0" applyFont="1" applyBorder="1" applyAlignment="1">
      <alignment horizontal="center" vertical="center"/>
    </xf>
    <xf numFmtId="0" fontId="5" fillId="0" borderId="13" xfId="0" applyFont="1" applyBorder="1" applyAlignment="1">
      <alignment horizontal="center" vertical="center"/>
    </xf>
    <xf numFmtId="0" fontId="11" fillId="0" borderId="0" xfId="0" applyFont="1" applyAlignment="1">
      <alignment horizontal="center" vertical="center" wrapText="1"/>
    </xf>
    <xf numFmtId="0" fontId="5" fillId="2" borderId="19"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0" borderId="19" xfId="0" applyFont="1" applyBorder="1" applyAlignment="1">
      <alignment horizontal="center" vertical="center"/>
    </xf>
    <xf numFmtId="0" fontId="11" fillId="0" borderId="21" xfId="0" applyFont="1" applyBorder="1" applyAlignment="1">
      <alignment horizontal="center" vertical="center" wrapText="1"/>
    </xf>
    <xf numFmtId="10" fontId="5" fillId="0" borderId="9" xfId="2" applyNumberFormat="1" applyFont="1" applyBorder="1" applyAlignment="1" applyProtection="1">
      <alignment horizontal="center" vertical="center" wrapText="1"/>
    </xf>
    <xf numFmtId="0" fontId="1" fillId="0" borderId="22" xfId="0" applyFont="1" applyBorder="1"/>
    <xf numFmtId="0" fontId="1" fillId="0" borderId="0" xfId="0" applyFont="1"/>
    <xf numFmtId="164" fontId="5" fillId="0" borderId="0" xfId="1" applyNumberFormat="1" applyFont="1" applyBorder="1" applyAlignment="1" applyProtection="1">
      <alignment horizontal="center" vertical="center"/>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24" xfId="0" applyFont="1" applyBorder="1" applyAlignment="1">
      <alignment horizontal="center" vertical="center" wrapText="1"/>
    </xf>
    <xf numFmtId="0" fontId="20" fillId="0" borderId="23" xfId="0" applyFont="1" applyBorder="1" applyAlignment="1">
      <alignment horizontal="center" vertical="center"/>
    </xf>
    <xf numFmtId="0" fontId="20" fillId="0" borderId="24" xfId="0" applyFont="1" applyBorder="1" applyAlignment="1">
      <alignment horizontal="center" vertical="center"/>
    </xf>
    <xf numFmtId="0" fontId="20" fillId="0" borderId="25" xfId="0" applyFont="1" applyBorder="1" applyAlignment="1">
      <alignment horizontal="center" vertical="center"/>
    </xf>
    <xf numFmtId="0" fontId="9" fillId="0" borderId="19" xfId="0" applyFont="1" applyBorder="1" applyAlignment="1">
      <alignment horizontal="center" vertical="center"/>
    </xf>
    <xf numFmtId="0" fontId="9" fillId="0" borderId="21"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9" xfId="0" applyFont="1" applyBorder="1" applyAlignment="1">
      <alignment horizontal="center" vertical="center" wrapText="1"/>
    </xf>
    <xf numFmtId="0" fontId="9" fillId="2" borderId="1" xfId="0" applyFont="1" applyFill="1" applyBorder="1" applyAlignment="1">
      <alignment horizontal="center" vertical="center" wrapText="1"/>
    </xf>
    <xf numFmtId="0" fontId="5" fillId="2" borderId="27" xfId="0" applyFont="1" applyFill="1" applyBorder="1" applyAlignment="1">
      <alignment horizontal="center" vertical="center" wrapText="1"/>
    </xf>
    <xf numFmtId="0" fontId="21" fillId="2" borderId="19" xfId="0" applyFont="1" applyFill="1" applyBorder="1" applyAlignment="1">
      <alignment horizontal="left" vertical="center"/>
    </xf>
    <xf numFmtId="0" fontId="2" fillId="0" borderId="7" xfId="0" applyFont="1" applyBorder="1" applyAlignment="1">
      <alignment horizontal="left" vertical="center" wrapText="1"/>
    </xf>
    <xf numFmtId="0" fontId="5" fillId="0" borderId="7" xfId="0" applyFont="1" applyBorder="1" applyAlignment="1">
      <alignment horizontal="left" vertical="center" wrapText="1"/>
    </xf>
    <xf numFmtId="0" fontId="2" fillId="0" borderId="18" xfId="0" applyFont="1" applyBorder="1" applyAlignment="1">
      <alignment horizontal="justify" vertical="center" wrapText="1"/>
    </xf>
    <xf numFmtId="0" fontId="2" fillId="0" borderId="18" xfId="0" applyFont="1" applyBorder="1" applyAlignment="1">
      <alignment horizontal="left" vertical="center" wrapText="1"/>
    </xf>
    <xf numFmtId="0" fontId="2" fillId="0" borderId="4" xfId="0" applyFont="1" applyBorder="1" applyAlignment="1">
      <alignment horizontal="left" vertical="center" wrapText="1"/>
    </xf>
    <xf numFmtId="0" fontId="9" fillId="0" borderId="6" xfId="0" applyFont="1" applyBorder="1" applyAlignment="1">
      <alignment horizontal="justify" vertical="center" wrapText="1"/>
    </xf>
    <xf numFmtId="0" fontId="1" fillId="0" borderId="6" xfId="0" applyFont="1" applyBorder="1" applyAlignment="1">
      <alignment vertical="center" wrapText="1"/>
    </xf>
    <xf numFmtId="0" fontId="2" fillId="0" borderId="6" xfId="0" applyFont="1" applyBorder="1" applyAlignment="1">
      <alignment horizontal="left" vertical="center" wrapText="1" indent="2"/>
    </xf>
    <xf numFmtId="0" fontId="14" fillId="0" borderId="4" xfId="0" applyFont="1" applyBorder="1" applyAlignment="1">
      <alignment horizontal="center" vertical="center"/>
    </xf>
    <xf numFmtId="0" fontId="2" fillId="0" borderId="3" xfId="0" applyFont="1" applyBorder="1" applyAlignment="1">
      <alignment horizontal="left" vertical="center" wrapText="1"/>
    </xf>
    <xf numFmtId="0" fontId="2" fillId="0" borderId="5" xfId="0" applyFont="1" applyBorder="1" applyAlignment="1">
      <alignment horizontal="left" vertical="center" wrapText="1" indent="2"/>
    </xf>
    <xf numFmtId="0" fontId="14" fillId="0" borderId="3" xfId="0" applyFont="1" applyBorder="1" applyAlignment="1">
      <alignment horizontal="center" vertical="center"/>
    </xf>
    <xf numFmtId="0" fontId="5" fillId="0" borderId="5" xfId="0" applyFont="1" applyBorder="1" applyAlignment="1">
      <alignment horizontal="left" vertical="center" wrapText="1"/>
    </xf>
    <xf numFmtId="0" fontId="2" fillId="0" borderId="29" xfId="0" applyFont="1" applyBorder="1" applyAlignment="1">
      <alignment horizontal="justify" vertical="center" wrapText="1"/>
    </xf>
    <xf numFmtId="0" fontId="2" fillId="0" borderId="29" xfId="0" applyFont="1" applyBorder="1" applyAlignment="1">
      <alignment horizontal="left" vertical="center" wrapText="1"/>
    </xf>
    <xf numFmtId="0" fontId="2" fillId="0" borderId="1" xfId="0" applyFont="1" applyBorder="1" applyAlignment="1">
      <alignment horizontal="left" vertical="center" wrapText="1"/>
    </xf>
    <xf numFmtId="0" fontId="5" fillId="0" borderId="1" xfId="0" applyFont="1" applyBorder="1" applyAlignment="1">
      <alignment horizontal="left" vertical="center" wrapText="1"/>
    </xf>
    <xf numFmtId="0" fontId="2" fillId="0" borderId="3" xfId="0" applyFont="1" applyBorder="1" applyAlignment="1">
      <alignment horizontal="justify" vertical="center" wrapText="1"/>
    </xf>
    <xf numFmtId="0" fontId="2" fillId="0" borderId="20" xfId="0" applyFont="1" applyBorder="1" applyAlignment="1">
      <alignment horizontal="justify" vertical="center" wrapText="1"/>
    </xf>
    <xf numFmtId="0" fontId="2" fillId="0" borderId="5" xfId="0" applyFont="1" applyBorder="1" applyAlignment="1">
      <alignment horizontal="justify" vertical="center" wrapText="1"/>
    </xf>
    <xf numFmtId="0" fontId="0" fillId="0" borderId="3" xfId="0" applyBorder="1" applyAlignment="1">
      <alignment horizontal="left" vertical="center" wrapText="1"/>
    </xf>
    <xf numFmtId="0" fontId="2" fillId="0" borderId="7" xfId="0" applyFont="1" applyBorder="1" applyAlignment="1">
      <alignment horizontal="justify" vertical="center" wrapText="1"/>
    </xf>
    <xf numFmtId="0" fontId="2" fillId="0" borderId="5" xfId="0" quotePrefix="1" applyFont="1" applyBorder="1" applyAlignment="1">
      <alignment horizontal="justify" vertical="center" wrapText="1"/>
    </xf>
    <xf numFmtId="0" fontId="2" fillId="0" borderId="5" xfId="0" applyFont="1" applyBorder="1" applyAlignment="1">
      <alignment horizontal="left" vertical="center" wrapText="1"/>
    </xf>
    <xf numFmtId="0" fontId="0" fillId="0" borderId="27" xfId="0" applyBorder="1" applyAlignment="1">
      <alignment horizontal="left" vertical="center" wrapText="1"/>
    </xf>
    <xf numFmtId="0" fontId="0" fillId="0" borderId="19" xfId="0" applyBorder="1" applyAlignment="1">
      <alignment horizontal="left" vertical="center" wrapText="1"/>
    </xf>
    <xf numFmtId="0" fontId="2" fillId="0" borderId="0" xfId="0" applyFont="1" applyAlignment="1">
      <alignment horizontal="left" vertical="center" wrapText="1"/>
    </xf>
    <xf numFmtId="0" fontId="21" fillId="2" borderId="27" xfId="0" applyFont="1" applyFill="1" applyBorder="1" applyAlignment="1">
      <alignment horizontal="left" vertical="center"/>
    </xf>
    <xf numFmtId="0" fontId="21" fillId="2" borderId="2" xfId="0" applyFont="1" applyFill="1" applyBorder="1" applyAlignment="1">
      <alignment horizontal="left" vertical="center"/>
    </xf>
    <xf numFmtId="0" fontId="2" fillId="0" borderId="6" xfId="0" quotePrefix="1" applyFont="1" applyBorder="1" applyAlignment="1">
      <alignment horizontal="justify" vertical="center" wrapText="1"/>
    </xf>
    <xf numFmtId="0" fontId="2" fillId="0" borderId="2" xfId="0" applyFont="1" applyBorder="1" applyAlignment="1">
      <alignment horizontal="justify" vertical="center" wrapText="1"/>
    </xf>
    <xf numFmtId="0" fontId="2" fillId="0" borderId="1" xfId="0" applyFont="1" applyBorder="1" applyAlignment="1">
      <alignment horizontal="justify" vertical="center" wrapText="1"/>
    </xf>
    <xf numFmtId="0" fontId="2" fillId="0" borderId="6" xfId="0" applyFont="1" applyBorder="1" applyAlignment="1">
      <alignment horizontal="justify" vertical="center" wrapText="1"/>
    </xf>
    <xf numFmtId="0" fontId="2" fillId="0" borderId="4" xfId="0" applyFont="1" applyBorder="1" applyAlignment="1">
      <alignment horizontal="justify" vertical="center" wrapText="1"/>
    </xf>
    <xf numFmtId="0" fontId="1" fillId="0" borderId="5" xfId="0" applyFont="1" applyBorder="1" applyAlignment="1">
      <alignment vertical="top" wrapText="1"/>
    </xf>
    <xf numFmtId="0" fontId="2" fillId="0" borderId="2" xfId="0" applyFont="1" applyBorder="1" applyAlignment="1">
      <alignment horizontal="left" vertical="center" wrapText="1"/>
    </xf>
    <xf numFmtId="0" fontId="9" fillId="2" borderId="27" xfId="0" applyFont="1" applyFill="1" applyBorder="1" applyAlignment="1">
      <alignment horizontal="center" vertical="center" wrapText="1"/>
    </xf>
    <xf numFmtId="0" fontId="2" fillId="0" borderId="6" xfId="0" quotePrefix="1" applyFont="1" applyBorder="1" applyAlignment="1">
      <alignment horizontal="left" vertical="center" wrapText="1"/>
    </xf>
    <xf numFmtId="0" fontId="2" fillId="0" borderId="6" xfId="0" applyFont="1" applyBorder="1" applyAlignment="1">
      <alignment horizontal="left" vertical="center" wrapText="1"/>
    </xf>
    <xf numFmtId="0" fontId="1" fillId="0" borderId="1" xfId="0" applyFont="1" applyBorder="1" applyAlignment="1">
      <alignment vertical="center" wrapText="1"/>
    </xf>
    <xf numFmtId="0" fontId="2" fillId="0" borderId="0" xfId="0" applyFont="1" applyAlignment="1">
      <alignment horizontal="justify" vertical="center" wrapText="1"/>
    </xf>
    <xf numFmtId="0" fontId="1" fillId="0" borderId="0" xfId="0" applyFont="1" applyAlignment="1">
      <alignment vertical="center" wrapText="1"/>
    </xf>
    <xf numFmtId="0" fontId="1" fillId="2" borderId="0" xfId="0" applyFont="1" applyFill="1"/>
    <xf numFmtId="0" fontId="5" fillId="2" borderId="0" xfId="0" applyFont="1" applyFill="1" applyAlignment="1">
      <alignment horizontal="right" vertical="center"/>
    </xf>
    <xf numFmtId="0" fontId="6" fillId="4" borderId="0" xfId="0" applyFont="1" applyFill="1" applyAlignment="1">
      <alignment horizontal="left" vertical="center"/>
    </xf>
    <xf numFmtId="0" fontId="7" fillId="4" borderId="0" xfId="0" applyFont="1" applyFill="1" applyAlignment="1">
      <alignment horizontal="left" vertical="center"/>
    </xf>
    <xf numFmtId="9" fontId="5" fillId="5" borderId="0" xfId="2" applyFont="1" applyFill="1" applyAlignment="1" applyProtection="1">
      <alignment horizontal="center" vertical="center"/>
    </xf>
    <xf numFmtId="44" fontId="5" fillId="0" borderId="15" xfId="1" applyFont="1" applyBorder="1" applyAlignment="1" applyProtection="1">
      <alignment horizontal="center" vertical="center"/>
    </xf>
    <xf numFmtId="44" fontId="5" fillId="0" borderId="5" xfId="1" applyFont="1" applyBorder="1" applyAlignment="1" applyProtection="1">
      <alignment horizontal="center" vertical="center"/>
    </xf>
    <xf numFmtId="44" fontId="5" fillId="0" borderId="2" xfId="1" applyFont="1" applyBorder="1" applyAlignment="1" applyProtection="1">
      <alignment horizontal="center" vertical="center"/>
    </xf>
    <xf numFmtId="44" fontId="5" fillId="0" borderId="16" xfId="1" applyFont="1" applyBorder="1" applyAlignment="1" applyProtection="1">
      <alignment horizontal="center" vertical="center"/>
    </xf>
    <xf numFmtId="2" fontId="5" fillId="0" borderId="14" xfId="0" applyNumberFormat="1" applyFont="1" applyBorder="1" applyAlignment="1">
      <alignment horizontal="center" vertical="center"/>
    </xf>
    <xf numFmtId="44" fontId="5" fillId="0" borderId="26" xfId="1" applyFont="1" applyBorder="1" applyAlignment="1" applyProtection="1">
      <alignment horizontal="center" vertical="center"/>
    </xf>
    <xf numFmtId="44" fontId="5" fillId="0" borderId="18" xfId="1" applyFont="1" applyBorder="1" applyAlignment="1" applyProtection="1">
      <alignment horizontal="center" vertical="center"/>
    </xf>
    <xf numFmtId="2" fontId="5" fillId="0" borderId="9" xfId="0" applyNumberFormat="1" applyFont="1" applyBorder="1" applyAlignment="1">
      <alignment horizontal="center" vertical="center"/>
    </xf>
    <xf numFmtId="44" fontId="5" fillId="0" borderId="22" xfId="1" applyFont="1" applyBorder="1" applyAlignment="1" applyProtection="1">
      <alignment horizontal="center" vertical="center"/>
    </xf>
    <xf numFmtId="2" fontId="5" fillId="0" borderId="19" xfId="0" applyNumberFormat="1" applyFont="1" applyBorder="1" applyAlignment="1">
      <alignment horizontal="center" vertical="center"/>
    </xf>
    <xf numFmtId="165" fontId="5" fillId="0" borderId="19" xfId="0" applyNumberFormat="1" applyFont="1" applyBorder="1" applyAlignment="1">
      <alignment horizontal="center" vertical="center"/>
    </xf>
    <xf numFmtId="165" fontId="5" fillId="0" borderId="9" xfId="0" applyNumberFormat="1" applyFont="1" applyBorder="1" applyAlignment="1">
      <alignment horizontal="center" vertical="center"/>
    </xf>
    <xf numFmtId="0" fontId="5" fillId="0" borderId="2" xfId="0" applyFont="1" applyBorder="1" applyAlignment="1">
      <alignment horizontal="left" vertical="center" wrapText="1"/>
    </xf>
    <xf numFmtId="44" fontId="5" fillId="0" borderId="28" xfId="1" applyFont="1" applyBorder="1" applyAlignment="1" applyProtection="1">
      <alignment horizontal="center" vertical="center"/>
    </xf>
    <xf numFmtId="166" fontId="5" fillId="2" borderId="0" xfId="0" applyNumberFormat="1" applyFont="1" applyFill="1" applyAlignment="1">
      <alignment horizontal="center" vertical="center"/>
    </xf>
    <xf numFmtId="2" fontId="5" fillId="2" borderId="0" xfId="0" applyNumberFormat="1" applyFont="1" applyFill="1" applyAlignment="1">
      <alignment horizontal="center" vertical="center"/>
    </xf>
    <xf numFmtId="0" fontId="5" fillId="3" borderId="30" xfId="0" applyFont="1" applyFill="1" applyBorder="1" applyAlignment="1" applyProtection="1">
      <alignment horizontal="center" vertical="center"/>
      <protection locked="0"/>
    </xf>
    <xf numFmtId="10" fontId="5" fillId="3" borderId="30" xfId="2" applyNumberFormat="1" applyFont="1" applyFill="1" applyBorder="1" applyAlignment="1" applyProtection="1">
      <alignment horizontal="center" vertical="center"/>
      <protection locked="0"/>
    </xf>
    <xf numFmtId="0" fontId="11" fillId="0" borderId="32" xfId="0" applyFont="1" applyBorder="1" applyAlignment="1">
      <alignment horizontal="center" vertical="center" wrapText="1"/>
    </xf>
    <xf numFmtId="0" fontId="11" fillId="0" borderId="25" xfId="0" applyFont="1" applyBorder="1" applyAlignment="1">
      <alignment horizontal="center" vertical="center" wrapText="1"/>
    </xf>
    <xf numFmtId="0" fontId="11" fillId="0" borderId="27" xfId="0" applyFont="1" applyBorder="1" applyAlignment="1">
      <alignment horizontal="center" vertical="center" wrapText="1"/>
    </xf>
    <xf numFmtId="0" fontId="5" fillId="0" borderId="17" xfId="0" applyFont="1" applyBorder="1" applyAlignment="1" applyProtection="1">
      <alignment horizontal="center" vertical="center"/>
      <protection locked="0"/>
    </xf>
    <xf numFmtId="0" fontId="11" fillId="0" borderId="33" xfId="0" applyFont="1" applyBorder="1" applyAlignment="1">
      <alignment horizontal="center" vertical="center" wrapText="1"/>
    </xf>
    <xf numFmtId="0" fontId="11" fillId="0" borderId="34" xfId="0" applyFont="1" applyBorder="1" applyAlignment="1">
      <alignment horizontal="center" vertical="center" wrapText="1"/>
    </xf>
    <xf numFmtId="0" fontId="11" fillId="0" borderId="35" xfId="0" applyFont="1" applyBorder="1" applyAlignment="1">
      <alignment horizontal="center" vertical="center" wrapText="1"/>
    </xf>
    <xf numFmtId="0" fontId="5" fillId="2" borderId="17" xfId="0" applyFont="1" applyFill="1" applyBorder="1" applyAlignment="1" applyProtection="1">
      <alignment horizontal="center" vertical="center" wrapText="1"/>
      <protection locked="0"/>
    </xf>
    <xf numFmtId="0" fontId="5" fillId="0" borderId="31" xfId="0" applyFont="1" applyBorder="1" applyAlignment="1" applyProtection="1">
      <alignment horizontal="center" vertical="center"/>
      <protection locked="0"/>
    </xf>
    <xf numFmtId="0" fontId="11" fillId="0" borderId="36" xfId="0" applyFont="1" applyBorder="1" applyAlignment="1">
      <alignment horizontal="center" vertical="center" wrapText="1"/>
    </xf>
    <xf numFmtId="0" fontId="5" fillId="3" borderId="30" xfId="0" applyFont="1" applyFill="1" applyBorder="1" applyAlignment="1" applyProtection="1">
      <alignment horizontal="center" vertical="center" wrapText="1"/>
      <protection locked="0"/>
    </xf>
    <xf numFmtId="10" fontId="5" fillId="3" borderId="30" xfId="0" applyNumberFormat="1" applyFont="1" applyFill="1" applyBorder="1" applyAlignment="1" applyProtection="1">
      <alignment horizontal="center" vertical="center" wrapText="1"/>
      <protection locked="0"/>
    </xf>
    <xf numFmtId="1" fontId="12" fillId="0" borderId="0" xfId="0" applyNumberFormat="1" applyFont="1" applyAlignment="1" applyProtection="1">
      <alignment horizontal="center" vertical="center"/>
      <protection locked="0"/>
    </xf>
    <xf numFmtId="0" fontId="11" fillId="0" borderId="11" xfId="0" applyFont="1" applyBorder="1" applyAlignment="1">
      <alignment horizontal="center" vertical="center" wrapText="1"/>
    </xf>
    <xf numFmtId="0" fontId="15" fillId="3" borderId="37" xfId="0" applyFont="1" applyFill="1" applyBorder="1" applyAlignment="1">
      <alignment horizontal="left" vertical="center"/>
    </xf>
    <xf numFmtId="0" fontId="1" fillId="3" borderId="38" xfId="0" applyFont="1" applyFill="1" applyBorder="1"/>
    <xf numFmtId="0" fontId="15" fillId="3" borderId="39" xfId="0" applyFont="1" applyFill="1" applyBorder="1" applyAlignment="1">
      <alignment horizontal="left" vertical="center"/>
    </xf>
    <xf numFmtId="0" fontId="2" fillId="0" borderId="4" xfId="0" applyFont="1" applyBorder="1" applyAlignment="1">
      <alignment horizontal="left" vertical="center" wrapText="1"/>
    </xf>
    <xf numFmtId="0" fontId="5" fillId="0" borderId="4" xfId="0" applyFont="1" applyBorder="1" applyAlignment="1">
      <alignment horizontal="left" vertical="center" wrapText="1"/>
    </xf>
    <xf numFmtId="0" fontId="2" fillId="0" borderId="7" xfId="0" applyFont="1" applyBorder="1" applyAlignment="1">
      <alignment horizontal="justify" vertical="center" wrapText="1"/>
    </xf>
    <xf numFmtId="0" fontId="2" fillId="0" borderId="4" xfId="0" applyFont="1" applyBorder="1" applyAlignment="1">
      <alignment horizontal="justify" vertical="center" wrapText="1"/>
    </xf>
    <xf numFmtId="0" fontId="2" fillId="0" borderId="3" xfId="0" applyFont="1" applyBorder="1" applyAlignment="1">
      <alignment horizontal="justify" vertical="center" wrapText="1"/>
    </xf>
    <xf numFmtId="0" fontId="5" fillId="0" borderId="3" xfId="0" applyFont="1" applyBorder="1" applyAlignment="1">
      <alignment horizontal="left" vertical="center" wrapText="1"/>
    </xf>
    <xf numFmtId="0" fontId="2" fillId="0" borderId="7" xfId="0" applyFont="1" applyBorder="1" applyAlignment="1">
      <alignment horizontal="left" vertical="center" wrapText="1"/>
    </xf>
    <xf numFmtId="0" fontId="0" fillId="0" borderId="3" xfId="0" applyBorder="1" applyAlignment="1">
      <alignment horizontal="left" vertical="center" wrapText="1"/>
    </xf>
    <xf numFmtId="0" fontId="5" fillId="0" borderId="7" xfId="0" applyFont="1"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justify" vertical="center" wrapText="1"/>
    </xf>
    <xf numFmtId="0" fontId="0" fillId="0" borderId="3" xfId="0" applyBorder="1" applyAlignment="1">
      <alignment horizontal="justify" vertical="center" wrapText="1"/>
    </xf>
    <xf numFmtId="0" fontId="16" fillId="0" borderId="8" xfId="0" applyFont="1" applyBorder="1" applyAlignment="1">
      <alignment horizontal="left" vertical="center" wrapText="1"/>
    </xf>
    <xf numFmtId="0" fontId="17" fillId="0" borderId="31" xfId="0" applyFont="1" applyBorder="1" applyAlignment="1">
      <alignment wrapText="1"/>
    </xf>
    <xf numFmtId="0" fontId="17" fillId="0" borderId="9" xfId="0" applyFont="1" applyBorder="1" applyAlignment="1">
      <alignment wrapText="1"/>
    </xf>
    <xf numFmtId="0" fontId="17" fillId="0" borderId="22" xfId="0" applyFont="1" applyBorder="1" applyAlignment="1">
      <alignment wrapText="1"/>
    </xf>
    <xf numFmtId="0" fontId="2" fillId="0" borderId="3" xfId="0" applyFont="1" applyBorder="1" applyAlignment="1">
      <alignment horizontal="left" vertical="center" wrapText="1"/>
    </xf>
  </cellXfs>
  <cellStyles count="3">
    <cellStyle name="Monétaire" xfId="1" builtinId="4"/>
    <cellStyle name="Normal" xfId="0" builtinId="0"/>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200660</xdr:colOff>
      <xdr:row>1</xdr:row>
      <xdr:rowOff>71120</xdr:rowOff>
    </xdr:from>
    <xdr:to>
      <xdr:col>1</xdr:col>
      <xdr:colOff>1098550</xdr:colOff>
      <xdr:row>2</xdr:row>
      <xdr:rowOff>158115</xdr:rowOff>
    </xdr:to>
    <xdr:pic>
      <xdr:nvPicPr>
        <xdr:cNvPr id="2" name="Image 1">
          <a:extLst>
            <a:ext uri="{FF2B5EF4-FFF2-40B4-BE49-F238E27FC236}">
              <a16:creationId xmlns:a16="http://schemas.microsoft.com/office/drawing/2014/main" id="{E3722BF0-77FC-4874-9A95-15E2BB7692F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660" y="335280"/>
          <a:ext cx="1771650" cy="351155"/>
        </a:xfrm>
        <a:prstGeom prst="rect">
          <a:avLst/>
        </a:prstGeom>
        <a:noFill/>
        <a:ln>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zoomScale="75" zoomScaleNormal="75" workbookViewId="0">
      <pane ySplit="6" topLeftCell="A7" activePane="bottomLeft" state="frozen"/>
      <selection pane="bottomLeft" activeCell="J1" sqref="J1:J1048576"/>
    </sheetView>
  </sheetViews>
  <sheetFormatPr baseColWidth="10" defaultColWidth="11.42578125" defaultRowHeight="18" x14ac:dyDescent="0.2"/>
  <cols>
    <col min="1" max="1" width="12.7109375" style="22" customWidth="1"/>
    <col min="2" max="2" width="34.42578125" style="22" customWidth="1"/>
    <col min="3" max="3" width="49.28515625" style="22" customWidth="1"/>
    <col min="4" max="4" width="51.5703125" style="22" customWidth="1"/>
    <col min="5" max="5" width="28.28515625" style="17" customWidth="1"/>
    <col min="6" max="6" width="14" style="17" customWidth="1"/>
    <col min="7" max="7" width="15.140625" style="17" customWidth="1"/>
    <col min="8" max="8" width="16.42578125" style="17" customWidth="1"/>
    <col min="9" max="9" width="20.28515625" style="22" customWidth="1"/>
    <col min="10" max="10" width="11.42578125" style="22"/>
    <col min="11" max="11" width="0" style="22" hidden="1" customWidth="1"/>
    <col min="12" max="16384" width="11.42578125" style="22"/>
  </cols>
  <sheetData>
    <row r="1" spans="1:10" ht="21" customHeight="1" thickTop="1" thickBot="1" x14ac:dyDescent="0.25">
      <c r="A1" s="111" t="s">
        <v>37</v>
      </c>
      <c r="B1" s="112"/>
      <c r="C1" s="112"/>
      <c r="D1" s="110" t="s">
        <v>38</v>
      </c>
      <c r="E1" s="130">
        <v>7500</v>
      </c>
      <c r="F1" s="20"/>
      <c r="G1" s="20"/>
      <c r="H1" s="19" t="s">
        <v>39</v>
      </c>
      <c r="I1" s="30">
        <f>+E1/4000</f>
        <v>1.875</v>
      </c>
    </row>
    <row r="2" spans="1:10" ht="21" customHeight="1" thickTop="1" thickBot="1" x14ac:dyDescent="0.25">
      <c r="A2" s="51"/>
      <c r="B2" s="51"/>
      <c r="C2" s="51"/>
      <c r="D2" s="110" t="s">
        <v>101</v>
      </c>
      <c r="E2" s="131">
        <v>4.8500000000000001E-2</v>
      </c>
      <c r="F2" s="29">
        <f>IF(E2&lt;7.5%,0%,IF(E2&gt;7.5%,E2-7.5%))</f>
        <v>0</v>
      </c>
      <c r="G2" s="19"/>
      <c r="H2" s="19"/>
      <c r="I2" s="21"/>
    </row>
    <row r="3" spans="1:10" ht="21" customHeight="1" thickTop="1" thickBot="1" x14ac:dyDescent="0.25">
      <c r="A3" s="51"/>
      <c r="B3" s="51"/>
      <c r="C3" s="51"/>
      <c r="D3" s="110" t="s">
        <v>42</v>
      </c>
      <c r="E3" s="131">
        <v>2.3E-3</v>
      </c>
      <c r="F3" s="29">
        <f>IF(E3&lt;0.4%,0%,IF(E3&gt;0.4%,E3-0.4%))</f>
        <v>0</v>
      </c>
      <c r="G3" s="19"/>
      <c r="H3" s="19"/>
      <c r="I3" s="21"/>
    </row>
    <row r="4" spans="1:10" ht="21" customHeight="1" thickTop="1" thickBot="1" x14ac:dyDescent="0.25">
      <c r="A4" s="146" t="s">
        <v>141</v>
      </c>
      <c r="B4" s="147"/>
      <c r="C4" s="148"/>
      <c r="D4" s="110" t="s">
        <v>102</v>
      </c>
      <c r="E4" s="27">
        <f>+F2+F3</f>
        <v>0</v>
      </c>
      <c r="F4" s="23"/>
      <c r="G4" s="19"/>
      <c r="H4" s="19" t="s">
        <v>43</v>
      </c>
      <c r="I4" s="113">
        <f>IF(E4&lt;25%,E4,IF(E4&gt;25%,25%))</f>
        <v>0</v>
      </c>
    </row>
    <row r="5" spans="1:10" ht="15" customHeight="1" thickTop="1" thickBot="1" x14ac:dyDescent="0.25">
      <c r="A5" s="51"/>
      <c r="B5" s="51"/>
      <c r="C5" s="51"/>
      <c r="E5" s="24"/>
      <c r="F5" s="24"/>
      <c r="G5" s="24"/>
    </row>
    <row r="6" spans="1:10" ht="39" customHeight="1" thickBot="1" x14ac:dyDescent="0.25">
      <c r="A6" s="64" t="s">
        <v>0</v>
      </c>
      <c r="B6" s="46" t="s">
        <v>1</v>
      </c>
      <c r="C6" s="46" t="s">
        <v>2</v>
      </c>
      <c r="D6" s="46" t="s">
        <v>3</v>
      </c>
      <c r="E6" s="46" t="s">
        <v>54</v>
      </c>
      <c r="F6" s="46" t="s">
        <v>71</v>
      </c>
      <c r="G6" s="46" t="s">
        <v>62</v>
      </c>
      <c r="H6" s="46" t="s">
        <v>41</v>
      </c>
      <c r="I6" s="46" t="s">
        <v>40</v>
      </c>
      <c r="J6" s="26"/>
    </row>
    <row r="7" spans="1:10" ht="45" customHeight="1" thickBot="1" x14ac:dyDescent="0.25">
      <c r="A7" s="65"/>
      <c r="B7" s="66" t="s">
        <v>90</v>
      </c>
      <c r="C7" s="45"/>
      <c r="D7" s="45"/>
      <c r="E7" s="13"/>
      <c r="F7" s="13"/>
      <c r="G7" s="13"/>
      <c r="H7" s="13"/>
      <c r="I7" s="25"/>
      <c r="J7" s="26"/>
    </row>
    <row r="8" spans="1:10" ht="78" customHeight="1" x14ac:dyDescent="0.2">
      <c r="A8" s="155" t="s">
        <v>4</v>
      </c>
      <c r="B8" s="157" t="s">
        <v>5</v>
      </c>
      <c r="C8" s="69" t="s">
        <v>6</v>
      </c>
      <c r="D8" s="70" t="s">
        <v>57</v>
      </c>
      <c r="E8" s="55" t="s">
        <v>83</v>
      </c>
      <c r="F8" s="28"/>
      <c r="G8" s="28"/>
      <c r="H8" s="31">
        <v>800</v>
      </c>
      <c r="I8" s="32">
        <f>+H8*7</f>
        <v>5600</v>
      </c>
    </row>
    <row r="9" spans="1:10" ht="50.45" customHeight="1" thickBot="1" x14ac:dyDescent="0.35">
      <c r="A9" s="149"/>
      <c r="B9" s="150"/>
      <c r="C9" s="72" t="s">
        <v>7</v>
      </c>
      <c r="D9" s="73"/>
      <c r="E9" s="161" t="s">
        <v>63</v>
      </c>
      <c r="F9" s="162"/>
      <c r="G9" s="163"/>
      <c r="H9" s="163"/>
      <c r="I9" s="164"/>
    </row>
    <row r="10" spans="1:10" ht="46.9" customHeight="1" thickTop="1" thickBot="1" x14ac:dyDescent="0.25">
      <c r="A10" s="149"/>
      <c r="B10" s="150"/>
      <c r="C10" s="74" t="s">
        <v>32</v>
      </c>
      <c r="D10" s="75"/>
      <c r="E10" s="53" t="s">
        <v>58</v>
      </c>
      <c r="F10" s="130" t="s">
        <v>53</v>
      </c>
      <c r="G10" s="8"/>
      <c r="H10" s="33">
        <f>IF(F10="oui",-60,0)</f>
        <v>-60</v>
      </c>
      <c r="I10" s="34">
        <f>+H10*7</f>
        <v>-420</v>
      </c>
    </row>
    <row r="11" spans="1:10" ht="46.9" customHeight="1" thickTop="1" thickBot="1" x14ac:dyDescent="0.25">
      <c r="A11" s="149"/>
      <c r="B11" s="150"/>
      <c r="C11" s="74" t="s">
        <v>33</v>
      </c>
      <c r="D11" s="75"/>
      <c r="E11" s="53" t="s">
        <v>59</v>
      </c>
      <c r="F11" s="130" t="s">
        <v>46</v>
      </c>
      <c r="G11" s="8"/>
      <c r="H11" s="33">
        <f>IF(F11="oui",-150,0)</f>
        <v>0</v>
      </c>
      <c r="I11" s="34">
        <f>+H11*7</f>
        <v>0</v>
      </c>
    </row>
    <row r="12" spans="1:10" ht="39" customHeight="1" thickTop="1" thickBot="1" x14ac:dyDescent="0.25">
      <c r="A12" s="149"/>
      <c r="B12" s="150"/>
      <c r="C12" s="74" t="s">
        <v>34</v>
      </c>
      <c r="D12" s="75"/>
      <c r="E12" s="53" t="s">
        <v>60</v>
      </c>
      <c r="F12" s="130" t="s">
        <v>46</v>
      </c>
      <c r="G12" s="8"/>
      <c r="H12" s="33">
        <f>IF(F12="oui",-120,0)</f>
        <v>0</v>
      </c>
      <c r="I12" s="34">
        <f>+H12*7</f>
        <v>0</v>
      </c>
    </row>
    <row r="13" spans="1:10" ht="46.9" customHeight="1" thickTop="1" thickBot="1" x14ac:dyDescent="0.25">
      <c r="A13" s="165"/>
      <c r="B13" s="154"/>
      <c r="C13" s="77" t="s">
        <v>35</v>
      </c>
      <c r="D13" s="78"/>
      <c r="E13" s="53" t="s">
        <v>61</v>
      </c>
      <c r="F13" s="130" t="s">
        <v>46</v>
      </c>
      <c r="G13" s="8"/>
      <c r="H13" s="33">
        <f>IF(F13="oui",-20,0)</f>
        <v>0</v>
      </c>
      <c r="I13" s="34">
        <f>+H13*7</f>
        <v>0</v>
      </c>
    </row>
    <row r="14" spans="1:10" ht="112.9" customHeight="1" thickTop="1" thickBot="1" x14ac:dyDescent="0.25">
      <c r="A14" s="76" t="s">
        <v>8</v>
      </c>
      <c r="B14" s="79" t="s">
        <v>9</v>
      </c>
      <c r="C14" s="80" t="s">
        <v>96</v>
      </c>
      <c r="D14" s="81" t="s">
        <v>64</v>
      </c>
      <c r="E14" s="132" t="s">
        <v>65</v>
      </c>
      <c r="F14" s="130" t="s">
        <v>53</v>
      </c>
      <c r="G14" s="4"/>
      <c r="H14" s="35">
        <f>IF(F14="oui",300,0)</f>
        <v>300</v>
      </c>
      <c r="I14" s="114">
        <f t="shared" ref="I14:I29" si="0">+H14*7</f>
        <v>2100</v>
      </c>
    </row>
    <row r="15" spans="1:10" ht="105" customHeight="1" thickTop="1" thickBot="1" x14ac:dyDescent="0.25">
      <c r="A15" s="82" t="s">
        <v>8</v>
      </c>
      <c r="B15" s="83" t="s">
        <v>10</v>
      </c>
      <c r="C15" s="84" t="s">
        <v>97</v>
      </c>
      <c r="D15" s="76" t="s">
        <v>64</v>
      </c>
      <c r="E15" s="133" t="s">
        <v>66</v>
      </c>
      <c r="F15" s="130" t="s">
        <v>46</v>
      </c>
      <c r="G15" s="2"/>
      <c r="H15" s="37">
        <f>IF(F15="oui",300,0)</f>
        <v>0</v>
      </c>
      <c r="I15" s="115">
        <f t="shared" si="0"/>
        <v>0</v>
      </c>
    </row>
    <row r="16" spans="1:10" ht="129" customHeight="1" thickTop="1" thickBot="1" x14ac:dyDescent="0.25">
      <c r="A16" s="76" t="s">
        <v>8</v>
      </c>
      <c r="B16" s="79" t="s">
        <v>11</v>
      </c>
      <c r="C16" s="85" t="s">
        <v>98</v>
      </c>
      <c r="D16" s="155" t="s">
        <v>134</v>
      </c>
      <c r="E16" s="132" t="s">
        <v>67</v>
      </c>
      <c r="F16" s="130" t="s">
        <v>46</v>
      </c>
      <c r="G16" s="4"/>
      <c r="H16" s="35">
        <f>IF(F16="oui",300,0)</f>
        <v>0</v>
      </c>
      <c r="I16" s="114">
        <f t="shared" si="0"/>
        <v>0</v>
      </c>
    </row>
    <row r="17" spans="1:10" ht="129.6" customHeight="1" thickTop="1" thickBot="1" x14ac:dyDescent="0.25">
      <c r="A17" s="82" t="s">
        <v>8</v>
      </c>
      <c r="B17" s="83" t="s">
        <v>12</v>
      </c>
      <c r="C17" s="86" t="s">
        <v>99</v>
      </c>
      <c r="D17" s="156"/>
      <c r="E17" s="133" t="s">
        <v>68</v>
      </c>
      <c r="F17" s="130" t="s">
        <v>46</v>
      </c>
      <c r="G17" s="2"/>
      <c r="H17" s="37">
        <f>IF(F17="oui",300,0)</f>
        <v>0</v>
      </c>
      <c r="I17" s="115">
        <f t="shared" si="0"/>
        <v>0</v>
      </c>
    </row>
    <row r="18" spans="1:10" ht="115.15" customHeight="1" thickTop="1" thickBot="1" x14ac:dyDescent="0.25">
      <c r="A18" s="76" t="s">
        <v>8</v>
      </c>
      <c r="B18" s="79" t="s">
        <v>13</v>
      </c>
      <c r="C18" s="86" t="s">
        <v>73</v>
      </c>
      <c r="D18" s="76" t="s">
        <v>135</v>
      </c>
      <c r="E18" s="134" t="s">
        <v>69</v>
      </c>
      <c r="F18" s="130" t="s">
        <v>46</v>
      </c>
      <c r="G18" s="3"/>
      <c r="H18" s="38">
        <f>IF(F18="oui",200,0)</f>
        <v>0</v>
      </c>
      <c r="I18" s="116">
        <f t="shared" si="0"/>
        <v>0</v>
      </c>
    </row>
    <row r="19" spans="1:10" ht="87" customHeight="1" thickTop="1" thickBot="1" x14ac:dyDescent="0.25">
      <c r="A19" s="155" t="s">
        <v>8</v>
      </c>
      <c r="B19" s="68" t="s">
        <v>14</v>
      </c>
      <c r="C19" s="88" t="s">
        <v>70</v>
      </c>
      <c r="D19" s="67" t="s">
        <v>15</v>
      </c>
      <c r="E19" s="132" t="s">
        <v>72</v>
      </c>
      <c r="F19" s="130">
        <v>2</v>
      </c>
      <c r="G19" s="135"/>
      <c r="H19" s="39">
        <f>350*F19*I1</f>
        <v>1312.5</v>
      </c>
      <c r="I19" s="114">
        <f t="shared" si="0"/>
        <v>9187.5</v>
      </c>
    </row>
    <row r="20" spans="1:10" ht="75.599999999999994" customHeight="1" thickTop="1" thickBot="1" x14ac:dyDescent="0.25">
      <c r="A20" s="156"/>
      <c r="B20" s="87"/>
      <c r="C20" s="89" t="s">
        <v>89</v>
      </c>
      <c r="D20" s="90"/>
      <c r="E20" s="54"/>
      <c r="G20" s="130" t="s">
        <v>46</v>
      </c>
      <c r="H20" s="40">
        <f>IF(AND(G20="oui",F19&gt;1),200,0)</f>
        <v>0</v>
      </c>
      <c r="I20" s="117">
        <f>+H20*7</f>
        <v>0</v>
      </c>
    </row>
    <row r="21" spans="1:10" ht="136.9" customHeight="1" thickTop="1" thickBot="1" x14ac:dyDescent="0.25">
      <c r="A21" s="155" t="s">
        <v>8</v>
      </c>
      <c r="B21" s="157" t="s">
        <v>115</v>
      </c>
      <c r="C21" s="88" t="s">
        <v>118</v>
      </c>
      <c r="D21" s="70" t="s">
        <v>116</v>
      </c>
      <c r="E21" s="132" t="s">
        <v>120</v>
      </c>
      <c r="F21" s="130" t="s">
        <v>53</v>
      </c>
      <c r="G21" s="28"/>
      <c r="H21" s="35">
        <f>IF(F21="oui",200,0)</f>
        <v>200</v>
      </c>
      <c r="I21" s="114">
        <f t="shared" si="0"/>
        <v>1400</v>
      </c>
    </row>
    <row r="22" spans="1:10" ht="89.45" customHeight="1" thickTop="1" thickBot="1" x14ac:dyDescent="0.25">
      <c r="A22" s="156"/>
      <c r="B22" s="156"/>
      <c r="C22" s="84" t="s">
        <v>119</v>
      </c>
      <c r="D22" s="90" t="s">
        <v>117</v>
      </c>
      <c r="E22" s="136"/>
      <c r="F22" s="130" t="s">
        <v>53</v>
      </c>
      <c r="G22" s="1"/>
      <c r="H22" s="118">
        <f>IF(F22="oui",300*I1,0)</f>
        <v>562.5</v>
      </c>
      <c r="I22" s="117">
        <f>+H22*7</f>
        <v>3937.5</v>
      </c>
    </row>
    <row r="23" spans="1:10" ht="72" customHeight="1" thickTop="1" thickBot="1" x14ac:dyDescent="0.25">
      <c r="A23" s="155" t="s">
        <v>4</v>
      </c>
      <c r="B23" s="157" t="s">
        <v>48</v>
      </c>
      <c r="C23" s="67" t="s">
        <v>49</v>
      </c>
      <c r="D23" s="67" t="s">
        <v>51</v>
      </c>
      <c r="E23" s="137" t="s">
        <v>55</v>
      </c>
      <c r="F23" s="130" t="s">
        <v>53</v>
      </c>
      <c r="G23" s="9"/>
      <c r="H23" s="41">
        <f>IF(F23="oui",100,0)</f>
        <v>100</v>
      </c>
      <c r="I23" s="119">
        <f t="shared" si="0"/>
        <v>700</v>
      </c>
      <c r="J23" s="26"/>
    </row>
    <row r="24" spans="1:10" ht="60.75" customHeight="1" thickTop="1" thickBot="1" x14ac:dyDescent="0.25">
      <c r="A24" s="156"/>
      <c r="B24" s="156"/>
      <c r="C24" s="76" t="s">
        <v>50</v>
      </c>
      <c r="D24" s="76" t="s">
        <v>52</v>
      </c>
      <c r="E24" s="136" t="s">
        <v>56</v>
      </c>
      <c r="F24" s="130" t="s">
        <v>46</v>
      </c>
      <c r="G24" s="10"/>
      <c r="H24" s="118">
        <f>IF(F24="oui",350*I1,0)</f>
        <v>0</v>
      </c>
      <c r="I24" s="117">
        <f t="shared" si="0"/>
        <v>0</v>
      </c>
      <c r="J24" s="26"/>
    </row>
    <row r="25" spans="1:10" ht="100.15" customHeight="1" thickTop="1" thickBot="1" x14ac:dyDescent="0.25">
      <c r="A25" s="155" t="s">
        <v>8</v>
      </c>
      <c r="B25" s="157" t="s">
        <v>84</v>
      </c>
      <c r="C25" s="70" t="s">
        <v>85</v>
      </c>
      <c r="D25" s="67" t="s">
        <v>86</v>
      </c>
      <c r="E25" s="138" t="s">
        <v>87</v>
      </c>
      <c r="F25" s="130" t="s">
        <v>46</v>
      </c>
      <c r="G25" s="11"/>
      <c r="H25" s="42">
        <f>IF(F25="oui",200,0)</f>
        <v>0</v>
      </c>
      <c r="I25" s="120">
        <f>+H25*7</f>
        <v>0</v>
      </c>
      <c r="J25" s="26"/>
    </row>
    <row r="26" spans="1:10" ht="60.75" customHeight="1" thickTop="1" thickBot="1" x14ac:dyDescent="0.25">
      <c r="A26" s="156"/>
      <c r="B26" s="156"/>
      <c r="C26" s="90" t="s">
        <v>136</v>
      </c>
      <c r="D26" s="76"/>
      <c r="E26" s="133" t="s">
        <v>88</v>
      </c>
      <c r="F26" s="130" t="s">
        <v>46</v>
      </c>
      <c r="G26" s="10"/>
      <c r="H26" s="43">
        <f>IF(F26="oui",200,0)</f>
        <v>0</v>
      </c>
      <c r="I26" s="115">
        <f>+H26*7</f>
        <v>0</v>
      </c>
      <c r="J26" s="26"/>
    </row>
    <row r="27" spans="1:10" ht="37.15" customHeight="1" thickBot="1" x14ac:dyDescent="0.25">
      <c r="A27" s="91"/>
      <c r="B27" s="92"/>
      <c r="C27" s="93"/>
      <c r="D27" s="93"/>
      <c r="E27" s="44"/>
      <c r="F27" s="12"/>
      <c r="G27" s="12"/>
      <c r="H27" s="44"/>
      <c r="I27" s="44"/>
      <c r="J27" s="26"/>
    </row>
    <row r="28" spans="1:10" ht="44.45" customHeight="1" thickBot="1" x14ac:dyDescent="0.25">
      <c r="A28" s="94"/>
      <c r="B28" s="95" t="s">
        <v>91</v>
      </c>
      <c r="C28" s="45"/>
      <c r="D28" s="45"/>
      <c r="E28" s="45"/>
      <c r="F28" s="139"/>
      <c r="G28" s="13"/>
      <c r="H28" s="45"/>
      <c r="I28" s="46"/>
      <c r="J28" s="26"/>
    </row>
    <row r="29" spans="1:10" ht="46.15" customHeight="1" thickTop="1" thickBot="1" x14ac:dyDescent="0.25">
      <c r="A29" s="155" t="s">
        <v>4</v>
      </c>
      <c r="B29" s="157" t="s">
        <v>16</v>
      </c>
      <c r="C29" s="69" t="s">
        <v>92</v>
      </c>
      <c r="D29" s="155" t="s">
        <v>17</v>
      </c>
      <c r="E29" s="132" t="s">
        <v>74</v>
      </c>
      <c r="F29" s="130" t="s">
        <v>53</v>
      </c>
      <c r="G29" s="4"/>
      <c r="H29" s="35">
        <f>IF(F29="oui",1000,0)</f>
        <v>1000</v>
      </c>
      <c r="I29" s="114">
        <f t="shared" si="0"/>
        <v>7000</v>
      </c>
    </row>
    <row r="30" spans="1:10" ht="27.6" customHeight="1" thickTop="1" x14ac:dyDescent="0.2">
      <c r="A30" s="149"/>
      <c r="B30" s="150"/>
      <c r="C30" s="96" t="s">
        <v>93</v>
      </c>
      <c r="D30" s="158"/>
      <c r="E30" s="56" t="s">
        <v>94</v>
      </c>
      <c r="F30" s="28"/>
      <c r="G30" s="8"/>
      <c r="H30" s="121">
        <f>IF(AND(F29="oui",E1&lt;8001),1700*I1,0)</f>
        <v>3187.5</v>
      </c>
      <c r="I30" s="122">
        <f t="shared" ref="I30:I31" si="1">+H30*7</f>
        <v>22312.5</v>
      </c>
    </row>
    <row r="31" spans="1:10" ht="73.150000000000006" customHeight="1" thickBot="1" x14ac:dyDescent="0.25">
      <c r="A31" s="149"/>
      <c r="B31" s="150"/>
      <c r="C31" s="96" t="s">
        <v>95</v>
      </c>
      <c r="D31" s="156"/>
      <c r="E31" s="57" t="s">
        <v>79</v>
      </c>
      <c r="F31" s="140"/>
      <c r="G31" s="14"/>
      <c r="H31" s="121">
        <f>IF(AND(F29="oui",E1&gt;8000),3400+(1100*(I1-2)),0)</f>
        <v>0</v>
      </c>
      <c r="I31" s="122">
        <f t="shared" si="1"/>
        <v>0</v>
      </c>
    </row>
    <row r="32" spans="1:10" ht="93.6" customHeight="1" thickTop="1" thickBot="1" x14ac:dyDescent="0.25">
      <c r="A32" s="88" t="s">
        <v>18</v>
      </c>
      <c r="B32" s="83" t="s">
        <v>75</v>
      </c>
      <c r="C32" s="97" t="s">
        <v>80</v>
      </c>
      <c r="D32" s="98" t="s">
        <v>19</v>
      </c>
      <c r="E32" s="134" t="s">
        <v>76</v>
      </c>
      <c r="F32" s="142">
        <v>8</v>
      </c>
      <c r="G32" s="130" t="s">
        <v>46</v>
      </c>
      <c r="H32" s="47">
        <f>IF(G32="oui",140*F32,F32*100)</f>
        <v>800</v>
      </c>
      <c r="I32" s="116">
        <f>+H32*7</f>
        <v>5600</v>
      </c>
    </row>
    <row r="33" spans="1:11" ht="60" customHeight="1" thickTop="1" thickBot="1" x14ac:dyDescent="0.25">
      <c r="A33" s="151" t="s">
        <v>18</v>
      </c>
      <c r="B33" s="150" t="s">
        <v>47</v>
      </c>
      <c r="C33" s="99" t="s">
        <v>20</v>
      </c>
      <c r="D33" s="51"/>
      <c r="E33" s="138" t="s">
        <v>133</v>
      </c>
      <c r="F33" s="142" t="s">
        <v>53</v>
      </c>
      <c r="G33" s="130" t="s">
        <v>46</v>
      </c>
      <c r="H33" s="48"/>
      <c r="I33" s="36"/>
    </row>
    <row r="34" spans="1:11" ht="76.5" thickTop="1" thickBot="1" x14ac:dyDescent="0.25">
      <c r="A34" s="152"/>
      <c r="B34" s="150"/>
      <c r="C34" s="99" t="s">
        <v>21</v>
      </c>
      <c r="D34" s="99" t="s">
        <v>22</v>
      </c>
      <c r="E34" s="141" t="s">
        <v>77</v>
      </c>
      <c r="F34" s="142">
        <v>85</v>
      </c>
      <c r="G34" s="6"/>
      <c r="H34" s="49"/>
      <c r="I34" s="50"/>
    </row>
    <row r="35" spans="1:11" ht="52.9" customHeight="1" thickTop="1" thickBot="1" x14ac:dyDescent="0.25">
      <c r="A35" s="152"/>
      <c r="B35" s="150"/>
      <c r="C35" s="99" t="s">
        <v>81</v>
      </c>
      <c r="D35" s="99" t="s">
        <v>23</v>
      </c>
      <c r="E35" s="141" t="s">
        <v>45</v>
      </c>
      <c r="F35" s="143">
        <v>0.17</v>
      </c>
      <c r="G35" s="15"/>
      <c r="H35" s="33"/>
      <c r="I35" s="50"/>
    </row>
    <row r="36" spans="1:11" ht="39.6" customHeight="1" thickTop="1" thickBot="1" x14ac:dyDescent="0.25">
      <c r="A36" s="153"/>
      <c r="B36" s="154"/>
      <c r="C36" s="86" t="s">
        <v>36</v>
      </c>
      <c r="D36" s="101"/>
      <c r="E36" s="58" t="s">
        <v>78</v>
      </c>
      <c r="F36" s="144"/>
      <c r="G36" s="16"/>
      <c r="H36" s="118">
        <f>IF(AND(F33="oui",G33="oui",K36&gt;0.05),1200*I1,IF(AND(F33="oui",G33="non",K36&gt;0.05),1000*I1,IF(AND(F33="oui",G33="oui",K36&lt;0.05),1200*I1*K36/0.05,IF(AND(F33="oui",G33="non",K36&lt;0.05),1000*I1*K36/0.05))))</f>
        <v>1875</v>
      </c>
      <c r="I36" s="117">
        <f t="shared" ref="I36:I44" si="2">+H36*7</f>
        <v>13125</v>
      </c>
      <c r="K36" s="22">
        <f>+F34/(E1*F35)</f>
        <v>6.6666666666666666E-2</v>
      </c>
    </row>
    <row r="37" spans="1:11" ht="106.5" thickTop="1" thickBot="1" x14ac:dyDescent="0.25">
      <c r="A37" s="88" t="s">
        <v>8</v>
      </c>
      <c r="B37" s="68" t="s">
        <v>24</v>
      </c>
      <c r="C37" s="88" t="s">
        <v>100</v>
      </c>
      <c r="D37" s="82" t="s">
        <v>82</v>
      </c>
      <c r="E37" s="134" t="s">
        <v>44</v>
      </c>
      <c r="F37" s="130">
        <v>4</v>
      </c>
      <c r="G37" s="3"/>
      <c r="H37" s="47">
        <f>IF(F37&gt;1,225*F37,0)</f>
        <v>900</v>
      </c>
      <c r="I37" s="116">
        <f t="shared" si="2"/>
        <v>6300</v>
      </c>
    </row>
    <row r="38" spans="1:11" ht="129.6" customHeight="1" thickTop="1" thickBot="1" x14ac:dyDescent="0.25">
      <c r="A38" s="98" t="s">
        <v>8</v>
      </c>
      <c r="B38" s="83" t="s">
        <v>25</v>
      </c>
      <c r="C38" s="98" t="s">
        <v>26</v>
      </c>
      <c r="D38" s="102" t="s">
        <v>109</v>
      </c>
      <c r="E38" s="59" t="s">
        <v>103</v>
      </c>
      <c r="F38" s="130" t="s">
        <v>53</v>
      </c>
      <c r="G38" s="3"/>
      <c r="H38" s="124">
        <f>IF(F38="OUI",200*I1,0)</f>
        <v>375</v>
      </c>
      <c r="I38" s="116">
        <f t="shared" si="2"/>
        <v>2625</v>
      </c>
    </row>
    <row r="39" spans="1:11" ht="76.900000000000006" customHeight="1" thickTop="1" thickBot="1" x14ac:dyDescent="0.25">
      <c r="A39" s="151" t="s">
        <v>8</v>
      </c>
      <c r="B39" s="157" t="s">
        <v>108</v>
      </c>
      <c r="C39" s="88" t="s">
        <v>137</v>
      </c>
      <c r="D39" s="67" t="s">
        <v>113</v>
      </c>
      <c r="E39" s="60" t="s">
        <v>110</v>
      </c>
      <c r="F39" s="130" t="s">
        <v>53</v>
      </c>
      <c r="G39" s="4"/>
      <c r="H39" s="42">
        <f>IF(F39="OUI",100,0)</f>
        <v>100</v>
      </c>
      <c r="I39" s="36">
        <f t="shared" si="2"/>
        <v>700</v>
      </c>
    </row>
    <row r="40" spans="1:11" ht="65.45" customHeight="1" thickTop="1" thickBot="1" x14ac:dyDescent="0.25">
      <c r="A40" s="159"/>
      <c r="B40" s="158"/>
      <c r="C40" s="100" t="s">
        <v>138</v>
      </c>
      <c r="D40" s="71" t="s">
        <v>140</v>
      </c>
      <c r="E40" s="61" t="s">
        <v>111</v>
      </c>
      <c r="F40" s="130" t="s">
        <v>53</v>
      </c>
      <c r="G40" s="8"/>
      <c r="H40" s="125">
        <f>IF(F40="OUI",200*I1,0)</f>
        <v>375</v>
      </c>
      <c r="I40" s="122">
        <f t="shared" si="2"/>
        <v>2625</v>
      </c>
    </row>
    <row r="41" spans="1:11" ht="100.15" customHeight="1" thickTop="1" thickBot="1" x14ac:dyDescent="0.25">
      <c r="A41" s="160"/>
      <c r="B41" s="156"/>
      <c r="C41" s="84" t="s">
        <v>139</v>
      </c>
      <c r="D41" s="76" t="s">
        <v>114</v>
      </c>
      <c r="E41" s="62" t="s">
        <v>112</v>
      </c>
      <c r="F41" s="130" t="s">
        <v>46</v>
      </c>
      <c r="G41" s="1"/>
      <c r="H41" s="118">
        <f>IF(F41="OUI",300*I1,0)</f>
        <v>0</v>
      </c>
      <c r="I41" s="117">
        <f t="shared" si="2"/>
        <v>0</v>
      </c>
    </row>
    <row r="42" spans="1:11" ht="114.6" customHeight="1" thickTop="1" thickBot="1" x14ac:dyDescent="0.25">
      <c r="A42" s="98" t="s">
        <v>8</v>
      </c>
      <c r="B42" s="83" t="s">
        <v>121</v>
      </c>
      <c r="C42" s="98" t="s">
        <v>123</v>
      </c>
      <c r="D42" s="82" t="s">
        <v>122</v>
      </c>
      <c r="E42" s="63" t="s">
        <v>124</v>
      </c>
      <c r="F42" s="130">
        <v>0</v>
      </c>
      <c r="G42" s="3"/>
      <c r="H42" s="47">
        <f>IF(F42&lt;7,F42*100,600)</f>
        <v>0</v>
      </c>
      <c r="I42" s="116">
        <f t="shared" si="2"/>
        <v>0</v>
      </c>
    </row>
    <row r="43" spans="1:11" ht="109.9" customHeight="1" thickTop="1" thickBot="1" x14ac:dyDescent="0.25">
      <c r="A43" s="98" t="s">
        <v>8</v>
      </c>
      <c r="B43" s="83" t="s">
        <v>125</v>
      </c>
      <c r="C43" s="98" t="s">
        <v>127</v>
      </c>
      <c r="D43" s="82" t="s">
        <v>126</v>
      </c>
      <c r="E43" s="63" t="s">
        <v>128</v>
      </c>
      <c r="F43" s="130" t="s">
        <v>53</v>
      </c>
      <c r="G43" s="3"/>
      <c r="H43" s="123">
        <f>IF(F43="oui",100*I1,0)</f>
        <v>187.5</v>
      </c>
      <c r="I43" s="116">
        <f t="shared" si="2"/>
        <v>1312.5</v>
      </c>
    </row>
    <row r="44" spans="1:11" ht="91.9" customHeight="1" thickTop="1" thickBot="1" x14ac:dyDescent="0.25">
      <c r="A44" s="98" t="s">
        <v>8</v>
      </c>
      <c r="B44" s="83" t="s">
        <v>129</v>
      </c>
      <c r="C44" s="98" t="s">
        <v>130</v>
      </c>
      <c r="D44" s="82" t="s">
        <v>131</v>
      </c>
      <c r="E44" s="63" t="s">
        <v>132</v>
      </c>
      <c r="F44" s="130" t="s">
        <v>46</v>
      </c>
      <c r="G44" s="3"/>
      <c r="H44" s="47">
        <f>IF(F44="oui",100,0)</f>
        <v>0</v>
      </c>
      <c r="I44" s="116">
        <f t="shared" si="2"/>
        <v>0</v>
      </c>
    </row>
    <row r="45" spans="1:11" ht="32.450000000000003" customHeight="1" thickBot="1" x14ac:dyDescent="0.25">
      <c r="A45" s="51"/>
      <c r="B45" s="51"/>
      <c r="C45" s="51"/>
      <c r="D45" s="51"/>
      <c r="E45" s="41"/>
      <c r="H45" s="41"/>
      <c r="I45" s="51"/>
    </row>
    <row r="46" spans="1:11" ht="36.75" customHeight="1" thickBot="1" x14ac:dyDescent="0.25">
      <c r="A46" s="103"/>
      <c r="B46" s="66" t="s">
        <v>104</v>
      </c>
      <c r="C46" s="45"/>
      <c r="D46" s="45"/>
      <c r="E46" s="45"/>
      <c r="F46" s="139"/>
      <c r="G46" s="13"/>
      <c r="H46" s="45"/>
      <c r="I46" s="46"/>
    </row>
    <row r="47" spans="1:11" ht="136.5" thickTop="1" thickBot="1" x14ac:dyDescent="0.25">
      <c r="A47" s="149"/>
      <c r="B47" s="150" t="s">
        <v>143</v>
      </c>
      <c r="C47" s="104" t="s">
        <v>106</v>
      </c>
      <c r="D47" s="105" t="s">
        <v>28</v>
      </c>
      <c r="E47" s="145" t="s">
        <v>142</v>
      </c>
      <c r="F47" s="130" t="s">
        <v>53</v>
      </c>
      <c r="G47" s="4"/>
      <c r="H47" s="35">
        <f>IF(F47="oui",500,0)</f>
        <v>500</v>
      </c>
      <c r="I47" s="114">
        <f>+H47*7</f>
        <v>3500</v>
      </c>
    </row>
    <row r="48" spans="1:11" ht="49.15" customHeight="1" thickTop="1" thickBot="1" x14ac:dyDescent="0.25">
      <c r="A48" s="149"/>
      <c r="B48" s="150"/>
      <c r="C48" s="105" t="s">
        <v>27</v>
      </c>
      <c r="D48" s="105" t="s">
        <v>29</v>
      </c>
      <c r="E48" s="145" t="s">
        <v>144</v>
      </c>
      <c r="F48" s="142">
        <v>18</v>
      </c>
      <c r="G48" s="8"/>
      <c r="H48" s="33">
        <f>IF(AND(F47="oui",F48&lt;17),F48*200,IF(F48&gt;16,3200+(150*(F48-16))))</f>
        <v>3500</v>
      </c>
      <c r="I48" s="127">
        <f>+H48*7</f>
        <v>24500</v>
      </c>
    </row>
    <row r="49" spans="1:9" ht="45.6" customHeight="1" thickTop="1" thickBot="1" x14ac:dyDescent="0.25">
      <c r="A49" s="98" t="s">
        <v>8</v>
      </c>
      <c r="B49" s="126" t="s">
        <v>30</v>
      </c>
      <c r="C49" s="97" t="s">
        <v>31</v>
      </c>
      <c r="D49" s="106"/>
      <c r="E49" s="134" t="s">
        <v>105</v>
      </c>
      <c r="F49" s="130" t="s">
        <v>53</v>
      </c>
      <c r="G49" s="18"/>
      <c r="H49" s="47">
        <f>IF(F49="OUI",100,0)</f>
        <v>100</v>
      </c>
      <c r="I49" s="116">
        <f>+H49*7</f>
        <v>700</v>
      </c>
    </row>
    <row r="50" spans="1:9" x14ac:dyDescent="0.2">
      <c r="A50" s="107"/>
      <c r="B50" s="107"/>
      <c r="C50" s="107"/>
      <c r="D50" s="108"/>
      <c r="F50" s="22"/>
      <c r="H50" s="41"/>
      <c r="I50" s="52"/>
    </row>
    <row r="51" spans="1:9" x14ac:dyDescent="0.2">
      <c r="A51" s="51"/>
      <c r="B51" s="51"/>
      <c r="C51" s="51"/>
      <c r="D51" s="51"/>
      <c r="H51" s="41"/>
      <c r="I51" s="51"/>
    </row>
    <row r="52" spans="1:9" ht="39.75" customHeight="1" x14ac:dyDescent="0.2">
      <c r="A52" s="51"/>
      <c r="B52" s="51"/>
      <c r="C52" s="51"/>
      <c r="D52" s="109"/>
      <c r="E52" s="20" t="s">
        <v>107</v>
      </c>
      <c r="F52" s="20"/>
      <c r="G52" s="20"/>
      <c r="H52" s="129">
        <f>SUM(H8:H49)</f>
        <v>16115</v>
      </c>
      <c r="I52" s="128">
        <f>(H52*7)*(1+I4)</f>
        <v>112805</v>
      </c>
    </row>
  </sheetData>
  <sheetProtection algorithmName="SHA-512" hashValue="52GtGKhFCRuvRR/z7MSnLwbR8xMgv1+G3I0BWHFxh/WzXwdgaNpxdlCMfhOZzNogBW5LdR3RwYBzEGu0fIFacw==" saltValue="F/nRHc15yjws7wQUK+iIQA==" spinCount="100000" sheet="1" selectLockedCells="1"/>
  <protectedRanges>
    <protectedRange algorithmName="SHA-512" hashValue="WGp2EyoyuKDatuGv0foyKHY+MO6i6OBmsm8/OAmhl7i0Jae5Tff/E/XqqYTQqcIl0JeckNDRx8zpu3xaFz88dw==" saltValue="OSPTlil2ljFunFpb6xdarQ==" spinCount="100000" sqref="F2:F3" name="Plage1"/>
  </protectedRanges>
  <dataConsolidate/>
  <mergeCells count="20">
    <mergeCell ref="E9:I9"/>
    <mergeCell ref="D16:D17"/>
    <mergeCell ref="A29:A31"/>
    <mergeCell ref="B29:B31"/>
    <mergeCell ref="A8:A13"/>
    <mergeCell ref="B8:B13"/>
    <mergeCell ref="A19:A20"/>
    <mergeCell ref="D29:D31"/>
    <mergeCell ref="A21:A22"/>
    <mergeCell ref="B21:B22"/>
    <mergeCell ref="A47:A48"/>
    <mergeCell ref="B47:B48"/>
    <mergeCell ref="A33:A36"/>
    <mergeCell ref="B33:B36"/>
    <mergeCell ref="A23:A24"/>
    <mergeCell ref="B23:B24"/>
    <mergeCell ref="B25:B26"/>
    <mergeCell ref="A25:A26"/>
    <mergeCell ref="B39:B41"/>
    <mergeCell ref="A39:A41"/>
  </mergeCells>
  <phoneticPr fontId="13" type="noConversion"/>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1387D2E-5205-409D-871D-32BB9D6F6B95}">
          <x14:formula1>
            <xm:f>Feuil2!$A$1:$A$2</xm:f>
          </x14:formula1>
          <xm:sqref>F10:F18 G20 F21:F26 F29 G32:G33 F38:F41 F43:F44 F47 F49 F33</xm:sqref>
        </x14:dataValidation>
        <x14:dataValidation type="list" allowBlank="1" showInputMessage="1" showErrorMessage="1" xr:uid="{5499526C-F4A8-4206-8379-D746F0FE903A}">
          <x14:formula1>
            <xm:f>Feuil2!$D$1:$D$7</xm:f>
          </x14:formula1>
          <xm:sqref>F42</xm:sqref>
        </x14:dataValidation>
        <x14:dataValidation type="list" allowBlank="1" showInputMessage="1" showErrorMessage="1" xr:uid="{D98BF51A-2CCC-48C8-83EC-2CBC3EE746A3}">
          <x14:formula1>
            <xm:f>Feuil2!$E$1:$E$4</xm:f>
          </x14:formula1>
          <xm:sqref>F37</xm:sqref>
        </x14:dataValidation>
        <x14:dataValidation type="list" allowBlank="1" showInputMessage="1" showErrorMessage="1" xr:uid="{6CFA4202-02DA-472A-8D2E-D4809B2B25DE}">
          <x14:formula1>
            <xm:f>Feuil2!$C$1:$C$9</xm:f>
          </x14:formula1>
          <xm:sqref>F32</xm:sqref>
        </x14:dataValidation>
        <x14:dataValidation type="list" allowBlank="1" showInputMessage="1" showErrorMessage="1" xr:uid="{068D1C29-EF2B-45BF-9A59-216B8AB45A98}">
          <x14:formula1>
            <xm:f>Feuil2!$B$1:$B$3</xm:f>
          </x14:formula1>
          <xm:sqref>F19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B3C0B-C425-4ABB-88C8-C0FA45A14799}">
  <dimension ref="A1:E9"/>
  <sheetViews>
    <sheetView workbookViewId="0">
      <selection sqref="A1:E9"/>
    </sheetView>
  </sheetViews>
  <sheetFormatPr baseColWidth="10" defaultRowHeight="15" x14ac:dyDescent="0.25"/>
  <sheetData>
    <row r="1" spans="1:5" ht="18.75" x14ac:dyDescent="0.3">
      <c r="A1" s="5" t="s">
        <v>53</v>
      </c>
      <c r="B1" s="7">
        <v>0</v>
      </c>
      <c r="C1" s="7">
        <v>0</v>
      </c>
      <c r="D1" s="7">
        <v>0</v>
      </c>
      <c r="E1" s="7">
        <v>0</v>
      </c>
    </row>
    <row r="2" spans="1:5" ht="18.75" x14ac:dyDescent="0.3">
      <c r="A2" s="5" t="s">
        <v>46</v>
      </c>
      <c r="B2" s="7">
        <v>1</v>
      </c>
      <c r="C2" s="7">
        <v>1</v>
      </c>
      <c r="D2" s="7">
        <v>1</v>
      </c>
      <c r="E2" s="7">
        <v>2</v>
      </c>
    </row>
    <row r="3" spans="1:5" ht="18.75" x14ac:dyDescent="0.3">
      <c r="B3" s="7">
        <v>2</v>
      </c>
      <c r="C3" s="7">
        <v>2</v>
      </c>
      <c r="D3" s="7">
        <v>2</v>
      </c>
      <c r="E3" s="7">
        <v>3</v>
      </c>
    </row>
    <row r="4" spans="1:5" ht="18.75" x14ac:dyDescent="0.3">
      <c r="C4" s="7">
        <v>3</v>
      </c>
      <c r="D4" s="7">
        <v>3</v>
      </c>
      <c r="E4" s="7">
        <v>4</v>
      </c>
    </row>
    <row r="5" spans="1:5" ht="18.75" x14ac:dyDescent="0.3">
      <c r="C5" s="7">
        <v>4</v>
      </c>
      <c r="D5" s="7">
        <v>4</v>
      </c>
    </row>
    <row r="6" spans="1:5" ht="18.75" x14ac:dyDescent="0.3">
      <c r="C6" s="7">
        <v>5</v>
      </c>
      <c r="D6" s="7">
        <v>5</v>
      </c>
    </row>
    <row r="7" spans="1:5" ht="18.75" x14ac:dyDescent="0.3">
      <c r="C7" s="7">
        <v>6</v>
      </c>
      <c r="D7" s="7">
        <v>6</v>
      </c>
    </row>
    <row r="8" spans="1:5" ht="18.75" x14ac:dyDescent="0.3">
      <c r="C8" s="7">
        <v>7</v>
      </c>
    </row>
    <row r="9" spans="1:5" ht="18.75" x14ac:dyDescent="0.3">
      <c r="C9" s="7">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Uilisateur</dc:creator>
  <cp:lastModifiedBy>pierre de haas</cp:lastModifiedBy>
  <dcterms:created xsi:type="dcterms:W3CDTF">2017-04-01T15:28:08Z</dcterms:created>
  <dcterms:modified xsi:type="dcterms:W3CDTF">2024-01-26T21:45:50Z</dcterms:modified>
</cp:coreProperties>
</file>